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400-P01-武哥浦发北京大兴荟聚宜家\过程\"/>
    </mc:Choice>
  </mc:AlternateContent>
  <xr:revisionPtr revIDLastSave="0" documentId="13_ncr:1_{D3D78F17-6748-4066-A948-29179CA60A6B}" xr6:coauthVersionLast="47" xr6:coauthVersionMax="47" xr10:uidLastSave="{00000000-0000-0000-0000-000000000000}"/>
  <bookViews>
    <workbookView xWindow="-120" yWindow="-120" windowWidth="29040" windowHeight="158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1.一铺一价计算" sheetId="81" r:id="rId25"/>
    <sheet name="Sheet3"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2">#REF!</definedName>
    <definedName name="_CPP1">[1]CPP1!#REF!</definedName>
    <definedName name="_CPP10">[1]CPP10!#REF!</definedName>
    <definedName name="_CPP19">[1]CPP19!#REF!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xlnm._FilterDatabase" localSheetId="24" hidden="1">'1.一铺一价计算'!$A$3:$BT$471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[2]租赁合同基础台账!#REF!</definedName>
    <definedName name="akak">'[3]Cashflow(Scenario)'!$C$30</definedName>
    <definedName name="ALBERT_COMPLEX">#REF!</definedName>
    <definedName name="as">#REF!</definedName>
    <definedName name="B">#REF!</definedName>
    <definedName name="BUGIS_VILLAGE">#REF!</definedName>
    <definedName name="CAIRNHILL_PLACE">#REF!</definedName>
    <definedName name="CASHclear">[4]货币资金!$E$9:$E$38,[4]货币资金!$E$41:$E$45,[4]货币资金!$E$48:$E$52,[4]货币资金!$E$55:$E$61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[4]递延所得税资产!$F$10:$F$21,[4]递延所得税资产!$F$44:$F$56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'[5]Cashflow(Scenario)'!$C$30</definedName>
    <definedName name="eq">'[3]Cashflow(Scenario)'!$C$30</definedName>
    <definedName name="equ">'[6]Cashflow(Scenario)'!$C$30</definedName>
    <definedName name="Equity_IRR">'[3]Cashflow(Scenario)'!$C$30</definedName>
    <definedName name="EQUITYclear">[4]权益变动表!$H$8:$H$16,[4]权益变动表!$H$18:$H$23,[4]权益变动表!$H$25:$H$28,[4]权益变动表!$H$30:$H$34,[4]权益变动表!#REF!,[4]权益变动表!#REF!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'[3]Cashflow(Scenario)'!$C$30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'[7]Cashflow(Scenario)'!$C$30</definedName>
    <definedName name="Marcom">'[7]Cashflow(Scenario)'!$C$30</definedName>
    <definedName name="MD">#REF!</definedName>
    <definedName name="MTH4clear">#REF!</definedName>
    <definedName name="NAME_OF_PROPERTY_项目__嘉信茂广场·雨花亭">#REF!</definedName>
    <definedName name="NFA">#REF!</definedName>
    <definedName name="Note6">'[7]Cashflow(Scenario)'!$C$30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Purchase_Price">#REF!</definedName>
    <definedName name="q">'[3]Cashflow(Scenario)'!$C$30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[4]存货!$F$9:$F$19,[4]存货!$F$21:$F$31,[4]存货!$F$33:$F$43,[4]存货!$F$46:$F$56</definedName>
    <definedName name="timing">#REF!</definedName>
    <definedName name="TotalCMTGearing2003">#REF!</definedName>
    <definedName name="UFPrn20130827141254">#REF!</definedName>
    <definedName name="w">'[5]Cashflow(Scenario)'!$C$30</definedName>
    <definedName name="WarehseRentalGrowth_evy2yr">#REF!</definedName>
    <definedName name="zhcoa">'[8]ZH COA'!$B$3:$C$2900</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管理费用标准">'[9]1、参数'!$B$33</definedName>
    <definedName name="核算项目明细账">#REF!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'[7]Cashflow(Scenario)'!$C$30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'[10]数据-汇总表'!$C$17:$C$26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16" i="9" l="1"/>
  <c r="X28" i="82"/>
  <c r="M468" i="81"/>
  <c r="M465" i="81"/>
  <c r="M466" i="81"/>
  <c r="Q466" i="81"/>
  <c r="M12" i="81"/>
  <c r="N12" i="81"/>
  <c r="G36" i="6"/>
  <c r="G37" i="6"/>
  <c r="G38" i="6" s="1"/>
  <c r="E37" i="6"/>
  <c r="E36" i="6"/>
  <c r="B21" i="1"/>
  <c r="C6" i="68"/>
  <c r="H24" i="80"/>
  <c r="E42" i="80" l="1"/>
  <c r="E38" i="80"/>
  <c r="E44" i="80" s="1"/>
  <c r="D42" i="80"/>
  <c r="D38" i="80"/>
  <c r="N14" i="1"/>
  <c r="L14"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C1" i="73"/>
  <c r="J1" i="73" s="1"/>
  <c r="D89" i="71"/>
  <c r="F88" i="71"/>
  <c r="E88" i="71"/>
  <c r="C88" i="71"/>
  <c r="B88" i="71"/>
  <c r="F87" i="71"/>
  <c r="E87" i="71"/>
  <c r="B87" i="71"/>
  <c r="F86" i="71"/>
  <c r="E86" i="71"/>
  <c r="B86" i="71"/>
  <c r="D85" i="71"/>
  <c r="F84" i="71"/>
  <c r="E84" i="71"/>
  <c r="C84" i="71"/>
  <c r="B84" i="71"/>
  <c r="F83" i="71"/>
  <c r="E83" i="71"/>
  <c r="B83" i="71"/>
  <c r="F82" i="71"/>
  <c r="E82" i="71"/>
  <c r="B82" i="71"/>
  <c r="D81" i="71"/>
  <c r="S80" i="71"/>
  <c r="Q80" i="71"/>
  <c r="P80" i="71"/>
  <c r="O80" i="71"/>
  <c r="N80" i="71"/>
  <c r="F80" i="71"/>
  <c r="V80" i="71" s="1"/>
  <c r="E80" i="71"/>
  <c r="U80" i="71" s="1"/>
  <c r="C80" i="71"/>
  <c r="B80" i="71"/>
  <c r="Q79" i="71"/>
  <c r="P79" i="71"/>
  <c r="O79" i="71"/>
  <c r="N79" i="71"/>
  <c r="F79" i="71"/>
  <c r="E79" i="71"/>
  <c r="B79" i="71"/>
  <c r="Q78" i="71"/>
  <c r="P78" i="71"/>
  <c r="O78" i="71"/>
  <c r="N78" i="71"/>
  <c r="F78" i="71"/>
  <c r="E78" i="71"/>
  <c r="B78" i="71"/>
  <c r="Q77" i="71"/>
  <c r="P77" i="71"/>
  <c r="O77" i="71"/>
  <c r="N77" i="71"/>
  <c r="D77" i="71"/>
  <c r="S76" i="71"/>
  <c r="Q76" i="71"/>
  <c r="P76" i="71"/>
  <c r="O76" i="71"/>
  <c r="N76" i="71"/>
  <c r="F76" i="71"/>
  <c r="V76" i="71" s="1"/>
  <c r="E76" i="71"/>
  <c r="U76" i="71" s="1"/>
  <c r="C76" i="71"/>
  <c r="B76" i="71"/>
  <c r="Q75" i="71"/>
  <c r="P75" i="71"/>
  <c r="O75" i="71"/>
  <c r="N75" i="71"/>
  <c r="F75" i="71"/>
  <c r="E75" i="71"/>
  <c r="B75" i="71"/>
  <c r="Q74" i="71"/>
  <c r="P74" i="71"/>
  <c r="O74" i="71"/>
  <c r="N74" i="71"/>
  <c r="F74" i="71"/>
  <c r="E74" i="71"/>
  <c r="B74" i="71"/>
  <c r="Q73" i="71"/>
  <c r="P73" i="71"/>
  <c r="O73" i="71"/>
  <c r="N73" i="71"/>
  <c r="D73" i="71"/>
  <c r="S72" i="71"/>
  <c r="Q72" i="71"/>
  <c r="P72" i="71"/>
  <c r="O72" i="71"/>
  <c r="N72" i="71"/>
  <c r="F72" i="71"/>
  <c r="V72" i="71" s="1"/>
  <c r="E72" i="71"/>
  <c r="U72" i="71" s="1"/>
  <c r="C72" i="71"/>
  <c r="B72" i="71"/>
  <c r="Q71" i="71"/>
  <c r="P71" i="71"/>
  <c r="O71" i="71"/>
  <c r="N71" i="71"/>
  <c r="F71" i="71"/>
  <c r="E71" i="71"/>
  <c r="B71" i="71"/>
  <c r="Q70" i="71"/>
  <c r="P70" i="71"/>
  <c r="O70" i="71"/>
  <c r="N70" i="71"/>
  <c r="F70" i="71"/>
  <c r="E70" i="71"/>
  <c r="B70" i="71"/>
  <c r="Q69" i="71"/>
  <c r="P69" i="71"/>
  <c r="O69" i="71"/>
  <c r="N69" i="71"/>
  <c r="D69" i="71"/>
  <c r="S68" i="71"/>
  <c r="N68" i="71"/>
  <c r="F68" i="71"/>
  <c r="V68" i="71" s="1"/>
  <c r="E68" i="71"/>
  <c r="U68" i="71" s="1"/>
  <c r="C68" i="71"/>
  <c r="B68" i="71"/>
  <c r="F67" i="71"/>
  <c r="Q67" i="71" s="1"/>
  <c r="E67" i="71"/>
  <c r="P67" i="71" s="1"/>
  <c r="B67" i="71"/>
  <c r="N67" i="71" s="1"/>
  <c r="P66" i="71"/>
  <c r="F66" i="71"/>
  <c r="Q66" i="71" s="1"/>
  <c r="E66" i="71"/>
  <c r="P65" i="71" s="1"/>
  <c r="B66" i="71"/>
  <c r="N66" i="71" s="1"/>
  <c r="Q65" i="71"/>
  <c r="N65" i="71"/>
  <c r="D65" i="71"/>
  <c r="S64" i="71"/>
  <c r="Q64" i="71"/>
  <c r="P64" i="71"/>
  <c r="O64" i="71"/>
  <c r="N64" i="71"/>
  <c r="Q63" i="71"/>
  <c r="P63" i="71"/>
  <c r="O63" i="71"/>
  <c r="N63" i="71"/>
  <c r="Q62" i="71"/>
  <c r="P62" i="71"/>
  <c r="O62" i="71"/>
  <c r="N62" i="71"/>
  <c r="E62" i="71"/>
  <c r="Q61" i="71"/>
  <c r="F62" i="71" s="1"/>
  <c r="F63" i="71" s="1"/>
  <c r="F64" i="71" s="1"/>
  <c r="V64" i="71" s="1"/>
  <c r="P61" i="71"/>
  <c r="O61" i="71"/>
  <c r="C62" i="71" s="1"/>
  <c r="N61" i="71"/>
  <c r="B62" i="71" s="1"/>
  <c r="B63" i="71" s="1"/>
  <c r="B64" i="71" s="1"/>
  <c r="D61" i="71"/>
  <c r="S60" i="71"/>
  <c r="Q60" i="71"/>
  <c r="P60" i="71"/>
  <c r="O60" i="71"/>
  <c r="N60" i="71"/>
  <c r="Q59" i="71"/>
  <c r="P59" i="71"/>
  <c r="O59" i="71"/>
  <c r="N59" i="71"/>
  <c r="Q58" i="71"/>
  <c r="P58" i="71"/>
  <c r="O58" i="71"/>
  <c r="N58" i="71"/>
  <c r="E58" i="71"/>
  <c r="Q57" i="71"/>
  <c r="F58" i="71" s="1"/>
  <c r="F59" i="71" s="1"/>
  <c r="F60" i="71" s="1"/>
  <c r="V60" i="71" s="1"/>
  <c r="P57" i="71"/>
  <c r="O57" i="71"/>
  <c r="C58" i="71" s="1"/>
  <c r="N57" i="71"/>
  <c r="B58" i="71" s="1"/>
  <c r="B59" i="71" s="1"/>
  <c r="B60" i="71" s="1"/>
  <c r="D57" i="71"/>
  <c r="S56" i="71"/>
  <c r="Q56" i="71"/>
  <c r="P56" i="71"/>
  <c r="O56" i="71"/>
  <c r="N56" i="71"/>
  <c r="Q55" i="71"/>
  <c r="P55" i="71"/>
  <c r="O55" i="71"/>
  <c r="N55" i="71"/>
  <c r="Q54" i="71"/>
  <c r="P54" i="71"/>
  <c r="O54" i="71"/>
  <c r="N54" i="71"/>
  <c r="E54" i="71"/>
  <c r="Q53" i="71"/>
  <c r="F54" i="71" s="1"/>
  <c r="F55" i="71" s="1"/>
  <c r="F56" i="71" s="1"/>
  <c r="V56" i="71" s="1"/>
  <c r="P53" i="71"/>
  <c r="O53" i="71"/>
  <c r="C54" i="71" s="1"/>
  <c r="N53" i="71"/>
  <c r="B54" i="71" s="1"/>
  <c r="B55" i="71" s="1"/>
  <c r="B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D46" i="71"/>
  <c r="Q45" i="71"/>
  <c r="F46" i="71" s="1"/>
  <c r="F47" i="71" s="1"/>
  <c r="F48" i="71" s="1"/>
  <c r="V48" i="71" s="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B44" i="71" s="1"/>
  <c r="S44" i="71" s="1"/>
  <c r="C43" i="71"/>
  <c r="Q42" i="71"/>
  <c r="P42" i="71"/>
  <c r="O42" i="71"/>
  <c r="N42" i="71"/>
  <c r="Q41" i="71"/>
  <c r="F42" i="71" s="1"/>
  <c r="F43" i="71" s="1"/>
  <c r="F44" i="71" s="1"/>
  <c r="V44" i="71" s="1"/>
  <c r="P41" i="71"/>
  <c r="E42" i="71" s="1"/>
  <c r="E43" i="71" s="1"/>
  <c r="E44" i="71" s="1"/>
  <c r="U44" i="71" s="1"/>
  <c r="O41" i="71"/>
  <c r="C42" i="71" s="1"/>
  <c r="D42" i="71" s="1"/>
  <c r="N41" i="71"/>
  <c r="B42" i="71" s="1"/>
  <c r="B43" i="71" s="1"/>
  <c r="D41" i="71"/>
  <c r="AH40" i="71"/>
  <c r="AG40" i="71"/>
  <c r="AE40" i="71"/>
  <c r="AF40" i="71" s="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P38" i="71"/>
  <c r="O38" i="71"/>
  <c r="Y38" i="71" s="1"/>
  <c r="Z38" i="71" s="1"/>
  <c r="N38" i="71"/>
  <c r="X38" i="71" s="1"/>
  <c r="E38" i="71"/>
  <c r="AH37" i="71"/>
  <c r="AG37" i="71"/>
  <c r="AE37" i="71"/>
  <c r="AF37" i="71" s="1"/>
  <c r="AD37" i="71"/>
  <c r="Y37" i="71"/>
  <c r="Z37" i="71" s="1"/>
  <c r="Q37" i="71"/>
  <c r="AB37" i="71" s="1"/>
  <c r="P37" i="71"/>
  <c r="O37" i="71"/>
  <c r="C38" i="71" s="1"/>
  <c r="N37" i="71"/>
  <c r="X37" i="71" s="1"/>
  <c r="D37" i="71"/>
  <c r="AH36" i="71"/>
  <c r="AG36" i="71"/>
  <c r="AF36" i="71"/>
  <c r="AE36" i="71"/>
  <c r="AD36" i="71"/>
  <c r="Q36" i="71"/>
  <c r="P36" i="71"/>
  <c r="O36" i="71"/>
  <c r="Y36" i="71" s="1"/>
  <c r="Z36" i="71" s="1"/>
  <c r="N36" i="71"/>
  <c r="X36" i="71" s="1"/>
  <c r="AH35" i="71"/>
  <c r="AG35" i="71"/>
  <c r="AF35" i="71"/>
  <c r="AE35" i="71"/>
  <c r="AD35" i="71"/>
  <c r="AA35" i="71"/>
  <c r="Q35" i="71"/>
  <c r="P35" i="71"/>
  <c r="O35" i="71"/>
  <c r="Y35" i="71" s="1"/>
  <c r="Z35" i="71" s="1"/>
  <c r="N35" i="71"/>
  <c r="AH34" i="71"/>
  <c r="AG34" i="71"/>
  <c r="AE34" i="71"/>
  <c r="AF34" i="71" s="1"/>
  <c r="AD34" i="71"/>
  <c r="Q34" i="71"/>
  <c r="P34" i="71"/>
  <c r="O34" i="71"/>
  <c r="N34" i="71"/>
  <c r="E34" i="71"/>
  <c r="AH33" i="71"/>
  <c r="AG33" i="71"/>
  <c r="AE33" i="71"/>
  <c r="AF33" i="71" s="1"/>
  <c r="AD33" i="71"/>
  <c r="Y33" i="71"/>
  <c r="Z33" i="71" s="1"/>
  <c r="Q33" i="71"/>
  <c r="P33" i="71"/>
  <c r="O33" i="71"/>
  <c r="C34" i="71" s="1"/>
  <c r="N33" i="71"/>
  <c r="X33" i="71" s="1"/>
  <c r="D33" i="71"/>
  <c r="AH32" i="71"/>
  <c r="AG32" i="71"/>
  <c r="AF32" i="71"/>
  <c r="AE32" i="71"/>
  <c r="AD32" i="71"/>
  <c r="X32" i="71"/>
  <c r="Q32" i="71"/>
  <c r="P32" i="71"/>
  <c r="O32" i="71"/>
  <c r="Y32" i="71" s="1"/>
  <c r="Z32" i="71" s="1"/>
  <c r="N32" i="71"/>
  <c r="AH31" i="71"/>
  <c r="AG31" i="71"/>
  <c r="AF31" i="71"/>
  <c r="AE31" i="71"/>
  <c r="AD31" i="71"/>
  <c r="AA31" i="71"/>
  <c r="Q31" i="71"/>
  <c r="P31" i="71"/>
  <c r="O31" i="71"/>
  <c r="Y31" i="71" s="1"/>
  <c r="Z31" i="71" s="1"/>
  <c r="N31" i="71"/>
  <c r="X31" i="71" s="1"/>
  <c r="AH30" i="71"/>
  <c r="AG30" i="71"/>
  <c r="AE30" i="71"/>
  <c r="AF30" i="71" s="1"/>
  <c r="AD30" i="71"/>
  <c r="Q30" i="71"/>
  <c r="AB30" i="71" s="1"/>
  <c r="P30" i="71"/>
  <c r="O30" i="71"/>
  <c r="N30" i="71"/>
  <c r="E30" i="71"/>
  <c r="E31" i="71" s="1"/>
  <c r="E32" i="71" s="1"/>
  <c r="U32" i="71" s="1"/>
  <c r="AH29" i="71"/>
  <c r="AG29" i="71"/>
  <c r="AE29" i="71"/>
  <c r="AF29" i="71" s="1"/>
  <c r="AD29" i="71"/>
  <c r="Q29" i="71"/>
  <c r="P29" i="71"/>
  <c r="O29" i="71"/>
  <c r="N29" i="71"/>
  <c r="D29" i="71"/>
  <c r="AH28" i="71"/>
  <c r="AG28" i="71"/>
  <c r="AF28" i="71"/>
  <c r="AE28" i="71"/>
  <c r="AD28" i="71"/>
  <c r="AB28" i="71"/>
  <c r="V28" i="71"/>
  <c r="Q28" i="71"/>
  <c r="P28" i="71"/>
  <c r="O28" i="71"/>
  <c r="N28" i="71"/>
  <c r="B28" i="71" s="1"/>
  <c r="S28" i="71" s="1"/>
  <c r="F28" i="71"/>
  <c r="E28" i="71"/>
  <c r="C28" i="71"/>
  <c r="AH27" i="71"/>
  <c r="AG27" i="71"/>
  <c r="AF27" i="71"/>
  <c r="AE27" i="71"/>
  <c r="AD27" i="71"/>
  <c r="Q27" i="71"/>
  <c r="P27" i="71"/>
  <c r="O27" i="71"/>
  <c r="N27" i="71"/>
  <c r="X27" i="71" s="1"/>
  <c r="F27" i="71"/>
  <c r="E27" i="71"/>
  <c r="C27" i="71"/>
  <c r="D27" i="71" s="1"/>
  <c r="B27" i="71"/>
  <c r="B26" i="71" s="1"/>
  <c r="AH26" i="71"/>
  <c r="AG26" i="71"/>
  <c r="AE26" i="71"/>
  <c r="AF26" i="71" s="1"/>
  <c r="AD26" i="71"/>
  <c r="Q26" i="71"/>
  <c r="AB26" i="71" s="1"/>
  <c r="P26" i="71"/>
  <c r="O26" i="71"/>
  <c r="N26" i="71"/>
  <c r="X26" i="71" s="1"/>
  <c r="F26" i="71"/>
  <c r="E26" i="71"/>
  <c r="AH25" i="71"/>
  <c r="AG25" i="71"/>
  <c r="AE25" i="71"/>
  <c r="AF25" i="71" s="1"/>
  <c r="AD25" i="71"/>
  <c r="Q25" i="71"/>
  <c r="AB25" i="71" s="1"/>
  <c r="P25" i="71"/>
  <c r="AA25" i="71" s="1"/>
  <c r="O25" i="71"/>
  <c r="N25" i="71"/>
  <c r="X25" i="71" s="1"/>
  <c r="D25" i="71"/>
  <c r="AH24" i="71"/>
  <c r="AG24" i="71"/>
  <c r="AE24" i="71"/>
  <c r="AF24" i="71" s="1"/>
  <c r="AD24" i="71"/>
  <c r="AB24" i="71"/>
  <c r="Q24" i="71"/>
  <c r="P24" i="71"/>
  <c r="AA24" i="71" s="1"/>
  <c r="O24" i="71"/>
  <c r="N24" i="71"/>
  <c r="B24" i="71" s="1"/>
  <c r="B23" i="71" s="1"/>
  <c r="B22" i="71" s="1"/>
  <c r="B21" i="71" s="1"/>
  <c r="F24" i="71"/>
  <c r="E24" i="71"/>
  <c r="V24" i="71" s="1"/>
  <c r="C24" i="71"/>
  <c r="AH23" i="71"/>
  <c r="AG23" i="71"/>
  <c r="AF23" i="71"/>
  <c r="AE23" i="71"/>
  <c r="AD23" i="71"/>
  <c r="AA23" i="71"/>
  <c r="Q23" i="71"/>
  <c r="P23" i="71"/>
  <c r="O23" i="71"/>
  <c r="N23" i="71"/>
  <c r="X23" i="71" s="1"/>
  <c r="F23" i="71"/>
  <c r="F22" i="71" s="1"/>
  <c r="F21" i="71" s="1"/>
  <c r="F20" i="71" s="1"/>
  <c r="AH22" i="71"/>
  <c r="AG22" i="71"/>
  <c r="AE22" i="71"/>
  <c r="AF22" i="71" s="1"/>
  <c r="AD22" i="71"/>
  <c r="Q22" i="71"/>
  <c r="P22" i="71"/>
  <c r="O22" i="71"/>
  <c r="N22" i="71"/>
  <c r="X22" i="71" s="1"/>
  <c r="AH21" i="71"/>
  <c r="AG21" i="71"/>
  <c r="AE21" i="71"/>
  <c r="AF21" i="71" s="1"/>
  <c r="AD21" i="71"/>
  <c r="Y21" i="71"/>
  <c r="Z21" i="71" s="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AH18" i="71"/>
  <c r="AG18" i="71"/>
  <c r="AE18" i="71"/>
  <c r="AF18" i="71" s="1"/>
  <c r="AD18" i="71"/>
  <c r="Q18" i="71"/>
  <c r="P18" i="71"/>
  <c r="O18" i="71"/>
  <c r="N18" i="71"/>
  <c r="AH17" i="71"/>
  <c r="AG17" i="71"/>
  <c r="AE17" i="71"/>
  <c r="AF17" i="71" s="1"/>
  <c r="AD17" i="71"/>
  <c r="Y17" i="71"/>
  <c r="Z17" i="71" s="1"/>
  <c r="Q17" i="71"/>
  <c r="P17" i="71"/>
  <c r="O17" i="71"/>
  <c r="N17" i="71"/>
  <c r="AH16" i="71"/>
  <c r="AG16" i="71"/>
  <c r="AE16" i="71"/>
  <c r="AF16" i="71" s="1"/>
  <c r="AD16" i="71"/>
  <c r="Q16" i="71"/>
  <c r="P16" i="71"/>
  <c r="O16" i="71"/>
  <c r="N16" i="71"/>
  <c r="X16" i="71" s="1"/>
  <c r="AH15" i="71"/>
  <c r="AG15" i="71"/>
  <c r="AF15" i="71"/>
  <c r="AE15" i="71"/>
  <c r="AD15" i="71"/>
  <c r="Q15" i="71"/>
  <c r="P15" i="71"/>
  <c r="O15" i="71"/>
  <c r="N15" i="71"/>
  <c r="F15" i="71"/>
  <c r="F14" i="71" s="1"/>
  <c r="F13" i="71" s="1"/>
  <c r="F12" i="71" s="1"/>
  <c r="F11" i="71" s="1"/>
  <c r="F10" i="71" s="1"/>
  <c r="F9" i="71" s="1"/>
  <c r="F8" i="71" s="1"/>
  <c r="F7" i="71" s="1"/>
  <c r="F6" i="71" s="1"/>
  <c r="F5" i="71" s="1"/>
  <c r="AH14" i="71"/>
  <c r="AG14" i="71"/>
  <c r="AE14" i="71"/>
  <c r="AF14" i="71" s="1"/>
  <c r="AD14" i="71"/>
  <c r="Q14" i="71"/>
  <c r="P14" i="71"/>
  <c r="O14" i="71"/>
  <c r="N14" i="71"/>
  <c r="AH13" i="71"/>
  <c r="AG13" i="71"/>
  <c r="AE13" i="71"/>
  <c r="AF13" i="71" s="1"/>
  <c r="AD13" i="71"/>
  <c r="Y13" i="71"/>
  <c r="Z13" i="71" s="1"/>
  <c r="Q13" i="71"/>
  <c r="P13" i="71"/>
  <c r="O13" i="71"/>
  <c r="N13" i="71"/>
  <c r="AH12" i="71"/>
  <c r="AG12" i="71"/>
  <c r="AE12" i="71"/>
  <c r="AF12" i="71" s="1"/>
  <c r="AD12" i="71"/>
  <c r="X12" i="71"/>
  <c r="Q12" i="71"/>
  <c r="P12" i="71"/>
  <c r="O12" i="71"/>
  <c r="N12" i="71"/>
  <c r="AH11" i="71"/>
  <c r="AG11" i="71"/>
  <c r="AF11" i="71"/>
  <c r="AE11" i="71"/>
  <c r="AD11" i="71"/>
  <c r="Q11" i="71"/>
  <c r="P11" i="71"/>
  <c r="O11" i="71"/>
  <c r="N11" i="71"/>
  <c r="X11" i="71" s="1"/>
  <c r="AH10" i="71"/>
  <c r="AG10" i="71"/>
  <c r="AE10" i="71"/>
  <c r="AF10" i="71" s="1"/>
  <c r="AD10" i="71"/>
  <c r="Q10" i="71"/>
  <c r="P10" i="71"/>
  <c r="O10" i="71"/>
  <c r="N10" i="71"/>
  <c r="AH9" i="71"/>
  <c r="AG9" i="71"/>
  <c r="AE9" i="71"/>
  <c r="AF9" i="71" s="1"/>
  <c r="AD9" i="71"/>
  <c r="Q9" i="71"/>
  <c r="AB9" i="71" s="1"/>
  <c r="P9" i="71"/>
  <c r="O9" i="71"/>
  <c r="N9" i="71"/>
  <c r="AH8" i="71"/>
  <c r="AG8" i="71"/>
  <c r="AF8" i="71"/>
  <c r="AE8" i="71"/>
  <c r="AD8" i="71"/>
  <c r="Q8" i="71"/>
  <c r="P8" i="71"/>
  <c r="O8" i="71"/>
  <c r="N8" i="71"/>
  <c r="AH7" i="71"/>
  <c r="AG7" i="71"/>
  <c r="AF7" i="71"/>
  <c r="AE7" i="71"/>
  <c r="AD7" i="71"/>
  <c r="AB7" i="71"/>
  <c r="AA7" i="71"/>
  <c r="Y7" i="71"/>
  <c r="Z7" i="71" s="1"/>
  <c r="X7" i="71"/>
  <c r="Q7" i="71"/>
  <c r="P7" i="71"/>
  <c r="O7" i="71"/>
  <c r="N7" i="71"/>
  <c r="X3" i="71" s="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N5" i="71"/>
  <c r="AH3" i="71"/>
  <c r="AG3" i="71"/>
  <c r="AD3" i="71"/>
  <c r="L3" i="71"/>
  <c r="K3" i="71"/>
  <c r="J3" i="71"/>
  <c r="AE3" i="71" s="1"/>
  <c r="AF3" i="71" s="1"/>
  <c r="I3" i="71"/>
  <c r="AD52" i="79"/>
  <c r="AB52" i="79"/>
  <c r="AA52" i="79"/>
  <c r="Z52" i="79"/>
  <c r="W52" i="79"/>
  <c r="N52" i="79"/>
  <c r="M52" i="79"/>
  <c r="P52" i="79" s="1"/>
  <c r="L52" i="79"/>
  <c r="I52" i="79"/>
  <c r="AD51" i="79"/>
  <c r="AB51" i="79"/>
  <c r="AA51" i="79"/>
  <c r="Z51" i="79"/>
  <c r="U51" i="79"/>
  <c r="AI51" i="79" s="1"/>
  <c r="N51" i="79"/>
  <c r="M51" i="79"/>
  <c r="L51" i="79"/>
  <c r="S51" i="79" s="1"/>
  <c r="AG51" i="79" s="1"/>
  <c r="I51" i="79"/>
  <c r="AB50" i="79"/>
  <c r="AA50" i="79"/>
  <c r="Z50" i="79"/>
  <c r="U50" i="79"/>
  <c r="AI50" i="79" s="1"/>
  <c r="P50" i="79"/>
  <c r="N50" i="79"/>
  <c r="M50" i="79"/>
  <c r="L50" i="79"/>
  <c r="S50" i="79" s="1"/>
  <c r="AG50" i="79" s="1"/>
  <c r="I50" i="79"/>
  <c r="AD50" i="79" s="1"/>
  <c r="AB49" i="79"/>
  <c r="AA49" i="79"/>
  <c r="Z49" i="79"/>
  <c r="P49" i="79"/>
  <c r="N49" i="79"/>
  <c r="U49" i="79" s="1"/>
  <c r="AI49" i="79" s="1"/>
  <c r="M49" i="79"/>
  <c r="L49" i="79"/>
  <c r="S49" i="79" s="1"/>
  <c r="AG49" i="79" s="1"/>
  <c r="I49" i="79"/>
  <c r="AD49" i="79" s="1"/>
  <c r="AB48" i="79"/>
  <c r="AA48" i="79"/>
  <c r="Z48" i="79"/>
  <c r="S48" i="79"/>
  <c r="AG48" i="79" s="1"/>
  <c r="N48" i="79"/>
  <c r="U48" i="79" s="1"/>
  <c r="AI48" i="79" s="1"/>
  <c r="M48" i="79"/>
  <c r="P48" i="79" s="1"/>
  <c r="L48" i="79"/>
  <c r="I48" i="79"/>
  <c r="AB47" i="79"/>
  <c r="AA47" i="79"/>
  <c r="Z47" i="79"/>
  <c r="T47" i="79"/>
  <c r="W47" i="79" s="1"/>
  <c r="AK47" i="79" s="1"/>
  <c r="N47" i="79"/>
  <c r="U47" i="79" s="1"/>
  <c r="AI47" i="79" s="1"/>
  <c r="M47" i="79"/>
  <c r="P47" i="79" s="1"/>
  <c r="L47" i="79"/>
  <c r="S47" i="79" s="1"/>
  <c r="AG47" i="79" s="1"/>
  <c r="I47" i="79"/>
  <c r="AD47" i="79" s="1"/>
  <c r="AB46" i="79"/>
  <c r="AA46" i="79"/>
  <c r="Z46" i="79"/>
  <c r="P46" i="79"/>
  <c r="N46" i="79"/>
  <c r="U46" i="79" s="1"/>
  <c r="AI46" i="79" s="1"/>
  <c r="M46" i="79"/>
  <c r="L46" i="79"/>
  <c r="S46" i="79" s="1"/>
  <c r="AG46" i="79" s="1"/>
  <c r="I46" i="79"/>
  <c r="AB45" i="79"/>
  <c r="AA45" i="79"/>
  <c r="Z45" i="79"/>
  <c r="P45" i="79"/>
  <c r="N45" i="79"/>
  <c r="M45" i="79"/>
  <c r="L45" i="79"/>
  <c r="S45" i="79" s="1"/>
  <c r="AG45" i="79" s="1"/>
  <c r="I45" i="79"/>
  <c r="AD45" i="79" s="1"/>
  <c r="S44" i="79"/>
  <c r="AG44" i="79" s="1"/>
  <c r="N44" i="79"/>
  <c r="M44" i="79"/>
  <c r="P44" i="79" s="1"/>
  <c r="L44" i="79"/>
  <c r="I44" i="79"/>
  <c r="N43" i="79"/>
  <c r="M43" i="79"/>
  <c r="P43" i="79" s="1"/>
  <c r="L43" i="79"/>
  <c r="S43" i="79" s="1"/>
  <c r="AG43" i="79" s="1"/>
  <c r="I43" i="79"/>
  <c r="U42" i="79"/>
  <c r="AI42" i="79" s="1"/>
  <c r="P42" i="79"/>
  <c r="N42" i="79"/>
  <c r="M42" i="79"/>
  <c r="T42" i="79" s="1"/>
  <c r="L42" i="79"/>
  <c r="S42" i="79" s="1"/>
  <c r="AG42" i="79" s="1"/>
  <c r="I42" i="79"/>
  <c r="W41" i="79"/>
  <c r="AK41" i="79" s="1"/>
  <c r="P41" i="79"/>
  <c r="N41" i="79"/>
  <c r="M41" i="79"/>
  <c r="T41" i="79" s="1"/>
  <c r="AH41" i="79" s="1"/>
  <c r="L41" i="79"/>
  <c r="S41" i="79" s="1"/>
  <c r="AG41" i="79" s="1"/>
  <c r="I41" i="79"/>
  <c r="S40" i="79"/>
  <c r="AG40" i="79" s="1"/>
  <c r="N40" i="79"/>
  <c r="M40" i="79"/>
  <c r="P40" i="79" s="1"/>
  <c r="L40" i="79"/>
  <c r="I40" i="79"/>
  <c r="AB39" i="79"/>
  <c r="AA39" i="79"/>
  <c r="Z39" i="79"/>
  <c r="N39" i="79"/>
  <c r="M39" i="79"/>
  <c r="L39" i="79"/>
  <c r="I39" i="79"/>
  <c r="AP38" i="79"/>
  <c r="AP39" i="79" s="1"/>
  <c r="AP40" i="79" s="1"/>
  <c r="AP41" i="79" s="1"/>
  <c r="AP42" i="79" s="1"/>
  <c r="AP43" i="79" s="1"/>
  <c r="AP44" i="79" s="1"/>
  <c r="AP45" i="79" s="1"/>
  <c r="AP46" i="79" s="1"/>
  <c r="AP47" i="79" s="1"/>
  <c r="AP48" i="79" s="1"/>
  <c r="AP49" i="79" s="1"/>
  <c r="AP50" i="79" s="1"/>
  <c r="AP51" i="79" s="1"/>
  <c r="AP52" i="79" s="1"/>
  <c r="AB38" i="79"/>
  <c r="AA38" i="79"/>
  <c r="Z38" i="79"/>
  <c r="P38" i="79"/>
  <c r="N38" i="79"/>
  <c r="M38" i="79"/>
  <c r="L38" i="79"/>
  <c r="S38" i="79" s="1"/>
  <c r="AG38" i="79" s="1"/>
  <c r="I38" i="79"/>
  <c r="AD37" i="79"/>
  <c r="AB37" i="79"/>
  <c r="AA37" i="79"/>
  <c r="Z37" i="79"/>
  <c r="P37" i="79"/>
  <c r="N37" i="79"/>
  <c r="M37" i="79"/>
  <c r="L37" i="79"/>
  <c r="S37" i="79" s="1"/>
  <c r="AG37" i="79" s="1"/>
  <c r="I37" i="79"/>
  <c r="AB36" i="79"/>
  <c r="AA36" i="79"/>
  <c r="Z36" i="79"/>
  <c r="S36" i="79"/>
  <c r="AG36" i="79" s="1"/>
  <c r="N36" i="79"/>
  <c r="M36" i="79"/>
  <c r="P36" i="79" s="1"/>
  <c r="L36" i="79"/>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B35" i="79"/>
  <c r="AA35" i="79"/>
  <c r="AA31" i="79" s="1"/>
  <c r="AD31" i="79" s="1"/>
  <c r="Z35" i="79"/>
  <c r="N35" i="79"/>
  <c r="M35" i="79"/>
  <c r="P35" i="79" s="1"/>
  <c r="L35" i="79"/>
  <c r="I35" i="79"/>
  <c r="AD35" i="79" s="1"/>
  <c r="AR34" i="79"/>
  <c r="AP34" i="79"/>
  <c r="AP35" i="79" s="1"/>
  <c r="AP36" i="79" s="1"/>
  <c r="AP37" i="79" s="1"/>
  <c r="AO34" i="79"/>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s="1"/>
  <c r="AG34" i="79" s="1"/>
  <c r="I34" i="79"/>
  <c r="AD34" i="79" s="1"/>
  <c r="AD33" i="79"/>
  <c r="AB33" i="79"/>
  <c r="AA33" i="79"/>
  <c r="Z33" i="79"/>
  <c r="P33" i="79"/>
  <c r="N33" i="79"/>
  <c r="M33" i="79"/>
  <c r="L33" i="79"/>
  <c r="I33" i="79"/>
  <c r="Z31" i="79"/>
  <c r="T31" i="79"/>
  <c r="W31" i="79" s="1"/>
  <c r="G31" i="79"/>
  <c r="F31" i="79"/>
  <c r="I31" i="79" s="1"/>
  <c r="E31" i="79"/>
  <c r="AD24" i="79"/>
  <c r="AC24" i="79"/>
  <c r="AB24" i="79"/>
  <c r="AA24" i="79"/>
  <c r="Z24" i="79"/>
  <c r="Y24" i="79"/>
  <c r="W24" i="79"/>
  <c r="P24" i="79"/>
  <c r="O24" i="79"/>
  <c r="N24" i="79"/>
  <c r="M24" i="79"/>
  <c r="L24" i="79"/>
  <c r="K24" i="79"/>
  <c r="I24" i="79"/>
  <c r="AG23" i="79"/>
  <c r="AC23" i="79"/>
  <c r="AB23" i="79"/>
  <c r="AA23" i="79"/>
  <c r="AD23" i="79" s="1"/>
  <c r="Z23" i="79"/>
  <c r="Y23" i="79"/>
  <c r="V23" i="79"/>
  <c r="AJ23" i="79" s="1"/>
  <c r="S23" i="79"/>
  <c r="O23" i="79"/>
  <c r="V22" i="79" s="1"/>
  <c r="AJ22" i="79" s="1"/>
  <c r="N23" i="79"/>
  <c r="U23" i="79" s="1"/>
  <c r="AI23" i="79" s="1"/>
  <c r="M23" i="79"/>
  <c r="P23" i="79" s="1"/>
  <c r="L23" i="79"/>
  <c r="K23" i="79"/>
  <c r="I23" i="79"/>
  <c r="AD22" i="79"/>
  <c r="AC22" i="79"/>
  <c r="AB22" i="79"/>
  <c r="AA22" i="79"/>
  <c r="Z22" i="79"/>
  <c r="Y22" i="79"/>
  <c r="S22" i="79"/>
  <c r="AG22" i="79" s="1"/>
  <c r="P22" i="79"/>
  <c r="O22" i="79"/>
  <c r="N22" i="79"/>
  <c r="M22" i="79"/>
  <c r="L22" i="79"/>
  <c r="K22" i="79"/>
  <c r="I22" i="79"/>
  <c r="AH21" i="79"/>
  <c r="AD21" i="79"/>
  <c r="AC21" i="79"/>
  <c r="AB21" i="79"/>
  <c r="AA21" i="79"/>
  <c r="Z21" i="79"/>
  <c r="Y21" i="79"/>
  <c r="V21" i="79"/>
  <c r="AJ21" i="79" s="1"/>
  <c r="P21" i="79"/>
  <c r="O21" i="79"/>
  <c r="N21" i="79"/>
  <c r="M21" i="79"/>
  <c r="T21" i="79" s="1"/>
  <c r="W21" i="79" s="1"/>
  <c r="AK21" i="79" s="1"/>
  <c r="L21" i="79"/>
  <c r="K21" i="79"/>
  <c r="I21" i="79"/>
  <c r="AD20" i="79"/>
  <c r="AC20" i="79"/>
  <c r="AB20" i="79"/>
  <c r="AA20" i="79"/>
  <c r="Z20" i="79"/>
  <c r="Y20" i="79"/>
  <c r="T20" i="79"/>
  <c r="P20" i="79"/>
  <c r="O20" i="79"/>
  <c r="N20" i="79"/>
  <c r="U20" i="79" s="1"/>
  <c r="AI20" i="79" s="1"/>
  <c r="M20" i="79"/>
  <c r="L20" i="79"/>
  <c r="S20" i="79" s="1"/>
  <c r="AG20" i="79" s="1"/>
  <c r="K20" i="79"/>
  <c r="I20" i="79"/>
  <c r="AC19" i="79"/>
  <c r="AB19" i="79"/>
  <c r="AA19" i="79"/>
  <c r="AD19" i="79" s="1"/>
  <c r="Z19" i="79"/>
  <c r="Y19" i="79"/>
  <c r="O19" i="79"/>
  <c r="V17" i="79" s="1"/>
  <c r="AJ17" i="79" s="1"/>
  <c r="N19" i="79"/>
  <c r="M19" i="79"/>
  <c r="P19" i="79" s="1"/>
  <c r="L19" i="79"/>
  <c r="K19" i="79"/>
  <c r="R19" i="79" s="1"/>
  <c r="AF19" i="79" s="1"/>
  <c r="I19" i="79"/>
  <c r="AD18" i="79"/>
  <c r="AC18" i="79"/>
  <c r="AB18" i="79"/>
  <c r="AA18" i="79"/>
  <c r="Z18" i="79"/>
  <c r="Y18" i="79"/>
  <c r="P18" i="79"/>
  <c r="O18" i="79"/>
  <c r="V18" i="79" s="1"/>
  <c r="AJ18" i="79" s="1"/>
  <c r="N18" i="79"/>
  <c r="U18" i="79" s="1"/>
  <c r="AI18" i="79" s="1"/>
  <c r="M18" i="79"/>
  <c r="L18" i="79"/>
  <c r="K18" i="79"/>
  <c r="R18" i="79" s="1"/>
  <c r="AF18" i="79" s="1"/>
  <c r="I18" i="79"/>
  <c r="AC17" i="79"/>
  <c r="AB17" i="79"/>
  <c r="AA17" i="79"/>
  <c r="AD17" i="79" s="1"/>
  <c r="Z17" i="79"/>
  <c r="Y17" i="79"/>
  <c r="O17" i="79"/>
  <c r="N17" i="79"/>
  <c r="U17" i="79" s="1"/>
  <c r="AI17" i="79" s="1"/>
  <c r="M17" i="79"/>
  <c r="L17" i="79"/>
  <c r="K17" i="79"/>
  <c r="I17" i="79"/>
  <c r="P16" i="79"/>
  <c r="O16" i="79"/>
  <c r="V16" i="79" s="1"/>
  <c r="AJ16" i="79" s="1"/>
  <c r="N16" i="79"/>
  <c r="M16" i="79"/>
  <c r="L16" i="79"/>
  <c r="K16" i="79"/>
  <c r="R16" i="79" s="1"/>
  <c r="AF16" i="79" s="1"/>
  <c r="I16" i="79"/>
  <c r="T15" i="79"/>
  <c r="P15" i="79"/>
  <c r="O15" i="79"/>
  <c r="N15" i="79"/>
  <c r="M15" i="79"/>
  <c r="L15" i="79"/>
  <c r="K15" i="79"/>
  <c r="I15" i="79"/>
  <c r="AP14" i="79"/>
  <c r="AP15" i="79" s="1"/>
  <c r="AP16" i="79" s="1"/>
  <c r="AP17" i="79" s="1"/>
  <c r="AP18" i="79" s="1"/>
  <c r="AP19" i="79" s="1"/>
  <c r="AP20" i="79" s="1"/>
  <c r="AP21" i="79" s="1"/>
  <c r="AP22" i="79" s="1"/>
  <c r="AP23" i="79" s="1"/>
  <c r="AP24" i="79" s="1"/>
  <c r="P14" i="79"/>
  <c r="O14" i="79"/>
  <c r="N14" i="79"/>
  <c r="M14" i="79"/>
  <c r="T14" i="79" s="1"/>
  <c r="L14" i="79"/>
  <c r="K14" i="79"/>
  <c r="I14" i="79"/>
  <c r="R13" i="79"/>
  <c r="AF13" i="79" s="1"/>
  <c r="O13" i="79"/>
  <c r="N13" i="79"/>
  <c r="M13" i="79"/>
  <c r="L13" i="79"/>
  <c r="K13" i="79"/>
  <c r="I13" i="79"/>
  <c r="P12" i="79"/>
  <c r="O12" i="79"/>
  <c r="V12" i="79" s="1"/>
  <c r="AJ12" i="79" s="1"/>
  <c r="N12" i="79"/>
  <c r="M12" i="79"/>
  <c r="L12" i="79"/>
  <c r="K12" i="79"/>
  <c r="R12" i="79" s="1"/>
  <c r="AF12" i="79" s="1"/>
  <c r="I12" i="79"/>
  <c r="AF11" i="79"/>
  <c r="AC11" i="79"/>
  <c r="AB11" i="79"/>
  <c r="AB3" i="79" s="1"/>
  <c r="AA11" i="79"/>
  <c r="Z11" i="79"/>
  <c r="Y11" i="79"/>
  <c r="R11" i="79"/>
  <c r="O11" i="79"/>
  <c r="N11" i="79"/>
  <c r="M11" i="79"/>
  <c r="L11" i="79"/>
  <c r="K11" i="79"/>
  <c r="I11" i="79"/>
  <c r="AD10" i="79"/>
  <c r="AC10" i="79"/>
  <c r="AB10" i="79"/>
  <c r="AA10" i="79"/>
  <c r="Z10" i="79"/>
  <c r="Y10" i="79"/>
  <c r="P10" i="79"/>
  <c r="O10" i="79"/>
  <c r="N10" i="79"/>
  <c r="M10" i="79"/>
  <c r="T10" i="79" s="1"/>
  <c r="L10" i="79"/>
  <c r="K10" i="79"/>
  <c r="I10" i="79"/>
  <c r="AQ9" i="79"/>
  <c r="AQ10" i="79" s="1"/>
  <c r="AQ11" i="79" s="1"/>
  <c r="AQ12" i="79" s="1"/>
  <c r="AQ13" i="79" s="1"/>
  <c r="AQ14" i="79" s="1"/>
  <c r="AQ15" i="79" s="1"/>
  <c r="AQ16" i="79" s="1"/>
  <c r="AQ17" i="79" s="1"/>
  <c r="AQ18" i="79" s="1"/>
  <c r="AQ19" i="79" s="1"/>
  <c r="AQ20" i="79" s="1"/>
  <c r="AQ21" i="79" s="1"/>
  <c r="AQ22" i="79" s="1"/>
  <c r="AQ23" i="79" s="1"/>
  <c r="AQ24" i="79" s="1"/>
  <c r="AM9" i="79"/>
  <c r="AM10" i="79" s="1"/>
  <c r="AM11" i="79" s="1"/>
  <c r="AM12" i="79" s="1"/>
  <c r="AM13" i="79" s="1"/>
  <c r="AM14" i="79" s="1"/>
  <c r="AM15" i="79" s="1"/>
  <c r="AM16" i="79" s="1"/>
  <c r="AM17" i="79" s="1"/>
  <c r="AM18" i="79" s="1"/>
  <c r="AM19" i="79" s="1"/>
  <c r="AM20" i="79" s="1"/>
  <c r="AM21" i="79" s="1"/>
  <c r="AM22" i="79" s="1"/>
  <c r="AM23" i="79" s="1"/>
  <c r="AM24" i="79" s="1"/>
  <c r="AD9" i="79"/>
  <c r="AC9" i="79"/>
  <c r="AB9" i="79"/>
  <c r="AA9" i="79"/>
  <c r="Z9" i="79"/>
  <c r="Y9" i="79"/>
  <c r="T9" i="79"/>
  <c r="W9" i="79" s="1"/>
  <c r="AK9" i="79" s="1"/>
  <c r="P9" i="79"/>
  <c r="O9" i="79"/>
  <c r="N9" i="79"/>
  <c r="M9" i="79"/>
  <c r="L9" i="79"/>
  <c r="K9" i="79"/>
  <c r="I9" i="79"/>
  <c r="AQ8" i="79"/>
  <c r="AP8" i="79"/>
  <c r="AP9" i="79" s="1"/>
  <c r="AP10" i="79" s="1"/>
  <c r="AP11" i="79" s="1"/>
  <c r="AP12" i="79" s="1"/>
  <c r="AP13" i="79" s="1"/>
  <c r="AM8" i="79"/>
  <c r="AD8" i="79"/>
  <c r="AC8" i="79"/>
  <c r="AB8" i="79"/>
  <c r="AA8" i="79"/>
  <c r="Z8" i="79"/>
  <c r="Y8" i="79"/>
  <c r="S8" i="79"/>
  <c r="AG8" i="79" s="1"/>
  <c r="P8" i="79"/>
  <c r="O8" i="79"/>
  <c r="N8" i="79"/>
  <c r="M8" i="79"/>
  <c r="L8" i="79"/>
  <c r="K8" i="79"/>
  <c r="I8" i="79"/>
  <c r="AQ7" i="79"/>
  <c r="AP7" i="79"/>
  <c r="AO7" i="79"/>
  <c r="AO8" i="79" s="1"/>
  <c r="AO9" i="79" s="1"/>
  <c r="AO10" i="79" s="1"/>
  <c r="AO11" i="79" s="1"/>
  <c r="AO12" i="79" s="1"/>
  <c r="AO13" i="79" s="1"/>
  <c r="AO14" i="79" s="1"/>
  <c r="AO15" i="79" s="1"/>
  <c r="AO16" i="79" s="1"/>
  <c r="AO17" i="79" s="1"/>
  <c r="AO18" i="79" s="1"/>
  <c r="AO19" i="79" s="1"/>
  <c r="AO20" i="79" s="1"/>
  <c r="AO21" i="79" s="1"/>
  <c r="AO22" i="79" s="1"/>
  <c r="AO23" i="79" s="1"/>
  <c r="AO24" i="79" s="1"/>
  <c r="AM7" i="79"/>
  <c r="AJ7" i="79"/>
  <c r="AC7" i="79"/>
  <c r="AB7" i="79"/>
  <c r="AA7" i="79"/>
  <c r="AD7" i="79" s="1"/>
  <c r="Z7" i="79"/>
  <c r="Y7" i="79"/>
  <c r="V7" i="79"/>
  <c r="R7" i="79"/>
  <c r="AF7" i="79" s="1"/>
  <c r="O7" i="79"/>
  <c r="N7" i="79"/>
  <c r="M7" i="79"/>
  <c r="L7" i="79"/>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U6" i="79"/>
  <c r="AI6" i="79" s="1"/>
  <c r="P6" i="79"/>
  <c r="O6" i="79"/>
  <c r="N6" i="79"/>
  <c r="M6" i="79"/>
  <c r="T6" i="79" s="1"/>
  <c r="L6" i="79"/>
  <c r="K6" i="79"/>
  <c r="I6" i="79"/>
  <c r="AJ5" i="79"/>
  <c r="AC5" i="79"/>
  <c r="AB5" i="79"/>
  <c r="AA5" i="79"/>
  <c r="AD5" i="79" s="1"/>
  <c r="Z5" i="79"/>
  <c r="Y5" i="79"/>
  <c r="V5" i="79"/>
  <c r="R5" i="79"/>
  <c r="AF5" i="79" s="1"/>
  <c r="O5" i="79"/>
  <c r="N5" i="79"/>
  <c r="M5" i="79"/>
  <c r="L5" i="79"/>
  <c r="K5" i="79"/>
  <c r="I5" i="79"/>
  <c r="Z3" i="79"/>
  <c r="I3" i="79"/>
  <c r="H3" i="79"/>
  <c r="G3" i="79"/>
  <c r="F3" i="79"/>
  <c r="E3" i="79"/>
  <c r="D3" i="79"/>
  <c r="F38" i="11"/>
  <c r="E37" i="11"/>
  <c r="F36" i="11"/>
  <c r="F35" i="11"/>
  <c r="F21" i="1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I12" i="31"/>
  <c r="J12" i="31" s="1"/>
  <c r="K12" i="31" s="1"/>
  <c r="L12" i="31" s="1"/>
  <c r="M12" i="31" s="1"/>
  <c r="N12" i="31" s="1"/>
  <c r="O12" i="31" s="1"/>
  <c r="P12" i="31" s="1"/>
  <c r="Q12" i="31" s="1"/>
  <c r="R12" i="31" s="1"/>
  <c r="S12" i="31" s="1"/>
  <c r="E12" i="31"/>
  <c r="F12" i="31" s="1"/>
  <c r="G12" i="31" s="1"/>
  <c r="H12" i="31" s="1"/>
  <c r="D12" i="31"/>
  <c r="F10" i="31"/>
  <c r="G10" i="31" s="1"/>
  <c r="H10" i="31" s="1"/>
  <c r="I10" i="31" s="1"/>
  <c r="J10" i="31" s="1"/>
  <c r="K10" i="31" s="1"/>
  <c r="L10" i="31" s="1"/>
  <c r="M10" i="31" s="1"/>
  <c r="N10" i="31" s="1"/>
  <c r="O10" i="31" s="1"/>
  <c r="P10" i="31" s="1"/>
  <c r="Q10" i="31" s="1"/>
  <c r="R10" i="31" s="1"/>
  <c r="S10" i="31" s="1"/>
  <c r="D10" i="31"/>
  <c r="E10" i="31" s="1"/>
  <c r="I8" i="31"/>
  <c r="J8" i="31" s="1"/>
  <c r="K8" i="31" s="1"/>
  <c r="L8" i="31" s="1"/>
  <c r="M8" i="31" s="1"/>
  <c r="N8" i="31" s="1"/>
  <c r="O8" i="31" s="1"/>
  <c r="P8" i="31" s="1"/>
  <c r="Q8" i="31" s="1"/>
  <c r="R8" i="31" s="1"/>
  <c r="S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J115" i="40"/>
  <c r="K115" i="40" s="1"/>
  <c r="L115" i="40" s="1"/>
  <c r="M115" i="40" s="1"/>
  <c r="F115" i="40"/>
  <c r="G115" i="40" s="1"/>
  <c r="H115" i="40" s="1"/>
  <c r="I115" i="40" s="1"/>
  <c r="D115" i="40"/>
  <c r="E115" i="40" s="1"/>
  <c r="I113" i="40"/>
  <c r="J113" i="40" s="1"/>
  <c r="K113" i="40" s="1"/>
  <c r="L113" i="40" s="1"/>
  <c r="M113" i="40" s="1"/>
  <c r="E113" i="40"/>
  <c r="F113" i="40" s="1"/>
  <c r="G113" i="40" s="1"/>
  <c r="H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F32" i="40" s="1"/>
  <c r="S32" i="40" s="1"/>
  <c r="B101" i="40"/>
  <c r="J100" i="40"/>
  <c r="K100" i="40" s="1"/>
  <c r="L100" i="40" s="1"/>
  <c r="M100" i="40" s="1"/>
  <c r="F100" i="40"/>
  <c r="G100" i="40" s="1"/>
  <c r="H100" i="40" s="1"/>
  <c r="I100" i="40" s="1"/>
  <c r="D100" i="40"/>
  <c r="E100" i="40" s="1"/>
  <c r="I98" i="40"/>
  <c r="J98" i="40" s="1"/>
  <c r="K98" i="40" s="1"/>
  <c r="L98" i="40" s="1"/>
  <c r="M98" i="40" s="1"/>
  <c r="E98" i="40"/>
  <c r="F98" i="40" s="1"/>
  <c r="G98" i="40" s="1"/>
  <c r="H98" i="40" s="1"/>
  <c r="D98" i="40"/>
  <c r="H96" i="40"/>
  <c r="I96" i="40" s="1"/>
  <c r="J96" i="40" s="1"/>
  <c r="K96" i="40" s="1"/>
  <c r="L96" i="40" s="1"/>
  <c r="M96" i="40" s="1"/>
  <c r="D96" i="40"/>
  <c r="E96" i="40" s="1"/>
  <c r="F96" i="40" s="1"/>
  <c r="G96" i="40" s="1"/>
  <c r="B95" i="40"/>
  <c r="H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F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C60" i="40" s="1"/>
  <c r="H60" i="40"/>
  <c r="I59" i="40"/>
  <c r="H59" i="40"/>
  <c r="C59" i="40"/>
  <c r="H58" i="40"/>
  <c r="I58" i="40" s="1"/>
  <c r="C58" i="40"/>
  <c r="I57" i="40"/>
  <c r="C57" i="40" s="1"/>
  <c r="H57" i="40"/>
  <c r="H56" i="40"/>
  <c r="I56" i="40" s="1"/>
  <c r="C56"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J40" i="40"/>
  <c r="Q39" i="40"/>
  <c r="Z39" i="40" s="1"/>
  <c r="Q38" i="40"/>
  <c r="Z38" i="40" s="1"/>
  <c r="AC37" i="40"/>
  <c r="W37" i="40"/>
  <c r="Q37" i="40"/>
  <c r="Z37" i="40" s="1"/>
  <c r="J37" i="40"/>
  <c r="H37" i="40"/>
  <c r="F37" i="40"/>
  <c r="AA37" i="40" s="1"/>
  <c r="AC36" i="40"/>
  <c r="AA36" i="40"/>
  <c r="W36" i="40"/>
  <c r="Q36" i="40"/>
  <c r="Z36" i="40" s="1"/>
  <c r="J36" i="40"/>
  <c r="H36" i="40"/>
  <c r="F36" i="40"/>
  <c r="S36" i="40" s="1"/>
  <c r="AB35" i="40"/>
  <c r="Q35" i="40"/>
  <c r="Z35" i="40" s="1"/>
  <c r="J35" i="40"/>
  <c r="AC35" i="40" s="1"/>
  <c r="H35" i="40"/>
  <c r="U35" i="40" s="1"/>
  <c r="F35" i="40"/>
  <c r="S35" i="40" s="1"/>
  <c r="AC34" i="40"/>
  <c r="W34" i="40"/>
  <c r="Q34" i="40"/>
  <c r="Z34" i="40" s="1"/>
  <c r="J34" i="40"/>
  <c r="H34" i="40"/>
  <c r="AB34" i="40" s="1"/>
  <c r="F34" i="40"/>
  <c r="S34" i="40" s="1"/>
  <c r="Z33" i="40"/>
  <c r="Q33" i="40"/>
  <c r="H33" i="40"/>
  <c r="AA32" i="40"/>
  <c r="U32" i="40"/>
  <c r="Q32" i="40"/>
  <c r="Z32" i="40" s="1"/>
  <c r="J32" i="40"/>
  <c r="H32" i="40"/>
  <c r="AB32" i="40" s="1"/>
  <c r="Q31" i="40"/>
  <c r="Z31" i="40" s="1"/>
  <c r="Z30" i="40"/>
  <c r="Q30" i="40"/>
  <c r="C30" i="40"/>
  <c r="AC28" i="40"/>
  <c r="AA28" i="40"/>
  <c r="W28" i="40"/>
  <c r="Q28" i="40"/>
  <c r="Z28" i="40" s="1"/>
  <c r="J28" i="40"/>
  <c r="H28" i="40"/>
  <c r="AB28" i="40" s="1"/>
  <c r="F28" i="40"/>
  <c r="S28" i="40" s="1"/>
  <c r="C28" i="40"/>
  <c r="Q27" i="40"/>
  <c r="Z27" i="40" s="1"/>
  <c r="J27" i="40"/>
  <c r="AC27" i="40" s="1"/>
  <c r="AB25" i="40"/>
  <c r="Z25" i="40"/>
  <c r="Q25" i="40"/>
  <c r="J25" i="40"/>
  <c r="AC25" i="40" s="1"/>
  <c r="H25" i="40"/>
  <c r="U25" i="40" s="1"/>
  <c r="F25" i="40"/>
  <c r="AA25" i="40" s="1"/>
  <c r="AC23" i="40"/>
  <c r="W23" i="40"/>
  <c r="Q23" i="40"/>
  <c r="Z23" i="40" s="1"/>
  <c r="J23" i="40"/>
  <c r="H23" i="40"/>
  <c r="F23" i="40"/>
  <c r="AA23" i="40" s="1"/>
  <c r="Z21" i="40"/>
  <c r="Q21" i="40"/>
  <c r="J21" i="40"/>
  <c r="AC21" i="40" s="1"/>
  <c r="H21" i="40"/>
  <c r="F21" i="40"/>
  <c r="AA21" i="40" s="1"/>
  <c r="AC19" i="40"/>
  <c r="AB19" i="40"/>
  <c r="W19" i="40"/>
  <c r="U19" i="40"/>
  <c r="Q19" i="40"/>
  <c r="Z19" i="40" s="1"/>
  <c r="J19" i="40"/>
  <c r="H19" i="40"/>
  <c r="F19" i="40"/>
  <c r="AA19" i="40" s="1"/>
  <c r="C19" i="40"/>
  <c r="AB17" i="40"/>
  <c r="Q17" i="40"/>
  <c r="Z17" i="40" s="1"/>
  <c r="J17" i="40"/>
  <c r="AC17" i="40" s="1"/>
  <c r="H17" i="40"/>
  <c r="U17" i="40" s="1"/>
  <c r="F17" i="40"/>
  <c r="AA17" i="40" s="1"/>
  <c r="AC15" i="40"/>
  <c r="W15" i="40"/>
  <c r="Q15" i="40"/>
  <c r="Z15" i="40" s="1"/>
  <c r="J15" i="40"/>
  <c r="H15" i="40"/>
  <c r="F15" i="40"/>
  <c r="AA15" i="40" s="1"/>
  <c r="Z14" i="40"/>
  <c r="Q14" i="40"/>
  <c r="H14" i="40"/>
  <c r="AB13" i="40"/>
  <c r="AA13" i="40"/>
  <c r="Q13" i="40"/>
  <c r="Z13" i="40" s="1"/>
  <c r="J13" i="40"/>
  <c r="H13" i="40"/>
  <c r="U13" i="40" s="1"/>
  <c r="F13" i="40"/>
  <c r="S13" i="40" s="1"/>
  <c r="AA12" i="40"/>
  <c r="Q12" i="40"/>
  <c r="Z12" i="40" s="1"/>
  <c r="F12" i="40"/>
  <c r="S12" i="40" s="1"/>
  <c r="AC11" i="40"/>
  <c r="W11" i="40"/>
  <c r="Q11" i="40"/>
  <c r="Z11" i="40" s="1"/>
  <c r="J11" i="40"/>
  <c r="H11" i="40"/>
  <c r="AB11" i="40" s="1"/>
  <c r="F11" i="40"/>
  <c r="AA11" i="40" s="1"/>
  <c r="Z10" i="40"/>
  <c r="Q10" i="40"/>
  <c r="AB9" i="40"/>
  <c r="Q9" i="40"/>
  <c r="Z9" i="40" s="1"/>
  <c r="J9" i="40"/>
  <c r="AC9" i="40" s="1"/>
  <c r="H9" i="40"/>
  <c r="U9" i="40" s="1"/>
  <c r="F9" i="40"/>
  <c r="AA9" i="40" s="1"/>
  <c r="AA8" i="40"/>
  <c r="J8" i="40"/>
  <c r="H8" i="40"/>
  <c r="AB8" i="40" s="1"/>
  <c r="F8" i="40"/>
  <c r="S8" i="40" s="1"/>
  <c r="B130" i="39"/>
  <c r="B128" i="39"/>
  <c r="B126" i="39"/>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J108" i="39"/>
  <c r="K108" i="39" s="1"/>
  <c r="L108" i="39" s="1"/>
  <c r="M108" i="39" s="1"/>
  <c r="F108" i="39"/>
  <c r="G108" i="39" s="1"/>
  <c r="H108" i="39" s="1"/>
  <c r="I108" i="39" s="1"/>
  <c r="E108" i="39"/>
  <c r="D108" i="39"/>
  <c r="E106" i="39"/>
  <c r="F106" i="39" s="1"/>
  <c r="G106" i="39" s="1"/>
  <c r="H106" i="39" s="1"/>
  <c r="I106" i="39" s="1"/>
  <c r="J106" i="39" s="1"/>
  <c r="K106" i="39" s="1"/>
  <c r="L106" i="39" s="1"/>
  <c r="M106" i="39" s="1"/>
  <c r="D106" i="39"/>
  <c r="F104" i="39"/>
  <c r="G104" i="39" s="1"/>
  <c r="H104" i="39" s="1"/>
  <c r="I104" i="39" s="1"/>
  <c r="J104" i="39" s="1"/>
  <c r="K104" i="39" s="1"/>
  <c r="L104" i="39" s="1"/>
  <c r="M104" i="39" s="1"/>
  <c r="E104" i="39"/>
  <c r="D104" i="39"/>
  <c r="B103" i="39"/>
  <c r="G102" i="39"/>
  <c r="F102" i="39"/>
  <c r="D102" i="39"/>
  <c r="E102" i="39" s="1"/>
  <c r="F100" i="39"/>
  <c r="G100" i="39" s="1"/>
  <c r="D100" i="39"/>
  <c r="E100" i="39" s="1"/>
  <c r="F98" i="39"/>
  <c r="G98" i="39" s="1"/>
  <c r="D98" i="39"/>
  <c r="E98" i="39" s="1"/>
  <c r="G96" i="39"/>
  <c r="D96" i="39"/>
  <c r="E96" i="39" s="1"/>
  <c r="F96" i="39" s="1"/>
  <c r="G94" i="39"/>
  <c r="F94" i="39"/>
  <c r="D94" i="39"/>
  <c r="E94" i="39" s="1"/>
  <c r="F92" i="39"/>
  <c r="G92" i="39" s="1"/>
  <c r="D92" i="39"/>
  <c r="E92" i="39" s="1"/>
  <c r="F90" i="39"/>
  <c r="G90" i="39" s="1"/>
  <c r="D90" i="39"/>
  <c r="E90" i="39" s="1"/>
  <c r="G88" i="39"/>
  <c r="D88" i="39"/>
  <c r="E88" i="39" s="1"/>
  <c r="F88" i="39" s="1"/>
  <c r="B85" i="39"/>
  <c r="B83" i="39"/>
  <c r="H13" i="39" s="1"/>
  <c r="B81" i="39"/>
  <c r="H80" i="39"/>
  <c r="I80" i="39" s="1"/>
  <c r="J80" i="39" s="1"/>
  <c r="K80" i="39" s="1"/>
  <c r="L80" i="39" s="1"/>
  <c r="M80" i="39" s="1"/>
  <c r="E80" i="39"/>
  <c r="F80" i="39" s="1"/>
  <c r="G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I60" i="39"/>
  <c r="C60" i="39" s="1"/>
  <c r="H60" i="39"/>
  <c r="H59" i="39"/>
  <c r="I59" i="39" s="1"/>
  <c r="C59" i="39" s="1"/>
  <c r="H58" i="39"/>
  <c r="I58" i="39" s="1"/>
  <c r="C58" i="39" s="1"/>
  <c r="H57" i="39"/>
  <c r="I57" i="39" s="1"/>
  <c r="C57" i="39" s="1"/>
  <c r="I53" i="39"/>
  <c r="J53" i="39" s="1"/>
  <c r="H53" i="39"/>
  <c r="G53" i="39"/>
  <c r="E53" i="39"/>
  <c r="F53" i="39" s="1"/>
  <c r="P48" i="39"/>
  <c r="P47" i="39"/>
  <c r="K47" i="39"/>
  <c r="V46" i="39"/>
  <c r="T46" i="39"/>
  <c r="R46" i="39"/>
  <c r="P46" i="39"/>
  <c r="AC45" i="39"/>
  <c r="W45" i="39"/>
  <c r="Q45" i="39"/>
  <c r="Z45" i="39" s="1"/>
  <c r="J45" i="39"/>
  <c r="H45" i="39"/>
  <c r="U45" i="39" s="1"/>
  <c r="F45" i="39"/>
  <c r="AA45" i="39" s="1"/>
  <c r="U44" i="39"/>
  <c r="Q44" i="39"/>
  <c r="Z44" i="39" s="1"/>
  <c r="H44" i="39"/>
  <c r="AB44" i="39" s="1"/>
  <c r="AB43" i="39"/>
  <c r="Z43" i="39"/>
  <c r="Q43" i="39"/>
  <c r="J43" i="39"/>
  <c r="AC43" i="39" s="1"/>
  <c r="H43" i="39"/>
  <c r="U43" i="39" s="1"/>
  <c r="F43" i="39"/>
  <c r="AA43" i="39" s="1"/>
  <c r="AC42" i="39"/>
  <c r="AA42" i="39"/>
  <c r="W42" i="39"/>
  <c r="Q42" i="39"/>
  <c r="Z42" i="39" s="1"/>
  <c r="J42" i="39"/>
  <c r="H42" i="39"/>
  <c r="AB42" i="39" s="1"/>
  <c r="F42" i="39"/>
  <c r="S42" i="39" s="1"/>
  <c r="Z41" i="39"/>
  <c r="U41" i="39"/>
  <c r="Q41" i="39"/>
  <c r="J41" i="39"/>
  <c r="W41" i="39" s="1"/>
  <c r="H41" i="39"/>
  <c r="AB41" i="39" s="1"/>
  <c r="F41" i="39"/>
  <c r="AA41" i="39" s="1"/>
  <c r="AB40" i="39"/>
  <c r="Q40" i="39"/>
  <c r="Z40" i="39" s="1"/>
  <c r="J40" i="39"/>
  <c r="AC40" i="39" s="1"/>
  <c r="H40" i="39"/>
  <c r="U40" i="39" s="1"/>
  <c r="F40" i="39"/>
  <c r="AA40" i="39" s="1"/>
  <c r="AA39" i="39"/>
  <c r="U39" i="39"/>
  <c r="Q39" i="39"/>
  <c r="Z39" i="39" s="1"/>
  <c r="J39" i="39"/>
  <c r="AC39" i="39" s="1"/>
  <c r="H39" i="39"/>
  <c r="AB39" i="39" s="1"/>
  <c r="F39" i="39"/>
  <c r="S39" i="39" s="1"/>
  <c r="Z38" i="39"/>
  <c r="Q38" i="39"/>
  <c r="J38" i="39"/>
  <c r="W38" i="39" s="1"/>
  <c r="H38" i="39"/>
  <c r="AB38" i="39" s="1"/>
  <c r="F38" i="39"/>
  <c r="AA38" i="39" s="1"/>
  <c r="W37" i="39"/>
  <c r="Q37" i="39"/>
  <c r="Z37" i="39" s="1"/>
  <c r="J37" i="39"/>
  <c r="AC37" i="39" s="1"/>
  <c r="H37" i="39"/>
  <c r="U37" i="39" s="1"/>
  <c r="F37" i="39"/>
  <c r="AA37" i="39" s="1"/>
  <c r="U36" i="39"/>
  <c r="Q36" i="39"/>
  <c r="Z36" i="39" s="1"/>
  <c r="H36" i="39"/>
  <c r="AB36" i="39" s="1"/>
  <c r="AB35" i="39"/>
  <c r="Z35" i="39"/>
  <c r="Q35" i="39"/>
  <c r="J35" i="39"/>
  <c r="AC35" i="39" s="1"/>
  <c r="H35" i="39"/>
  <c r="U35" i="39" s="1"/>
  <c r="F35" i="39"/>
  <c r="AA35" i="39" s="1"/>
  <c r="AA34" i="39"/>
  <c r="W34" i="39"/>
  <c r="Q34" i="39"/>
  <c r="Z34" i="39" s="1"/>
  <c r="J34" i="39"/>
  <c r="AC34" i="39" s="1"/>
  <c r="H34" i="39"/>
  <c r="AB34" i="39" s="1"/>
  <c r="F34" i="39"/>
  <c r="S34" i="39" s="1"/>
  <c r="AC32" i="39"/>
  <c r="AB32" i="39"/>
  <c r="Z32" i="39"/>
  <c r="U32" i="39"/>
  <c r="Q32" i="39"/>
  <c r="J32" i="39"/>
  <c r="W32" i="39" s="1"/>
  <c r="H32" i="39"/>
  <c r="F32" i="39"/>
  <c r="AA32" i="39" s="1"/>
  <c r="AB31" i="39"/>
  <c r="Q31" i="39"/>
  <c r="Z31" i="39" s="1"/>
  <c r="J31" i="39"/>
  <c r="AC31" i="39" s="1"/>
  <c r="H31" i="39"/>
  <c r="U31" i="39" s="1"/>
  <c r="F31" i="39"/>
  <c r="AA31" i="39" s="1"/>
  <c r="AA29" i="39"/>
  <c r="U29" i="39"/>
  <c r="Q29" i="39"/>
  <c r="Z29" i="39" s="1"/>
  <c r="J29" i="39"/>
  <c r="AC29" i="39" s="1"/>
  <c r="H29" i="39"/>
  <c r="AB29" i="39" s="1"/>
  <c r="F29" i="39"/>
  <c r="S29" i="39" s="1"/>
  <c r="AA27" i="39"/>
  <c r="Q27" i="39"/>
  <c r="Z27" i="39" s="1"/>
  <c r="J27" i="39"/>
  <c r="AC27" i="39" s="1"/>
  <c r="H27" i="39"/>
  <c r="AB27" i="39" s="1"/>
  <c r="F27" i="39"/>
  <c r="S27" i="39" s="1"/>
  <c r="AA25" i="39"/>
  <c r="U25" i="39"/>
  <c r="Q25" i="39"/>
  <c r="Z25" i="39" s="1"/>
  <c r="J25" i="39"/>
  <c r="AC25" i="39" s="1"/>
  <c r="H25" i="39"/>
  <c r="AB25" i="39" s="1"/>
  <c r="F25" i="39"/>
  <c r="S25" i="39" s="1"/>
  <c r="AA23" i="39"/>
  <c r="Q23" i="39"/>
  <c r="Z23" i="39" s="1"/>
  <c r="J23" i="39"/>
  <c r="AC23" i="39" s="1"/>
  <c r="H23" i="39"/>
  <c r="AB23" i="39" s="1"/>
  <c r="F23" i="39"/>
  <c r="S23" i="39" s="1"/>
  <c r="C23" i="39"/>
  <c r="AA21" i="39"/>
  <c r="U21" i="39"/>
  <c r="Q21" i="39"/>
  <c r="Z21" i="39" s="1"/>
  <c r="J21" i="39"/>
  <c r="AC21" i="39" s="1"/>
  <c r="H21" i="39"/>
  <c r="AB21" i="39" s="1"/>
  <c r="F21" i="39"/>
  <c r="S21" i="39" s="1"/>
  <c r="AA19" i="39"/>
  <c r="Q19" i="39"/>
  <c r="Z19" i="39" s="1"/>
  <c r="J19" i="39"/>
  <c r="AC19" i="39" s="1"/>
  <c r="H19" i="39"/>
  <c r="AB19" i="39" s="1"/>
  <c r="F19" i="39"/>
  <c r="S19" i="39" s="1"/>
  <c r="AA17" i="39"/>
  <c r="U17" i="39"/>
  <c r="Q17" i="39"/>
  <c r="Z17" i="39" s="1"/>
  <c r="J17" i="39"/>
  <c r="AC17" i="39" s="1"/>
  <c r="H17" i="39"/>
  <c r="AB17" i="39" s="1"/>
  <c r="F17" i="39"/>
  <c r="S17" i="39" s="1"/>
  <c r="AA15" i="39"/>
  <c r="Q15" i="39"/>
  <c r="Z15" i="39" s="1"/>
  <c r="J15" i="39"/>
  <c r="AC15" i="39" s="1"/>
  <c r="H15" i="39"/>
  <c r="AB15" i="39" s="1"/>
  <c r="F15" i="39"/>
  <c r="S15" i="39" s="1"/>
  <c r="Q14" i="39"/>
  <c r="Z14" i="39" s="1"/>
  <c r="F14" i="39"/>
  <c r="S14" i="39" s="1"/>
  <c r="W13" i="39"/>
  <c r="Q13" i="39"/>
  <c r="Z13" i="39" s="1"/>
  <c r="J13" i="39"/>
  <c r="AC13" i="39" s="1"/>
  <c r="F13" i="39"/>
  <c r="S13" i="39" s="1"/>
  <c r="W12" i="39"/>
  <c r="Q12" i="39"/>
  <c r="Z12" i="39" s="1"/>
  <c r="J12" i="39"/>
  <c r="AC12" i="39" s="1"/>
  <c r="H12" i="39"/>
  <c r="U12" i="39" s="1"/>
  <c r="F12" i="39"/>
  <c r="AA12" i="39" s="1"/>
  <c r="AC11" i="39"/>
  <c r="AA11" i="39"/>
  <c r="U11" i="39"/>
  <c r="Q11" i="39"/>
  <c r="Z11" i="39" s="1"/>
  <c r="J11" i="39"/>
  <c r="W11" i="39" s="1"/>
  <c r="H11" i="39"/>
  <c r="AB11" i="39" s="1"/>
  <c r="F11" i="39"/>
  <c r="S11" i="39" s="1"/>
  <c r="Q10" i="39"/>
  <c r="Z10" i="39" s="1"/>
  <c r="W9" i="39"/>
  <c r="Q9" i="39"/>
  <c r="Z9" i="39" s="1"/>
  <c r="J9" i="39"/>
  <c r="AC9" i="39" s="1"/>
  <c r="H9" i="39"/>
  <c r="U9" i="39" s="1"/>
  <c r="F9" i="39"/>
  <c r="AA9" i="39" s="1"/>
  <c r="AC8" i="39"/>
  <c r="AB8" i="39"/>
  <c r="AA8" i="39"/>
  <c r="U8" i="39"/>
  <c r="S8" i="39"/>
  <c r="J8" i="39"/>
  <c r="W8" i="39" s="1"/>
  <c r="H8" i="39"/>
  <c r="F8" i="39"/>
  <c r="B95" i="36"/>
  <c r="B93" i="36"/>
  <c r="J33" i="36" s="1"/>
  <c r="W33" i="36" s="1"/>
  <c r="B91" i="36"/>
  <c r="M86" i="36"/>
  <c r="L86" i="36"/>
  <c r="K86" i="36"/>
  <c r="J86" i="36"/>
  <c r="I86" i="36"/>
  <c r="H86" i="36"/>
  <c r="G86" i="36"/>
  <c r="F86" i="36"/>
  <c r="E86" i="36"/>
  <c r="D86" i="36"/>
  <c r="C86" i="36"/>
  <c r="H85" i="36"/>
  <c r="I85" i="36" s="1"/>
  <c r="J85" i="36" s="1"/>
  <c r="K85" i="36" s="1"/>
  <c r="L85" i="36" s="1"/>
  <c r="M85" i="36" s="1"/>
  <c r="E85" i="36"/>
  <c r="F85" i="36" s="1"/>
  <c r="G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H78" i="36"/>
  <c r="I78" i="36" s="1"/>
  <c r="J78" i="36" s="1"/>
  <c r="K78" i="36" s="1"/>
  <c r="L78" i="36" s="1"/>
  <c r="M78" i="36" s="1"/>
  <c r="E78" i="36"/>
  <c r="F78" i="36" s="1"/>
  <c r="G78" i="36" s="1"/>
  <c r="D78" i="36"/>
  <c r="B75" i="36"/>
  <c r="H25" i="36" s="1"/>
  <c r="U25" i="36" s="1"/>
  <c r="B73" i="36"/>
  <c r="B71" i="36"/>
  <c r="D70" i="36"/>
  <c r="D68" i="36"/>
  <c r="E68" i="36" s="1"/>
  <c r="F68" i="36" s="1"/>
  <c r="G68" i="36" s="1"/>
  <c r="E66" i="36"/>
  <c r="F66" i="36" s="1"/>
  <c r="G66" i="36" s="1"/>
  <c r="D66" i="36"/>
  <c r="D64" i="36"/>
  <c r="E64" i="36" s="1"/>
  <c r="F64" i="36" s="1"/>
  <c r="G64" i="36" s="1"/>
  <c r="E62" i="36"/>
  <c r="F62" i="36" s="1"/>
  <c r="G62" i="36" s="1"/>
  <c r="D62" i="36"/>
  <c r="B59" i="36"/>
  <c r="H13" i="36" s="1"/>
  <c r="U13" i="36" s="1"/>
  <c r="B57" i="36"/>
  <c r="B55" i="36"/>
  <c r="C51" i="36"/>
  <c r="I42" i="36"/>
  <c r="J42" i="36" s="1"/>
  <c r="G42" i="36"/>
  <c r="H42" i="36" s="1"/>
  <c r="E42" i="36"/>
  <c r="F42" i="36" s="1"/>
  <c r="P37" i="36"/>
  <c r="P36" i="36"/>
  <c r="K36" i="36"/>
  <c r="V35" i="36"/>
  <c r="T35" i="36"/>
  <c r="R35" i="36"/>
  <c r="P35" i="36"/>
  <c r="W34" i="36"/>
  <c r="Q34" i="36"/>
  <c r="Z34" i="36" s="1"/>
  <c r="J34" i="36"/>
  <c r="AC34" i="36" s="1"/>
  <c r="H34" i="36"/>
  <c r="U34" i="36" s="1"/>
  <c r="F34" i="36"/>
  <c r="AA34" i="36" s="1"/>
  <c r="AC33" i="36"/>
  <c r="AA33" i="36"/>
  <c r="U33" i="36"/>
  <c r="Q33" i="36"/>
  <c r="Z33" i="36" s="1"/>
  <c r="H33" i="36"/>
  <c r="AB33" i="36" s="1"/>
  <c r="F33" i="36"/>
  <c r="S33" i="36" s="1"/>
  <c r="Z32" i="36"/>
  <c r="Q32" i="36"/>
  <c r="H32" i="36"/>
  <c r="U32" i="36" s="1"/>
  <c r="Z31" i="36"/>
  <c r="Q31" i="36"/>
  <c r="J31" i="36"/>
  <c r="W31" i="36" s="1"/>
  <c r="H31" i="36"/>
  <c r="AB31" i="36" s="1"/>
  <c r="F31" i="36"/>
  <c r="AA31" i="36" s="1"/>
  <c r="W30" i="36"/>
  <c r="Q30" i="36"/>
  <c r="Z30" i="36" s="1"/>
  <c r="J30" i="36"/>
  <c r="AC30" i="36" s="1"/>
  <c r="H30" i="36"/>
  <c r="U30" i="36" s="1"/>
  <c r="F30" i="36"/>
  <c r="AA30" i="36" s="1"/>
  <c r="AC29" i="36"/>
  <c r="AA29" i="36"/>
  <c r="U29" i="36"/>
  <c r="Q29" i="36"/>
  <c r="Z29" i="36" s="1"/>
  <c r="J29" i="36"/>
  <c r="W29" i="36" s="1"/>
  <c r="H29" i="36"/>
  <c r="AB29" i="36" s="1"/>
  <c r="F29" i="36"/>
  <c r="S29" i="36" s="1"/>
  <c r="AB28" i="36"/>
  <c r="Z28" i="36"/>
  <c r="Q28" i="36"/>
  <c r="J28" i="36"/>
  <c r="AC28" i="36" s="1"/>
  <c r="H28" i="36"/>
  <c r="U28" i="36" s="1"/>
  <c r="F28" i="36"/>
  <c r="AA28" i="36" s="1"/>
  <c r="AA27" i="36"/>
  <c r="W27" i="36"/>
  <c r="Q27" i="36"/>
  <c r="Z27" i="36" s="1"/>
  <c r="J27" i="36"/>
  <c r="AC27" i="36" s="1"/>
  <c r="H27" i="36"/>
  <c r="AB27" i="36" s="1"/>
  <c r="F27" i="36"/>
  <c r="S27" i="36" s="1"/>
  <c r="AC26" i="36"/>
  <c r="AB26" i="36"/>
  <c r="Z26" i="36"/>
  <c r="U26" i="36"/>
  <c r="Q26" i="36"/>
  <c r="J26" i="36"/>
  <c r="W26" i="36" s="1"/>
  <c r="H26" i="36"/>
  <c r="F26" i="36"/>
  <c r="AA26" i="36" s="1"/>
  <c r="AB25" i="36"/>
  <c r="S25" i="36"/>
  <c r="Q25" i="36"/>
  <c r="Z25" i="36" s="1"/>
  <c r="J25" i="36"/>
  <c r="AC25" i="36" s="1"/>
  <c r="F25" i="36"/>
  <c r="AA25" i="36" s="1"/>
  <c r="AA24" i="36"/>
  <c r="Q24" i="36"/>
  <c r="Z24" i="36" s="1"/>
  <c r="J24" i="36"/>
  <c r="AC24" i="36" s="1"/>
  <c r="H24" i="36"/>
  <c r="AB24" i="36" s="1"/>
  <c r="F24" i="36"/>
  <c r="S24" i="36" s="1"/>
  <c r="Z23" i="36"/>
  <c r="Q23" i="36"/>
  <c r="J23" i="36"/>
  <c r="W23" i="36" s="1"/>
  <c r="AB22" i="36"/>
  <c r="Z22" i="36"/>
  <c r="U22" i="36"/>
  <c r="Q22" i="36"/>
  <c r="J22" i="36"/>
  <c r="W22" i="36" s="1"/>
  <c r="H22" i="36"/>
  <c r="F22" i="36"/>
  <c r="AA22" i="36" s="1"/>
  <c r="AB20" i="36"/>
  <c r="W20" i="36"/>
  <c r="Q20" i="36"/>
  <c r="Z20" i="36" s="1"/>
  <c r="J20" i="36"/>
  <c r="AC20" i="36" s="1"/>
  <c r="H20" i="36"/>
  <c r="U20" i="36" s="1"/>
  <c r="F20" i="36"/>
  <c r="AA20" i="36" s="1"/>
  <c r="C20" i="36"/>
  <c r="AC18" i="36"/>
  <c r="AA18" i="36"/>
  <c r="U18" i="36"/>
  <c r="Q18" i="36"/>
  <c r="Z18" i="36" s="1"/>
  <c r="J18" i="36"/>
  <c r="W18" i="36" s="1"/>
  <c r="H18" i="36"/>
  <c r="AB18" i="36" s="1"/>
  <c r="F18" i="36"/>
  <c r="S18" i="36" s="1"/>
  <c r="C18" i="36"/>
  <c r="AB16" i="36"/>
  <c r="W16" i="36"/>
  <c r="Q16" i="36"/>
  <c r="Z16" i="36" s="1"/>
  <c r="J16" i="36"/>
  <c r="AC16" i="36" s="1"/>
  <c r="H16" i="36"/>
  <c r="U16" i="36" s="1"/>
  <c r="F16" i="36"/>
  <c r="AA16" i="36" s="1"/>
  <c r="C16" i="36"/>
  <c r="AC14" i="36"/>
  <c r="AA14" i="36"/>
  <c r="U14" i="36"/>
  <c r="Q14" i="36"/>
  <c r="Z14" i="36" s="1"/>
  <c r="J14" i="36"/>
  <c r="W14" i="36" s="1"/>
  <c r="H14" i="36"/>
  <c r="AB14" i="36" s="1"/>
  <c r="F14" i="36"/>
  <c r="S14" i="36" s="1"/>
  <c r="C14" i="36"/>
  <c r="AB13" i="36"/>
  <c r="W13" i="36"/>
  <c r="S13" i="36"/>
  <c r="Q13" i="36"/>
  <c r="Z13" i="36" s="1"/>
  <c r="J13" i="36"/>
  <c r="AC13" i="36" s="1"/>
  <c r="F13" i="36"/>
  <c r="AA13" i="36" s="1"/>
  <c r="AA12" i="36"/>
  <c r="Q12" i="36"/>
  <c r="Z12" i="36" s="1"/>
  <c r="J12" i="36"/>
  <c r="AC12" i="36" s="1"/>
  <c r="H12" i="36"/>
  <c r="F12" i="36"/>
  <c r="S12" i="36" s="1"/>
  <c r="Z11" i="36"/>
  <c r="Q11" i="36"/>
  <c r="J11" i="36"/>
  <c r="W11" i="36" s="1"/>
  <c r="AB10" i="36"/>
  <c r="Z10" i="36"/>
  <c r="U10" i="36"/>
  <c r="Q10" i="36"/>
  <c r="J10" i="36"/>
  <c r="H10" i="36"/>
  <c r="F10" i="36"/>
  <c r="AA10" i="36" s="1"/>
  <c r="AB9" i="36"/>
  <c r="W9" i="36"/>
  <c r="Q9" i="36"/>
  <c r="Z9" i="36" s="1"/>
  <c r="J9" i="36"/>
  <c r="AC9" i="36" s="1"/>
  <c r="H9" i="36"/>
  <c r="U9" i="36" s="1"/>
  <c r="F9" i="36"/>
  <c r="AA9" i="36" s="1"/>
  <c r="AA8" i="36"/>
  <c r="W8" i="36"/>
  <c r="S8" i="36"/>
  <c r="J8" i="36"/>
  <c r="AC8" i="36" s="1"/>
  <c r="H8" i="36"/>
  <c r="F8" i="36"/>
  <c r="D3" i="36"/>
  <c r="B2" i="36"/>
  <c r="B101" i="35"/>
  <c r="B99" i="35"/>
  <c r="H35" i="35" s="1"/>
  <c r="U35" i="35" s="1"/>
  <c r="B97" i="35"/>
  <c r="E96" i="35"/>
  <c r="F96" i="35" s="1"/>
  <c r="G96" i="35" s="1"/>
  <c r="D96" i="35"/>
  <c r="J94" i="35"/>
  <c r="K94" i="35" s="1"/>
  <c r="L94" i="35" s="1"/>
  <c r="M94" i="35" s="1"/>
  <c r="G94" i="35"/>
  <c r="H94" i="35" s="1"/>
  <c r="I94" i="35" s="1"/>
  <c r="D94" i="35"/>
  <c r="E94" i="35" s="1"/>
  <c r="F94" i="35" s="1"/>
  <c r="M90" i="35"/>
  <c r="L90" i="35"/>
  <c r="K90" i="35"/>
  <c r="J90" i="35"/>
  <c r="I90" i="35"/>
  <c r="H90" i="35"/>
  <c r="G90" i="35"/>
  <c r="F90" i="35"/>
  <c r="E90" i="35"/>
  <c r="D90" i="35"/>
  <c r="C90" i="35"/>
  <c r="H89" i="35"/>
  <c r="I89" i="35" s="1"/>
  <c r="J89" i="35" s="1"/>
  <c r="K89" i="35" s="1"/>
  <c r="L89" i="35" s="1"/>
  <c r="M89" i="35" s="1"/>
  <c r="E89" i="35"/>
  <c r="F89" i="35" s="1"/>
  <c r="G89" i="35" s="1"/>
  <c r="D89" i="35"/>
  <c r="J87" i="35"/>
  <c r="K87" i="35" s="1"/>
  <c r="L87" i="35" s="1"/>
  <c r="M87" i="35" s="1"/>
  <c r="G87" i="35"/>
  <c r="H87" i="35" s="1"/>
  <c r="I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J25" i="35" s="1"/>
  <c r="B75" i="35"/>
  <c r="B73" i="35"/>
  <c r="F23" i="35" s="1"/>
  <c r="G72" i="35"/>
  <c r="D72" i="35"/>
  <c r="E72" i="35" s="1"/>
  <c r="F72" i="35" s="1"/>
  <c r="F70" i="35"/>
  <c r="G70" i="35" s="1"/>
  <c r="D70" i="35"/>
  <c r="E70" i="35" s="1"/>
  <c r="G68" i="35"/>
  <c r="D68" i="35"/>
  <c r="E68" i="35" s="1"/>
  <c r="F68" i="35" s="1"/>
  <c r="F66" i="35"/>
  <c r="G66" i="35" s="1"/>
  <c r="D66" i="35"/>
  <c r="E66" i="35" s="1"/>
  <c r="G64" i="35"/>
  <c r="D64" i="35"/>
  <c r="E64" i="35" s="1"/>
  <c r="F64" i="35" s="1"/>
  <c r="B61" i="35"/>
  <c r="J13" i="35" s="1"/>
  <c r="B59" i="35"/>
  <c r="B57" i="35"/>
  <c r="C53" i="35"/>
  <c r="J44" i="35"/>
  <c r="I44" i="35"/>
  <c r="G44" i="35"/>
  <c r="H44" i="35" s="1"/>
  <c r="F44" i="35"/>
  <c r="E44" i="35"/>
  <c r="P39" i="35"/>
  <c r="P38" i="35"/>
  <c r="K38" i="35"/>
  <c r="B38" i="35"/>
  <c r="V37" i="35"/>
  <c r="T37" i="35"/>
  <c r="R37" i="35"/>
  <c r="P37" i="35"/>
  <c r="Q36" i="35"/>
  <c r="Z36" i="35" s="1"/>
  <c r="H36" i="35"/>
  <c r="S35" i="35"/>
  <c r="Q35" i="35"/>
  <c r="Z35" i="35" s="1"/>
  <c r="J35" i="35"/>
  <c r="AC35" i="35" s="1"/>
  <c r="F35" i="35"/>
  <c r="AA35" i="35" s="1"/>
  <c r="Q34" i="35"/>
  <c r="Z34" i="35" s="1"/>
  <c r="AC33" i="35"/>
  <c r="W33" i="35"/>
  <c r="Q33" i="35"/>
  <c r="Z33" i="35" s="1"/>
  <c r="J33" i="35"/>
  <c r="H33" i="35"/>
  <c r="AB33" i="35" s="1"/>
  <c r="F33" i="35"/>
  <c r="AA33" i="35" s="1"/>
  <c r="AC32" i="35"/>
  <c r="Z32" i="35"/>
  <c r="U32" i="35"/>
  <c r="Q32" i="35"/>
  <c r="J32" i="35"/>
  <c r="W32" i="35" s="1"/>
  <c r="H32" i="35"/>
  <c r="AB32" i="35" s="1"/>
  <c r="F32" i="35"/>
  <c r="AA32" i="35" s="1"/>
  <c r="AB31" i="35"/>
  <c r="Q31" i="35"/>
  <c r="Z31" i="35" s="1"/>
  <c r="J31" i="35"/>
  <c r="AC31" i="35" s="1"/>
  <c r="H31" i="35"/>
  <c r="U31" i="35" s="1"/>
  <c r="F31" i="35"/>
  <c r="AA31" i="35" s="1"/>
  <c r="AB30" i="35"/>
  <c r="Q30" i="35"/>
  <c r="Z30" i="35" s="1"/>
  <c r="J30" i="35"/>
  <c r="AC30" i="35" s="1"/>
  <c r="H30" i="35"/>
  <c r="U30" i="35" s="1"/>
  <c r="F30" i="35"/>
  <c r="AA30" i="35" s="1"/>
  <c r="AC29" i="35"/>
  <c r="Z29" i="35"/>
  <c r="Q29" i="35"/>
  <c r="J29" i="35"/>
  <c r="W29" i="35" s="1"/>
  <c r="H29" i="35"/>
  <c r="AB29" i="35" s="1"/>
  <c r="F29" i="35"/>
  <c r="AA29" i="35" s="1"/>
  <c r="AB28" i="35"/>
  <c r="Q28" i="35"/>
  <c r="Z28" i="35" s="1"/>
  <c r="J28" i="35"/>
  <c r="H28" i="35"/>
  <c r="U28" i="35" s="1"/>
  <c r="F28" i="35"/>
  <c r="AA28" i="35" s="1"/>
  <c r="AC27" i="35"/>
  <c r="AB27" i="35"/>
  <c r="Q27" i="35"/>
  <c r="Z27" i="35" s="1"/>
  <c r="J27" i="35"/>
  <c r="W27" i="35" s="1"/>
  <c r="H27" i="35"/>
  <c r="U27" i="35" s="1"/>
  <c r="F27" i="35"/>
  <c r="AA27" i="35" s="1"/>
  <c r="Z26" i="35"/>
  <c r="Q26" i="35"/>
  <c r="C26" i="35"/>
  <c r="AA25" i="35"/>
  <c r="Q25" i="35"/>
  <c r="Z25" i="35" s="1"/>
  <c r="H25" i="35"/>
  <c r="F25" i="35"/>
  <c r="S25" i="35" s="1"/>
  <c r="AA24" i="35"/>
  <c r="Z24" i="35"/>
  <c r="W24" i="35"/>
  <c r="Q24" i="35"/>
  <c r="J24" i="35"/>
  <c r="AC24" i="35" s="1"/>
  <c r="H24" i="35"/>
  <c r="AB24" i="35" s="1"/>
  <c r="F24" i="35"/>
  <c r="S24" i="35" s="1"/>
  <c r="AC23" i="35"/>
  <c r="AB23" i="35"/>
  <c r="Z23" i="35"/>
  <c r="U23" i="35"/>
  <c r="Q23" i="35"/>
  <c r="J23" i="35"/>
  <c r="W23" i="35" s="1"/>
  <c r="H23" i="35"/>
  <c r="AC22" i="35"/>
  <c r="Q22" i="35"/>
  <c r="Z22" i="35" s="1"/>
  <c r="J22" i="35"/>
  <c r="W22" i="35" s="1"/>
  <c r="H22" i="35"/>
  <c r="AB22" i="35" s="1"/>
  <c r="F22" i="35"/>
  <c r="AA22" i="35" s="1"/>
  <c r="Z20" i="35"/>
  <c r="Q20" i="35"/>
  <c r="J20" i="35"/>
  <c r="AC20" i="35" s="1"/>
  <c r="H20" i="35"/>
  <c r="AB20" i="35" s="1"/>
  <c r="F20" i="35"/>
  <c r="AA20" i="35" s="1"/>
  <c r="C20" i="35"/>
  <c r="AB18" i="35"/>
  <c r="AA18" i="35"/>
  <c r="Z18" i="35"/>
  <c r="Q18" i="35"/>
  <c r="J18" i="35"/>
  <c r="AC18" i="35" s="1"/>
  <c r="H18" i="35"/>
  <c r="U18" i="35" s="1"/>
  <c r="F18" i="35"/>
  <c r="S18" i="35" s="1"/>
  <c r="C18" i="35"/>
  <c r="AB16" i="35"/>
  <c r="Z16" i="35"/>
  <c r="Q16" i="35"/>
  <c r="J16" i="35"/>
  <c r="AC16" i="35" s="1"/>
  <c r="H16" i="35"/>
  <c r="U16" i="35" s="1"/>
  <c r="F16" i="35"/>
  <c r="AA16" i="35" s="1"/>
  <c r="C16" i="35"/>
  <c r="AB14" i="35"/>
  <c r="Q14" i="35"/>
  <c r="Z14" i="35" s="1"/>
  <c r="J14" i="35"/>
  <c r="AC14" i="35" s="1"/>
  <c r="H14" i="35"/>
  <c r="U14" i="35" s="1"/>
  <c r="F14" i="35"/>
  <c r="AA14" i="35" s="1"/>
  <c r="C14" i="35"/>
  <c r="AB13" i="35"/>
  <c r="Z13" i="35"/>
  <c r="U13" i="35"/>
  <c r="S13" i="35"/>
  <c r="Q13" i="35"/>
  <c r="H13" i="35"/>
  <c r="F13" i="35"/>
  <c r="AA13" i="35" s="1"/>
  <c r="Z12" i="35"/>
  <c r="Q12" i="35"/>
  <c r="Z11" i="35"/>
  <c r="Q11" i="35"/>
  <c r="J11" i="35"/>
  <c r="H11" i="35"/>
  <c r="AB11" i="35" s="1"/>
  <c r="F11" i="35"/>
  <c r="AA11" i="35" s="1"/>
  <c r="AB10" i="35"/>
  <c r="AA10" i="35"/>
  <c r="Q10" i="35"/>
  <c r="Z10" i="35" s="1"/>
  <c r="J10" i="35"/>
  <c r="H10" i="35"/>
  <c r="U10" i="35" s="1"/>
  <c r="F10" i="35"/>
  <c r="S10" i="35" s="1"/>
  <c r="Q9" i="35"/>
  <c r="Z9" i="35" s="1"/>
  <c r="F9" i="35"/>
  <c r="S9" i="35" s="1"/>
  <c r="AA8" i="35"/>
  <c r="U8" i="35"/>
  <c r="J8" i="35"/>
  <c r="H8" i="35"/>
  <c r="AB8" i="35" s="1"/>
  <c r="F8" i="35"/>
  <c r="S8" i="35" s="1"/>
  <c r="D3" i="35"/>
  <c r="B2" i="35"/>
  <c r="B112" i="37"/>
  <c r="F40" i="37" s="1"/>
  <c r="B110" i="37"/>
  <c r="B108" i="37"/>
  <c r="H38" i="37" s="1"/>
  <c r="H107" i="37"/>
  <c r="I107" i="37" s="1"/>
  <c r="J107" i="37" s="1"/>
  <c r="K107" i="37" s="1"/>
  <c r="L107" i="37" s="1"/>
  <c r="M107" i="37" s="1"/>
  <c r="G107" i="37"/>
  <c r="F107" i="37"/>
  <c r="D107" i="37"/>
  <c r="E107" i="37" s="1"/>
  <c r="G105" i="37"/>
  <c r="F105" i="37"/>
  <c r="D105" i="37"/>
  <c r="E105" i="37" s="1"/>
  <c r="J103" i="37"/>
  <c r="K103" i="37" s="1"/>
  <c r="L103" i="37" s="1"/>
  <c r="M103" i="37" s="1"/>
  <c r="D103" i="37"/>
  <c r="E103" i="37" s="1"/>
  <c r="F103" i="37" s="1"/>
  <c r="G103" i="37" s="1"/>
  <c r="H103" i="37" s="1"/>
  <c r="I103" i="37" s="1"/>
  <c r="F101" i="37"/>
  <c r="G101" i="37" s="1"/>
  <c r="H101" i="37" s="1"/>
  <c r="I101" i="37" s="1"/>
  <c r="J101" i="37" s="1"/>
  <c r="K101" i="37" s="1"/>
  <c r="L101" i="37" s="1"/>
  <c r="M101" i="37" s="1"/>
  <c r="D101" i="37"/>
  <c r="E101" i="37" s="1"/>
  <c r="I99" i="37"/>
  <c r="J99" i="37" s="1"/>
  <c r="K99" i="37" s="1"/>
  <c r="L99" i="37" s="1"/>
  <c r="M99" i="37" s="1"/>
  <c r="D99" i="37"/>
  <c r="E99" i="37" s="1"/>
  <c r="F99" i="37" s="1"/>
  <c r="G99" i="37" s="1"/>
  <c r="H99" i="37" s="1"/>
  <c r="G97" i="37"/>
  <c r="F97" i="37"/>
  <c r="E97" i="37"/>
  <c r="D97" i="37"/>
  <c r="C97" i="37"/>
  <c r="G96" i="37"/>
  <c r="H96" i="37" s="1"/>
  <c r="I96" i="37" s="1"/>
  <c r="J96" i="37" s="1"/>
  <c r="K96" i="37" s="1"/>
  <c r="L96" i="37" s="1"/>
  <c r="M96" i="37" s="1"/>
  <c r="E96" i="37"/>
  <c r="F96" i="37" s="1"/>
  <c r="D96" i="37"/>
  <c r="E94" i="37"/>
  <c r="F94" i="37" s="1"/>
  <c r="G94" i="37" s="1"/>
  <c r="H94" i="37" s="1"/>
  <c r="I94" i="37" s="1"/>
  <c r="J94" i="37" s="1"/>
  <c r="K94" i="37" s="1"/>
  <c r="L94" i="37" s="1"/>
  <c r="M94" i="37" s="1"/>
  <c r="D94" i="37"/>
  <c r="M90" i="37"/>
  <c r="L90" i="37"/>
  <c r="K90" i="37"/>
  <c r="J90" i="37"/>
  <c r="I90" i="37"/>
  <c r="H90" i="37"/>
  <c r="G90" i="37"/>
  <c r="F90" i="37"/>
  <c r="E90" i="37"/>
  <c r="D90" i="37"/>
  <c r="C90" i="37"/>
  <c r="L89" i="37"/>
  <c r="M89" i="37" s="1"/>
  <c r="D89" i="37"/>
  <c r="E89" i="37" s="1"/>
  <c r="F89" i="37" s="1"/>
  <c r="G89" i="37" s="1"/>
  <c r="H89" i="37" s="1"/>
  <c r="I89" i="37" s="1"/>
  <c r="J89" i="37" s="1"/>
  <c r="K89" i="37" s="1"/>
  <c r="B86" i="37"/>
  <c r="H28" i="37" s="1"/>
  <c r="B84" i="37"/>
  <c r="J27" i="37" s="1"/>
  <c r="B82" i="37"/>
  <c r="B80" i="37"/>
  <c r="G79" i="37"/>
  <c r="F79" i="37"/>
  <c r="D79" i="37"/>
  <c r="E79" i="37" s="1"/>
  <c r="G77" i="37"/>
  <c r="F77" i="37"/>
  <c r="D77" i="37"/>
  <c r="E77" i="37" s="1"/>
  <c r="D75" i="37"/>
  <c r="E75" i="37" s="1"/>
  <c r="F75" i="37" s="1"/>
  <c r="G75" i="37" s="1"/>
  <c r="G73" i="37"/>
  <c r="D73" i="37"/>
  <c r="E73" i="37" s="1"/>
  <c r="F73" i="37" s="1"/>
  <c r="F71" i="37"/>
  <c r="G71" i="37" s="1"/>
  <c r="D71" i="37"/>
  <c r="E71" i="37" s="1"/>
  <c r="B68" i="37"/>
  <c r="B66" i="37"/>
  <c r="J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J9" i="37" s="1"/>
  <c r="I48" i="37"/>
  <c r="J48" i="37" s="1"/>
  <c r="H48" i="37"/>
  <c r="G48" i="37"/>
  <c r="E48" i="37"/>
  <c r="F48" i="37" s="1"/>
  <c r="P43" i="37"/>
  <c r="P42" i="37"/>
  <c r="K42" i="37"/>
  <c r="V41" i="37"/>
  <c r="T41" i="37"/>
  <c r="R41" i="37"/>
  <c r="P41" i="37"/>
  <c r="AC40" i="37"/>
  <c r="Q40" i="37"/>
  <c r="Z40" i="37" s="1"/>
  <c r="J40" i="37"/>
  <c r="W40" i="37" s="1"/>
  <c r="H40" i="37"/>
  <c r="AB40" i="37" s="1"/>
  <c r="AA39" i="37"/>
  <c r="Z39" i="37"/>
  <c r="Q39" i="37"/>
  <c r="J39" i="37"/>
  <c r="AC39" i="37" s="1"/>
  <c r="H39" i="37"/>
  <c r="U39" i="37" s="1"/>
  <c r="F39" i="37"/>
  <c r="S39" i="37" s="1"/>
  <c r="AC38" i="37"/>
  <c r="Q38" i="37"/>
  <c r="Z38" i="37" s="1"/>
  <c r="J38" i="37"/>
  <c r="W38" i="37" s="1"/>
  <c r="AC37" i="37"/>
  <c r="AB37" i="37"/>
  <c r="U37" i="37"/>
  <c r="Q37" i="37"/>
  <c r="Z37" i="37" s="1"/>
  <c r="J37" i="37"/>
  <c r="W37" i="37" s="1"/>
  <c r="H37" i="37"/>
  <c r="F37" i="37"/>
  <c r="AA37" i="37" s="1"/>
  <c r="AC36" i="37"/>
  <c r="U36" i="37"/>
  <c r="Q36" i="37"/>
  <c r="Z36" i="37" s="1"/>
  <c r="J36" i="37"/>
  <c r="W36" i="37" s="1"/>
  <c r="H36" i="37"/>
  <c r="AB36" i="37" s="1"/>
  <c r="F36" i="37"/>
  <c r="S36" i="37" s="1"/>
  <c r="AA35" i="37"/>
  <c r="Z35" i="37"/>
  <c r="Q35" i="37"/>
  <c r="J35" i="37"/>
  <c r="AC35" i="37" s="1"/>
  <c r="H35" i="37"/>
  <c r="U35" i="37" s="1"/>
  <c r="F35" i="37"/>
  <c r="S35" i="37" s="1"/>
  <c r="AC34" i="37"/>
  <c r="AA34" i="37"/>
  <c r="Q34" i="37"/>
  <c r="Z34" i="37" s="1"/>
  <c r="J34" i="37"/>
  <c r="W34" i="37" s="1"/>
  <c r="H34" i="37"/>
  <c r="AB34" i="37" s="1"/>
  <c r="F34" i="37"/>
  <c r="S34" i="37" s="1"/>
  <c r="AC33" i="37"/>
  <c r="W33" i="37"/>
  <c r="U33" i="37"/>
  <c r="Q33" i="37"/>
  <c r="Z33" i="37" s="1"/>
  <c r="J33" i="37"/>
  <c r="H33" i="37"/>
  <c r="AB33" i="37" s="1"/>
  <c r="F33" i="37"/>
  <c r="AA33" i="37" s="1"/>
  <c r="AA32" i="37"/>
  <c r="W32" i="37"/>
  <c r="Q32" i="37"/>
  <c r="Z32" i="37" s="1"/>
  <c r="J32" i="37"/>
  <c r="AC32" i="37" s="1"/>
  <c r="H32" i="37"/>
  <c r="U32" i="37" s="1"/>
  <c r="F32" i="37"/>
  <c r="S32" i="37" s="1"/>
  <c r="AB31" i="37"/>
  <c r="AA31" i="37"/>
  <c r="Q31" i="37"/>
  <c r="Z31" i="37" s="1"/>
  <c r="J31" i="37"/>
  <c r="AC31" i="37" s="1"/>
  <c r="H31" i="37"/>
  <c r="U31" i="37" s="1"/>
  <c r="F31" i="37"/>
  <c r="S31" i="37" s="1"/>
  <c r="AC30" i="37"/>
  <c r="W30" i="37"/>
  <c r="Q30" i="37"/>
  <c r="Z30" i="37" s="1"/>
  <c r="J30" i="37"/>
  <c r="H30" i="37"/>
  <c r="AB30" i="37" s="1"/>
  <c r="F30" i="37"/>
  <c r="AA30" i="37" s="1"/>
  <c r="Z29" i="37"/>
  <c r="W29" i="37"/>
  <c r="Q29" i="37"/>
  <c r="J29" i="37"/>
  <c r="AC29" i="37" s="1"/>
  <c r="H29" i="37"/>
  <c r="F29" i="37"/>
  <c r="AA29" i="37" s="1"/>
  <c r="AA28" i="37"/>
  <c r="Q28" i="37"/>
  <c r="Z28" i="37" s="1"/>
  <c r="J28" i="37"/>
  <c r="W28" i="37" s="1"/>
  <c r="F28" i="37"/>
  <c r="S28" i="37" s="1"/>
  <c r="AB27" i="37"/>
  <c r="U27" i="37"/>
  <c r="S27" i="37"/>
  <c r="Q27" i="37"/>
  <c r="Z27" i="37" s="1"/>
  <c r="H27" i="37"/>
  <c r="F27" i="37"/>
  <c r="AA27" i="37" s="1"/>
  <c r="AC26" i="37"/>
  <c r="W26" i="37"/>
  <c r="Q26" i="37"/>
  <c r="Z26" i="37" s="1"/>
  <c r="J26" i="37"/>
  <c r="H26" i="37"/>
  <c r="AB26" i="37" s="1"/>
  <c r="F26" i="37"/>
  <c r="AA26" i="37" s="1"/>
  <c r="Z25" i="37"/>
  <c r="Q25" i="37"/>
  <c r="H25" i="37"/>
  <c r="AA23" i="37"/>
  <c r="Q23" i="37"/>
  <c r="Z23" i="37" s="1"/>
  <c r="J23" i="37"/>
  <c r="AC23" i="37" s="1"/>
  <c r="H23" i="37"/>
  <c r="U23" i="37" s="1"/>
  <c r="F23" i="37"/>
  <c r="S23" i="37" s="1"/>
  <c r="C23" i="37"/>
  <c r="AC21" i="37"/>
  <c r="Q21" i="37"/>
  <c r="Z21" i="37" s="1"/>
  <c r="J21" i="37"/>
  <c r="W21" i="37" s="1"/>
  <c r="H21" i="37"/>
  <c r="AB21" i="37" s="1"/>
  <c r="F21" i="37"/>
  <c r="S21" i="37" s="1"/>
  <c r="C21" i="37"/>
  <c r="AC19" i="37"/>
  <c r="Q19" i="37"/>
  <c r="Z19" i="37" s="1"/>
  <c r="J19" i="37"/>
  <c r="W19" i="37" s="1"/>
  <c r="H19" i="37"/>
  <c r="U19" i="37" s="1"/>
  <c r="F19" i="37"/>
  <c r="AA19" i="37" s="1"/>
  <c r="C19" i="37"/>
  <c r="AB17" i="37"/>
  <c r="AA17" i="37"/>
  <c r="Q17" i="37"/>
  <c r="Z17" i="37" s="1"/>
  <c r="J17" i="37"/>
  <c r="W17" i="37" s="1"/>
  <c r="H17" i="37"/>
  <c r="U17" i="37" s="1"/>
  <c r="F17" i="37"/>
  <c r="S17" i="37" s="1"/>
  <c r="C17" i="37"/>
  <c r="AA15" i="37"/>
  <c r="W15" i="37"/>
  <c r="Q15" i="37"/>
  <c r="Z15" i="37" s="1"/>
  <c r="J15" i="37"/>
  <c r="AC15" i="37" s="1"/>
  <c r="H15" i="37"/>
  <c r="U15" i="37" s="1"/>
  <c r="F15" i="37"/>
  <c r="S15" i="37" s="1"/>
  <c r="C15" i="37"/>
  <c r="U14" i="37"/>
  <c r="Q14" i="37"/>
  <c r="Z14" i="37" s="1"/>
  <c r="J14" i="37"/>
  <c r="W14" i="37" s="1"/>
  <c r="H14" i="37"/>
  <c r="AB14" i="37" s="1"/>
  <c r="F14" i="37"/>
  <c r="S14" i="37" s="1"/>
  <c r="Z13" i="37"/>
  <c r="Q13" i="37"/>
  <c r="H13" i="37"/>
  <c r="AA12" i="37"/>
  <c r="Z12" i="37"/>
  <c r="Q12" i="37"/>
  <c r="J12" i="37"/>
  <c r="H12" i="37"/>
  <c r="AB12" i="37" s="1"/>
  <c r="F12" i="37"/>
  <c r="S12" i="37" s="1"/>
  <c r="AC11" i="37"/>
  <c r="AB11" i="37"/>
  <c r="U11" i="37"/>
  <c r="Q11" i="37"/>
  <c r="Z11" i="37" s="1"/>
  <c r="J11" i="37"/>
  <c r="W11" i="37" s="1"/>
  <c r="H11" i="37"/>
  <c r="F11" i="37"/>
  <c r="AA11" i="37" s="1"/>
  <c r="U10" i="37"/>
  <c r="Q10" i="37"/>
  <c r="Z10" i="37" s="1"/>
  <c r="J10" i="37"/>
  <c r="W10" i="37" s="1"/>
  <c r="H10" i="37"/>
  <c r="AB10" i="37" s="1"/>
  <c r="F10" i="37"/>
  <c r="S10" i="37" s="1"/>
  <c r="AA9" i="37"/>
  <c r="Z9" i="37"/>
  <c r="Q9" i="37"/>
  <c r="H9" i="37"/>
  <c r="F9" i="37"/>
  <c r="S9" i="37" s="1"/>
  <c r="W8" i="37"/>
  <c r="J8" i="37"/>
  <c r="AC8" i="37" s="1"/>
  <c r="H8" i="37"/>
  <c r="F8" i="37"/>
  <c r="S8" i="37" s="1"/>
  <c r="B2" i="37"/>
  <c r="B131" i="34"/>
  <c r="F47" i="34" s="1"/>
  <c r="B129" i="34"/>
  <c r="B127" i="34"/>
  <c r="J45" i="34" s="1"/>
  <c r="G126" i="34"/>
  <c r="F126" i="34"/>
  <c r="D126" i="34"/>
  <c r="E126" i="34" s="1"/>
  <c r="F124" i="34"/>
  <c r="G124" i="34" s="1"/>
  <c r="H124" i="34" s="1"/>
  <c r="I124" i="34" s="1"/>
  <c r="J124" i="34" s="1"/>
  <c r="K124" i="34" s="1"/>
  <c r="L124" i="34" s="1"/>
  <c r="M124" i="34" s="1"/>
  <c r="E124" i="34"/>
  <c r="D124" i="34"/>
  <c r="K120" i="34"/>
  <c r="L120" i="34" s="1"/>
  <c r="M120" i="34" s="1"/>
  <c r="G120" i="34"/>
  <c r="H120" i="34" s="1"/>
  <c r="I120" i="34" s="1"/>
  <c r="J120" i="34" s="1"/>
  <c r="F120" i="34"/>
  <c r="D120" i="34"/>
  <c r="E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L102" i="34"/>
  <c r="M102" i="34" s="1"/>
  <c r="H102" i="34"/>
  <c r="I102" i="34" s="1"/>
  <c r="J102" i="34" s="1"/>
  <c r="K102" i="34" s="1"/>
  <c r="G102" i="34"/>
  <c r="F102" i="34"/>
  <c r="D102" i="34"/>
  <c r="E102" i="34" s="1"/>
  <c r="B99" i="34"/>
  <c r="B97" i="34"/>
  <c r="B95" i="34"/>
  <c r="B93" i="34"/>
  <c r="J29" i="34" s="1"/>
  <c r="H92" i="34"/>
  <c r="I92" i="34" s="1"/>
  <c r="J92" i="34" s="1"/>
  <c r="K92" i="34" s="1"/>
  <c r="L92" i="34" s="1"/>
  <c r="M92" i="34" s="1"/>
  <c r="F92" i="34"/>
  <c r="G92" i="34" s="1"/>
  <c r="E92" i="34"/>
  <c r="D92" i="34"/>
  <c r="B91" i="34"/>
  <c r="D90" i="34"/>
  <c r="E90" i="34" s="1"/>
  <c r="F90" i="34" s="1"/>
  <c r="G90" i="34" s="1"/>
  <c r="H90" i="34" s="1"/>
  <c r="I90" i="34" s="1"/>
  <c r="J90" i="34" s="1"/>
  <c r="K90" i="34" s="1"/>
  <c r="L90" i="34" s="1"/>
  <c r="M90" i="34" s="1"/>
  <c r="B89" i="34"/>
  <c r="F27" i="34" s="1"/>
  <c r="D88" i="34"/>
  <c r="E88" i="34" s="1"/>
  <c r="F88" i="34" s="1"/>
  <c r="G88" i="34" s="1"/>
  <c r="H88" i="34" s="1"/>
  <c r="I88" i="34" s="1"/>
  <c r="J88" i="34" s="1"/>
  <c r="K88" i="34" s="1"/>
  <c r="L88" i="34" s="1"/>
  <c r="M88" i="34" s="1"/>
  <c r="G86" i="34"/>
  <c r="F86" i="34"/>
  <c r="D86" i="34"/>
  <c r="E86" i="34" s="1"/>
  <c r="G84" i="34"/>
  <c r="F84" i="34"/>
  <c r="D84" i="34"/>
  <c r="E84" i="34" s="1"/>
  <c r="D82" i="34"/>
  <c r="E82" i="34" s="1"/>
  <c r="F82" i="34" s="1"/>
  <c r="G82" i="34" s="1"/>
  <c r="D80" i="34"/>
  <c r="E80" i="34" s="1"/>
  <c r="F80" i="34" s="1"/>
  <c r="G80" i="34" s="1"/>
  <c r="G78" i="34"/>
  <c r="F78" i="34"/>
  <c r="D78" i="34"/>
  <c r="E78" i="34" s="1"/>
  <c r="B75" i="34"/>
  <c r="H14" i="34" s="1"/>
  <c r="B73" i="34"/>
  <c r="F13" i="34" s="1"/>
  <c r="B71" i="34"/>
  <c r="L70" i="34"/>
  <c r="M70" i="34" s="1"/>
  <c r="K70" i="34"/>
  <c r="G70" i="34"/>
  <c r="H70" i="34" s="1"/>
  <c r="I70" i="34" s="1"/>
  <c r="J70" i="34" s="1"/>
  <c r="E70" i="34"/>
  <c r="F70" i="34" s="1"/>
  <c r="D70" i="34"/>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AC47" i="34"/>
  <c r="Q47" i="34"/>
  <c r="Z47" i="34" s="1"/>
  <c r="J47" i="34"/>
  <c r="W47" i="34" s="1"/>
  <c r="AC46" i="34"/>
  <c r="Q46" i="34"/>
  <c r="Z46" i="34" s="1"/>
  <c r="J46" i="34"/>
  <c r="W46" i="34" s="1"/>
  <c r="H46" i="34"/>
  <c r="AB46" i="34" s="1"/>
  <c r="F46" i="34"/>
  <c r="AA46" i="34" s="1"/>
  <c r="Z45" i="34"/>
  <c r="Q45" i="34"/>
  <c r="H45" i="34"/>
  <c r="AB45" i="34" s="1"/>
  <c r="Z44" i="34"/>
  <c r="W44" i="34"/>
  <c r="Q44" i="34"/>
  <c r="J44" i="34"/>
  <c r="AC44" i="34" s="1"/>
  <c r="H44" i="34"/>
  <c r="AB44" i="34" s="1"/>
  <c r="F44" i="34"/>
  <c r="S44" i="34" s="1"/>
  <c r="AB43" i="34"/>
  <c r="Z43" i="34"/>
  <c r="Q43" i="34"/>
  <c r="J43" i="34"/>
  <c r="H43" i="34"/>
  <c r="U43" i="34" s="1"/>
  <c r="F43" i="34"/>
  <c r="AA43" i="34" s="1"/>
  <c r="AC42" i="34"/>
  <c r="AB42" i="34"/>
  <c r="Q42" i="34"/>
  <c r="Z42" i="34" s="1"/>
  <c r="J42" i="34"/>
  <c r="W42" i="34" s="1"/>
  <c r="H42" i="34"/>
  <c r="U42" i="34" s="1"/>
  <c r="F42" i="34"/>
  <c r="AA42" i="34" s="1"/>
  <c r="Z41" i="34"/>
  <c r="U41" i="34"/>
  <c r="Q41" i="34"/>
  <c r="J41" i="34"/>
  <c r="AC41" i="34" s="1"/>
  <c r="H41" i="34"/>
  <c r="AB41" i="34" s="1"/>
  <c r="F41" i="34"/>
  <c r="S41" i="34" s="1"/>
  <c r="AA40" i="34"/>
  <c r="Z40" i="34"/>
  <c r="Q40" i="34"/>
  <c r="J40" i="34"/>
  <c r="H40" i="34"/>
  <c r="AB40" i="34" s="1"/>
  <c r="F40" i="34"/>
  <c r="S40" i="34" s="1"/>
  <c r="AC39" i="34"/>
  <c r="AB39" i="34"/>
  <c r="U39" i="34"/>
  <c r="Q39" i="34"/>
  <c r="Z39" i="34" s="1"/>
  <c r="J39" i="34"/>
  <c r="W39" i="34" s="1"/>
  <c r="H39" i="34"/>
  <c r="F39" i="34"/>
  <c r="AA39" i="34" s="1"/>
  <c r="U38" i="34"/>
  <c r="Q38" i="34"/>
  <c r="Z38" i="34" s="1"/>
  <c r="J38" i="34"/>
  <c r="W38" i="34" s="1"/>
  <c r="H38" i="34"/>
  <c r="AB38" i="34" s="1"/>
  <c r="F38" i="34"/>
  <c r="S38" i="34" s="1"/>
  <c r="AA37" i="34"/>
  <c r="Q37" i="34"/>
  <c r="Z37" i="34" s="1"/>
  <c r="J37" i="34"/>
  <c r="AC37" i="34" s="1"/>
  <c r="H37" i="34"/>
  <c r="AB37" i="34" s="1"/>
  <c r="F37" i="34"/>
  <c r="S37" i="34" s="1"/>
  <c r="AC36" i="34"/>
  <c r="AA36" i="34"/>
  <c r="Q36" i="34"/>
  <c r="Z36" i="34" s="1"/>
  <c r="J36" i="34"/>
  <c r="W36" i="34" s="1"/>
  <c r="H36" i="34"/>
  <c r="AB36" i="34" s="1"/>
  <c r="F36" i="34"/>
  <c r="S36" i="34" s="1"/>
  <c r="AC35" i="34"/>
  <c r="W35" i="34"/>
  <c r="Q35" i="34"/>
  <c r="Z35" i="34" s="1"/>
  <c r="J35" i="34"/>
  <c r="H35" i="34"/>
  <c r="U35" i="34" s="1"/>
  <c r="F35" i="34"/>
  <c r="AA35" i="34" s="1"/>
  <c r="AC34" i="34"/>
  <c r="AA34" i="34"/>
  <c r="Q34" i="34"/>
  <c r="Z34" i="34" s="1"/>
  <c r="J34" i="34"/>
  <c r="W34" i="34" s="1"/>
  <c r="H34" i="34"/>
  <c r="AB34" i="34" s="1"/>
  <c r="F34" i="34"/>
  <c r="S34" i="34" s="1"/>
  <c r="AB33" i="34"/>
  <c r="AA33" i="34"/>
  <c r="Q33" i="34"/>
  <c r="Z33" i="34" s="1"/>
  <c r="J33" i="34"/>
  <c r="AC33" i="34" s="1"/>
  <c r="H33" i="34"/>
  <c r="U33" i="34" s="1"/>
  <c r="F33" i="34"/>
  <c r="S33" i="34" s="1"/>
  <c r="Q32" i="34"/>
  <c r="Z32" i="34" s="1"/>
  <c r="F32" i="34"/>
  <c r="S32" i="34" s="1"/>
  <c r="U31" i="34"/>
  <c r="Q31" i="34"/>
  <c r="Z31" i="34" s="1"/>
  <c r="H31" i="34"/>
  <c r="AB31" i="34" s="1"/>
  <c r="AC30" i="34"/>
  <c r="AB30" i="34"/>
  <c r="Q30" i="34"/>
  <c r="Z30" i="34" s="1"/>
  <c r="J30" i="34"/>
  <c r="W30" i="34" s="1"/>
  <c r="H30" i="34"/>
  <c r="U30" i="34" s="1"/>
  <c r="F30" i="34"/>
  <c r="AA30" i="34" s="1"/>
  <c r="Q29" i="34"/>
  <c r="Z29" i="34" s="1"/>
  <c r="H29" i="34"/>
  <c r="AB29" i="34" s="1"/>
  <c r="F29" i="34"/>
  <c r="S29" i="34" s="1"/>
  <c r="AA28" i="34"/>
  <c r="Z28" i="34"/>
  <c r="W28" i="34"/>
  <c r="Q28" i="34"/>
  <c r="J28" i="34"/>
  <c r="AC28" i="34" s="1"/>
  <c r="H28" i="34"/>
  <c r="AB28" i="34" s="1"/>
  <c r="F28" i="34"/>
  <c r="S28" i="34" s="1"/>
  <c r="Q27" i="34"/>
  <c r="Z27" i="34" s="1"/>
  <c r="J27" i="34"/>
  <c r="W27" i="34" s="1"/>
  <c r="H27" i="34"/>
  <c r="AB27" i="34" s="1"/>
  <c r="AB25" i="34"/>
  <c r="Q25" i="34"/>
  <c r="Z25" i="34" s="1"/>
  <c r="J25" i="34"/>
  <c r="AC25" i="34" s="1"/>
  <c r="H25" i="34"/>
  <c r="U25" i="34" s="1"/>
  <c r="F25" i="34"/>
  <c r="S25" i="34" s="1"/>
  <c r="AC23" i="34"/>
  <c r="W23" i="34"/>
  <c r="Q23" i="34"/>
  <c r="Z23" i="34" s="1"/>
  <c r="J23" i="34"/>
  <c r="H23" i="34"/>
  <c r="AB23" i="34" s="1"/>
  <c r="F23" i="34"/>
  <c r="S23" i="34" s="1"/>
  <c r="C23" i="34"/>
  <c r="AA21" i="34"/>
  <c r="Q21" i="34"/>
  <c r="Z21" i="34" s="1"/>
  <c r="J21" i="34"/>
  <c r="AC21" i="34" s="1"/>
  <c r="H21" i="34"/>
  <c r="AB21" i="34" s="1"/>
  <c r="F21" i="34"/>
  <c r="S21" i="34" s="1"/>
  <c r="C21" i="34"/>
  <c r="AC19" i="34"/>
  <c r="W19" i="34"/>
  <c r="Q19" i="34"/>
  <c r="Z19" i="34" s="1"/>
  <c r="J19" i="34"/>
  <c r="H19" i="34"/>
  <c r="AB19" i="34" s="1"/>
  <c r="F19" i="34"/>
  <c r="S19" i="34" s="1"/>
  <c r="C19" i="34"/>
  <c r="Z17" i="34"/>
  <c r="Q17" i="34"/>
  <c r="J17" i="34"/>
  <c r="AC17" i="34" s="1"/>
  <c r="H17" i="34"/>
  <c r="AB17" i="34" s="1"/>
  <c r="F17" i="34"/>
  <c r="S17" i="34" s="1"/>
  <c r="C17" i="34"/>
  <c r="AC15" i="34"/>
  <c r="Z15" i="34"/>
  <c r="Q15" i="34"/>
  <c r="J15" i="34"/>
  <c r="W15" i="34" s="1"/>
  <c r="H15" i="34"/>
  <c r="AB15" i="34" s="1"/>
  <c r="F15" i="34"/>
  <c r="S15" i="34" s="1"/>
  <c r="C15" i="34"/>
  <c r="AA14" i="34"/>
  <c r="Z14" i="34"/>
  <c r="S14" i="34"/>
  <c r="Q14" i="34"/>
  <c r="J14" i="34"/>
  <c r="AC14" i="34" s="1"/>
  <c r="F14" i="34"/>
  <c r="AB13" i="34"/>
  <c r="Z13" i="34"/>
  <c r="U13" i="34"/>
  <c r="Q13" i="34"/>
  <c r="J13" i="34"/>
  <c r="AC13" i="34" s="1"/>
  <c r="H13" i="34"/>
  <c r="AC12" i="34"/>
  <c r="AA12" i="34"/>
  <c r="Q12" i="34"/>
  <c r="Z12" i="34" s="1"/>
  <c r="J12" i="34"/>
  <c r="W12" i="34" s="1"/>
  <c r="H12" i="34"/>
  <c r="U12" i="34" s="1"/>
  <c r="F12" i="34"/>
  <c r="S12" i="34" s="1"/>
  <c r="AB11" i="34"/>
  <c r="Z11" i="34"/>
  <c r="Q11" i="34"/>
  <c r="J11" i="34"/>
  <c r="AC11" i="34" s="1"/>
  <c r="H11" i="34"/>
  <c r="U11" i="34" s="1"/>
  <c r="F11" i="34"/>
  <c r="S11" i="34" s="1"/>
  <c r="AA10" i="34"/>
  <c r="W10" i="34"/>
  <c r="Q10" i="34"/>
  <c r="Z10" i="34" s="1"/>
  <c r="J10" i="34"/>
  <c r="AC10" i="34" s="1"/>
  <c r="H10" i="34"/>
  <c r="AB10" i="34" s="1"/>
  <c r="F10" i="34"/>
  <c r="S10" i="34" s="1"/>
  <c r="AB9" i="34"/>
  <c r="Z9" i="34"/>
  <c r="U9" i="34"/>
  <c r="Q9" i="34"/>
  <c r="J9" i="34"/>
  <c r="AC9" i="34" s="1"/>
  <c r="H9" i="34"/>
  <c r="F9" i="34"/>
  <c r="AA9" i="34" s="1"/>
  <c r="AC8" i="34"/>
  <c r="AB8" i="34"/>
  <c r="W8" i="34"/>
  <c r="S8" i="34"/>
  <c r="J8" i="34"/>
  <c r="H8" i="34"/>
  <c r="U8" i="34" s="1"/>
  <c r="F8" i="34"/>
  <c r="AA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AC30" i="33"/>
  <c r="Q30" i="33"/>
  <c r="Z30" i="33" s="1"/>
  <c r="J30" i="33"/>
  <c r="W30" i="33" s="1"/>
  <c r="H30" i="33"/>
  <c r="AB30" i="33" s="1"/>
  <c r="F30" i="33"/>
  <c r="AA30" i="33" s="1"/>
  <c r="AB29" i="33"/>
  <c r="U29" i="33"/>
  <c r="Q29" i="33"/>
  <c r="Z29" i="33" s="1"/>
  <c r="H29" i="33"/>
  <c r="AA28" i="33"/>
  <c r="Q28" i="33"/>
  <c r="Z28" i="33" s="1"/>
  <c r="J28" i="33"/>
  <c r="AC28" i="33" s="1"/>
  <c r="H28" i="33"/>
  <c r="AB28" i="33" s="1"/>
  <c r="F28" i="33"/>
  <c r="S28" i="33" s="1"/>
  <c r="Z27" i="33"/>
  <c r="Q27" i="33"/>
  <c r="H27" i="33"/>
  <c r="AB27" i="33" s="1"/>
  <c r="F27" i="33"/>
  <c r="AA27" i="33" s="1"/>
  <c r="W26" i="33"/>
  <c r="Q26" i="33"/>
  <c r="Z26" i="33" s="1"/>
  <c r="J26" i="33"/>
  <c r="AC26" i="33" s="1"/>
  <c r="H26" i="33"/>
  <c r="AB26" i="33" s="1"/>
  <c r="F26" i="33"/>
  <c r="S26" i="33" s="1"/>
  <c r="U25" i="33"/>
  <c r="Q25" i="33"/>
  <c r="Z25" i="33" s="1"/>
  <c r="J25" i="33"/>
  <c r="AC25" i="33" s="1"/>
  <c r="H25" i="33"/>
  <c r="AB25" i="33" s="1"/>
  <c r="F25" i="33"/>
  <c r="AA25" i="33" s="1"/>
  <c r="Q23" i="33"/>
  <c r="Z23" i="33" s="1"/>
  <c r="J23" i="33"/>
  <c r="AC23" i="33" s="1"/>
  <c r="H23" i="33"/>
  <c r="AB23" i="33" s="1"/>
  <c r="F23" i="33"/>
  <c r="AA23" i="33" s="1"/>
  <c r="C23" i="33"/>
  <c r="W21" i="33"/>
  <c r="Q21" i="33"/>
  <c r="Z21" i="33" s="1"/>
  <c r="J21" i="33"/>
  <c r="AC21" i="33" s="1"/>
  <c r="H21" i="33"/>
  <c r="AB21" i="33" s="1"/>
  <c r="F21" i="33"/>
  <c r="S21" i="33" s="1"/>
  <c r="C21" i="33"/>
  <c r="Q19" i="33"/>
  <c r="Z19" i="33" s="1"/>
  <c r="J19" i="33"/>
  <c r="W19" i="33" s="1"/>
  <c r="H19" i="33"/>
  <c r="U19" i="33" s="1"/>
  <c r="F19" i="33"/>
  <c r="AA19" i="33" s="1"/>
  <c r="C19" i="33"/>
  <c r="Q17" i="33"/>
  <c r="Z17" i="33" s="1"/>
  <c r="J17" i="33"/>
  <c r="W17" i="33" s="1"/>
  <c r="H17" i="33"/>
  <c r="U17" i="33" s="1"/>
  <c r="F17" i="33"/>
  <c r="S17" i="33" s="1"/>
  <c r="C17" i="33"/>
  <c r="Q15" i="33"/>
  <c r="Z15" i="33" s="1"/>
  <c r="J15" i="33"/>
  <c r="AC15" i="33" s="1"/>
  <c r="H15" i="33"/>
  <c r="U15" i="33" s="1"/>
  <c r="F15" i="33"/>
  <c r="S15" i="33" s="1"/>
  <c r="C15" i="33"/>
  <c r="AC14" i="33"/>
  <c r="AA14" i="33"/>
  <c r="Q14" i="33"/>
  <c r="Z14" i="33" s="1"/>
  <c r="J14" i="33"/>
  <c r="W14" i="33" s="1"/>
  <c r="H14" i="33"/>
  <c r="AB14" i="33" s="1"/>
  <c r="F14" i="33"/>
  <c r="S14" i="33" s="1"/>
  <c r="AB13" i="33"/>
  <c r="Z13" i="33"/>
  <c r="Q13" i="33"/>
  <c r="J13" i="33"/>
  <c r="AC13" i="33" s="1"/>
  <c r="H13" i="33"/>
  <c r="U13" i="33" s="1"/>
  <c r="F13" i="33"/>
  <c r="S13" i="33" s="1"/>
  <c r="AA12" i="33"/>
  <c r="W12" i="33"/>
  <c r="Q12" i="33"/>
  <c r="Z12" i="33" s="1"/>
  <c r="J12" i="33"/>
  <c r="AC12" i="33" s="1"/>
  <c r="H12" i="33"/>
  <c r="AB12" i="33" s="1"/>
  <c r="F12" i="33"/>
  <c r="S12" i="33" s="1"/>
  <c r="AB11" i="33"/>
  <c r="Z11" i="33"/>
  <c r="U11" i="33"/>
  <c r="Q11" i="33"/>
  <c r="J11" i="33"/>
  <c r="W11" i="33" s="1"/>
  <c r="H11" i="33"/>
  <c r="F11" i="33"/>
  <c r="AA11" i="33" s="1"/>
  <c r="AB10" i="33"/>
  <c r="Q10" i="33"/>
  <c r="Z10" i="33" s="1"/>
  <c r="J10" i="33"/>
  <c r="AC10" i="33" s="1"/>
  <c r="H10" i="33"/>
  <c r="U10" i="33" s="1"/>
  <c r="F10" i="33"/>
  <c r="S10" i="33" s="1"/>
  <c r="AA9" i="33"/>
  <c r="Q9" i="33"/>
  <c r="Z9" i="33" s="1"/>
  <c r="J9" i="33"/>
  <c r="AC9" i="33" s="1"/>
  <c r="H9" i="33"/>
  <c r="U9" i="33" s="1"/>
  <c r="F9" i="33"/>
  <c r="S9" i="33" s="1"/>
  <c r="W8" i="33"/>
  <c r="J8" i="33"/>
  <c r="AC8" i="33" s="1"/>
  <c r="H8" i="33"/>
  <c r="AB8" i="33" s="1"/>
  <c r="F8" i="33"/>
  <c r="S8" i="33" s="1"/>
  <c r="B2" i="33"/>
  <c r="C145" i="21"/>
  <c r="K143" i="21"/>
  <c r="J142" i="21"/>
  <c r="J140" i="21"/>
  <c r="K141" i="21" s="1"/>
  <c r="K139" i="21"/>
  <c r="B130" i="21"/>
  <c r="F46" i="21" s="1"/>
  <c r="B128" i="21"/>
  <c r="B126" i="21"/>
  <c r="J44" i="21" s="1"/>
  <c r="F125" i="21"/>
  <c r="G125" i="21" s="1"/>
  <c r="D125" i="21"/>
  <c r="E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F117" i="21"/>
  <c r="G117" i="21" s="1"/>
  <c r="D117" i="21"/>
  <c r="E117" i="21" s="1"/>
  <c r="E115" i="21"/>
  <c r="F115" i="21" s="1"/>
  <c r="G115" i="21" s="1"/>
  <c r="H115" i="21" s="1"/>
  <c r="I115" i="21" s="1"/>
  <c r="J115" i="21" s="1"/>
  <c r="K115" i="21" s="1"/>
  <c r="L115" i="21" s="1"/>
  <c r="M115" i="21" s="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W8" i="21"/>
  <c r="S8" i="21"/>
  <c r="J8" i="21"/>
  <c r="AC8" i="21" s="1"/>
  <c r="H8" i="21"/>
  <c r="U8" i="21" s="1"/>
  <c r="F8" i="2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67"/>
  <c r="Q72" i="67"/>
  <c r="Q59" i="67"/>
  <c r="K59" i="67"/>
  <c r="P61" i="67" s="1"/>
  <c r="F59" i="67"/>
  <c r="Q58" i="67"/>
  <c r="Q51" i="67"/>
  <c r="J50" i="67"/>
  <c r="J51" i="67" s="1"/>
  <c r="M47" i="67"/>
  <c r="D46" i="67"/>
  <c r="F33" i="67"/>
  <c r="F61" i="67" s="1"/>
  <c r="F31" i="67"/>
  <c r="F23" i="67"/>
  <c r="D24" i="67" s="1"/>
  <c r="F21" i="67"/>
  <c r="F20" i="67"/>
  <c r="M19" i="67"/>
  <c r="F18" i="67"/>
  <c r="M17" i="67"/>
  <c r="F17" i="67"/>
  <c r="F15" i="67"/>
  <c r="C467" i="81"/>
  <c r="C468" i="81" s="1"/>
  <c r="H466" i="81"/>
  <c r="BO465" i="81"/>
  <c r="BC465" i="81"/>
  <c r="BA465" i="81"/>
  <c r="AZ465" i="81"/>
  <c r="BB465" i="81" s="1"/>
  <c r="BD465" i="81" s="1"/>
  <c r="AR465" i="81"/>
  <c r="AF465" i="81"/>
  <c r="AE465" i="81"/>
  <c r="AD465" i="81"/>
  <c r="AC465" i="81"/>
  <c r="AB465" i="81"/>
  <c r="AA465" i="81"/>
  <c r="Z465" i="81"/>
  <c r="Y465" i="81"/>
  <c r="W465" i="81"/>
  <c r="S465" i="81"/>
  <c r="Q465" i="81"/>
  <c r="N465" i="81"/>
  <c r="X465" i="81" s="1"/>
  <c r="AP465" i="81" s="1"/>
  <c r="AQ465" i="81" s="1"/>
  <c r="L465" i="81"/>
  <c r="BO464" i="81"/>
  <c r="BC464" i="81"/>
  <c r="BA464" i="81"/>
  <c r="BB464" i="81" s="1"/>
  <c r="BD464" i="81" s="1"/>
  <c r="BE464" i="81" s="1"/>
  <c r="AZ464" i="81"/>
  <c r="AR464" i="81"/>
  <c r="AF464" i="81"/>
  <c r="AE464" i="81"/>
  <c r="AD464" i="81"/>
  <c r="AC464" i="81"/>
  <c r="AB464" i="81"/>
  <c r="AA464" i="81"/>
  <c r="Z464" i="81"/>
  <c r="Y464" i="81"/>
  <c r="W464" i="81"/>
  <c r="S464" i="81"/>
  <c r="Q464" i="81"/>
  <c r="N464" i="81"/>
  <c r="X464" i="81" s="1"/>
  <c r="AP464" i="81" s="1"/>
  <c r="AQ464" i="81" s="1"/>
  <c r="M464" i="81"/>
  <c r="L464" i="81"/>
  <c r="BO463" i="81"/>
  <c r="BC463" i="81"/>
  <c r="BB463" i="81"/>
  <c r="BD463" i="81" s="1"/>
  <c r="BA463" i="81"/>
  <c r="AZ463" i="81"/>
  <c r="AR463" i="81"/>
  <c r="AF463" i="81"/>
  <c r="AE463" i="81"/>
  <c r="AD463" i="81"/>
  <c r="AC463" i="81"/>
  <c r="AB463" i="81"/>
  <c r="AA463" i="81"/>
  <c r="Z463" i="81"/>
  <c r="Y463" i="81"/>
  <c r="W463" i="81"/>
  <c r="S463" i="81"/>
  <c r="Q463" i="81"/>
  <c r="N463" i="81"/>
  <c r="X463" i="81" s="1"/>
  <c r="AP463" i="81" s="1"/>
  <c r="AQ463" i="81" s="1"/>
  <c r="M463" i="81"/>
  <c r="L463" i="81"/>
  <c r="BO462" i="81"/>
  <c r="BC462" i="81"/>
  <c r="BA462" i="81"/>
  <c r="AZ462" i="81"/>
  <c r="AR462" i="81"/>
  <c r="AF462" i="81"/>
  <c r="AE462" i="81"/>
  <c r="AD462" i="81"/>
  <c r="AC462" i="81"/>
  <c r="AB462" i="81"/>
  <c r="AA462" i="81"/>
  <c r="Z462" i="81"/>
  <c r="Y462" i="81"/>
  <c r="W462" i="81"/>
  <c r="S462" i="81"/>
  <c r="Q462" i="81"/>
  <c r="N462" i="81"/>
  <c r="M462" i="81"/>
  <c r="L462" i="81"/>
  <c r="BO461" i="81"/>
  <c r="BP461" i="81" s="1"/>
  <c r="BC461" i="81"/>
  <c r="BA461" i="81"/>
  <c r="AZ461" i="81"/>
  <c r="BB461" i="81" s="1"/>
  <c r="BD461" i="81" s="1"/>
  <c r="AR461" i="81"/>
  <c r="AF461" i="81"/>
  <c r="AE461" i="81"/>
  <c r="AD461" i="81"/>
  <c r="AC461" i="81"/>
  <c r="AB461" i="81"/>
  <c r="AA461" i="81"/>
  <c r="Z461" i="81"/>
  <c r="Y461" i="81"/>
  <c r="W461" i="81"/>
  <c r="S461" i="81"/>
  <c r="Q461" i="81"/>
  <c r="N461" i="81"/>
  <c r="X461" i="81" s="1"/>
  <c r="M461" i="81"/>
  <c r="L461" i="81"/>
  <c r="BO460" i="81"/>
  <c r="BC460" i="81"/>
  <c r="BA460" i="81"/>
  <c r="AZ460" i="81"/>
  <c r="AR460" i="81"/>
  <c r="AF460" i="81"/>
  <c r="AE460" i="81"/>
  <c r="AD460" i="81"/>
  <c r="AC460" i="81"/>
  <c r="AB460" i="81"/>
  <c r="AA460" i="81"/>
  <c r="Z460" i="81"/>
  <c r="Y460" i="81"/>
  <c r="W460" i="81"/>
  <c r="S460" i="81"/>
  <c r="Q460" i="81"/>
  <c r="N460" i="81"/>
  <c r="X460" i="81" s="1"/>
  <c r="AP460" i="81" s="1"/>
  <c r="AQ460" i="81" s="1"/>
  <c r="M460" i="81"/>
  <c r="L460" i="81"/>
  <c r="BO459" i="81"/>
  <c r="BR459" i="81" s="1"/>
  <c r="BC459" i="81"/>
  <c r="BB459" i="81"/>
  <c r="BD459" i="81" s="1"/>
  <c r="BE459" i="81" s="1"/>
  <c r="BA459" i="81"/>
  <c r="AZ459" i="81"/>
  <c r="AR459" i="81"/>
  <c r="AF459" i="81"/>
  <c r="AE459" i="81"/>
  <c r="AD459" i="81"/>
  <c r="AC459" i="81"/>
  <c r="AB459" i="81"/>
  <c r="AA459" i="81"/>
  <c r="Z459" i="81"/>
  <c r="Y459" i="81"/>
  <c r="W459" i="81"/>
  <c r="S459" i="81"/>
  <c r="Q459" i="81"/>
  <c r="N459" i="81"/>
  <c r="X459" i="81" s="1"/>
  <c r="AP459" i="81" s="1"/>
  <c r="AQ459" i="81" s="1"/>
  <c r="M459" i="81"/>
  <c r="L459" i="81"/>
  <c r="BO458" i="81"/>
  <c r="BC458" i="81"/>
  <c r="BA458" i="81"/>
  <c r="BB458" i="81" s="1"/>
  <c r="BD458" i="81" s="1"/>
  <c r="BE458" i="81" s="1"/>
  <c r="AZ458" i="81"/>
  <c r="AR458" i="81"/>
  <c r="AF458" i="81"/>
  <c r="AE458" i="81"/>
  <c r="AD458" i="81"/>
  <c r="AC458" i="81"/>
  <c r="AB458" i="81"/>
  <c r="AA458" i="81"/>
  <c r="Z458" i="81"/>
  <c r="Y458" i="81"/>
  <c r="W458" i="81"/>
  <c r="S458" i="81"/>
  <c r="Q458" i="81"/>
  <c r="N458" i="81"/>
  <c r="M458" i="81"/>
  <c r="L458" i="81"/>
  <c r="BO457" i="81"/>
  <c r="BC457" i="81"/>
  <c r="BB457" i="81"/>
  <c r="BD457" i="81" s="1"/>
  <c r="BA457" i="81"/>
  <c r="AZ457" i="81"/>
  <c r="AR457" i="81"/>
  <c r="AF457" i="81"/>
  <c r="AE457" i="81"/>
  <c r="AD457" i="81"/>
  <c r="AC457" i="81"/>
  <c r="AB457" i="81"/>
  <c r="AA457" i="81"/>
  <c r="Z457" i="81"/>
  <c r="Y457" i="81"/>
  <c r="W457" i="81"/>
  <c r="S457" i="81"/>
  <c r="Q457" i="81"/>
  <c r="N457" i="81"/>
  <c r="X457" i="81" s="1"/>
  <c r="AP457" i="81" s="1"/>
  <c r="AQ457" i="81" s="1"/>
  <c r="M457" i="81"/>
  <c r="L457" i="81"/>
  <c r="BR457" i="81" s="1"/>
  <c r="BU457" i="81" s="1"/>
  <c r="BX457" i="81" s="1"/>
  <c r="CA457" i="81" s="1"/>
  <c r="BO456" i="81"/>
  <c r="BC456" i="81"/>
  <c r="BA456" i="81"/>
  <c r="AZ456" i="81"/>
  <c r="AF456" i="81"/>
  <c r="AE456" i="81"/>
  <c r="AD456" i="81"/>
  <c r="AC456" i="81"/>
  <c r="AB456" i="81"/>
  <c r="AA456" i="81"/>
  <c r="Z456" i="81"/>
  <c r="Y456" i="81"/>
  <c r="W456" i="81"/>
  <c r="S456" i="81"/>
  <c r="Q456" i="81"/>
  <c r="N456" i="81"/>
  <c r="M456" i="81"/>
  <c r="L456" i="81"/>
  <c r="BO455" i="81"/>
  <c r="BC455" i="81"/>
  <c r="BA455" i="81"/>
  <c r="AZ455" i="81"/>
  <c r="BB455" i="81" s="1"/>
  <c r="BD455" i="81" s="1"/>
  <c r="AR455" i="81"/>
  <c r="AF455" i="81"/>
  <c r="AE455" i="81"/>
  <c r="AD455" i="81"/>
  <c r="AC455" i="81"/>
  <c r="AB455" i="81"/>
  <c r="AA455" i="81"/>
  <c r="Z455" i="81"/>
  <c r="Y455" i="81"/>
  <c r="W455" i="81"/>
  <c r="S455" i="81"/>
  <c r="Q455" i="81"/>
  <c r="N455" i="81"/>
  <c r="X455" i="81" s="1"/>
  <c r="AP455" i="81" s="1"/>
  <c r="AQ455" i="81" s="1"/>
  <c r="M455" i="81"/>
  <c r="L455" i="81"/>
  <c r="BO454" i="81"/>
  <c r="BC454" i="81"/>
  <c r="BA454" i="81"/>
  <c r="BB454" i="81" s="1"/>
  <c r="BD454" i="81" s="1"/>
  <c r="BE454" i="81" s="1"/>
  <c r="AZ454" i="81"/>
  <c r="AR454" i="81"/>
  <c r="AF454" i="81"/>
  <c r="AE454" i="81"/>
  <c r="AD454" i="81"/>
  <c r="AC454" i="81"/>
  <c r="AB454" i="81"/>
  <c r="AA454" i="81"/>
  <c r="Z454" i="81"/>
  <c r="Y454" i="81"/>
  <c r="W454" i="81"/>
  <c r="S454" i="81"/>
  <c r="Q454" i="81"/>
  <c r="N454" i="81"/>
  <c r="X454" i="81" s="1"/>
  <c r="AP454" i="81" s="1"/>
  <c r="AQ454" i="81" s="1"/>
  <c r="M454" i="81"/>
  <c r="L454" i="81"/>
  <c r="BO453" i="81"/>
  <c r="BC453" i="81"/>
  <c r="BB453" i="81"/>
  <c r="BD453" i="81" s="1"/>
  <c r="BA453" i="81"/>
  <c r="AZ453" i="81"/>
  <c r="AR453" i="81"/>
  <c r="AF453" i="81"/>
  <c r="AE453" i="81"/>
  <c r="AD453" i="81"/>
  <c r="AC453" i="81"/>
  <c r="AB453" i="81"/>
  <c r="AA453" i="81"/>
  <c r="Z453" i="81"/>
  <c r="Y453" i="81"/>
  <c r="W453" i="81"/>
  <c r="S453" i="81"/>
  <c r="Q453" i="81"/>
  <c r="N453" i="81"/>
  <c r="X453" i="81" s="1"/>
  <c r="AP453" i="81" s="1"/>
  <c r="AQ453" i="81" s="1"/>
  <c r="M453" i="81"/>
  <c r="L453" i="81"/>
  <c r="BO452" i="81"/>
  <c r="BC452" i="81"/>
  <c r="BA452" i="81"/>
  <c r="AZ452" i="81"/>
  <c r="AF452" i="81"/>
  <c r="AE452" i="81"/>
  <c r="AD452" i="81"/>
  <c r="AC452" i="81"/>
  <c r="AB452" i="81"/>
  <c r="AA452" i="81"/>
  <c r="Z452" i="81"/>
  <c r="Y452" i="81"/>
  <c r="W452" i="81"/>
  <c r="S452" i="81"/>
  <c r="Q452" i="81"/>
  <c r="N452" i="81"/>
  <c r="M452" i="81"/>
  <c r="L452" i="81"/>
  <c r="BO451" i="81"/>
  <c r="BC451" i="81"/>
  <c r="BA451" i="81"/>
  <c r="AZ451" i="81"/>
  <c r="BB451" i="81" s="1"/>
  <c r="BD451" i="81" s="1"/>
  <c r="AR451" i="81"/>
  <c r="AF451" i="81"/>
  <c r="AE451" i="81"/>
  <c r="AD451" i="81"/>
  <c r="AC451" i="81"/>
  <c r="AB451" i="81"/>
  <c r="AA451" i="81"/>
  <c r="Z451" i="81"/>
  <c r="Y451" i="81"/>
  <c r="W451" i="81"/>
  <c r="S451" i="81"/>
  <c r="Q451" i="81"/>
  <c r="N451" i="81"/>
  <c r="X451" i="81" s="1"/>
  <c r="AP451" i="81" s="1"/>
  <c r="AQ451" i="81" s="1"/>
  <c r="M451" i="81"/>
  <c r="L451" i="81"/>
  <c r="BO450" i="81"/>
  <c r="BC450" i="81"/>
  <c r="BA450" i="81"/>
  <c r="AZ450" i="81"/>
  <c r="AR450" i="81"/>
  <c r="AF450" i="81"/>
  <c r="AE450" i="81"/>
  <c r="AD450" i="81"/>
  <c r="AC450" i="81"/>
  <c r="AB450" i="81"/>
  <c r="AA450" i="81"/>
  <c r="Z450" i="81"/>
  <c r="Y450" i="81"/>
  <c r="W450" i="81"/>
  <c r="S450" i="81"/>
  <c r="Q450" i="81"/>
  <c r="N450" i="81"/>
  <c r="X450" i="81" s="1"/>
  <c r="AP450" i="81" s="1"/>
  <c r="AQ450" i="81" s="1"/>
  <c r="M450" i="81"/>
  <c r="L450" i="81"/>
  <c r="BO449" i="81"/>
  <c r="BC449" i="81"/>
  <c r="BA449" i="81"/>
  <c r="AZ449" i="81"/>
  <c r="BB449" i="81" s="1"/>
  <c r="BD449" i="81" s="1"/>
  <c r="AR449" i="81"/>
  <c r="AF449" i="81"/>
  <c r="AE449" i="81"/>
  <c r="AD449" i="81"/>
  <c r="AC449" i="81"/>
  <c r="AB449" i="81"/>
  <c r="AA449" i="81"/>
  <c r="Z449" i="81"/>
  <c r="Y449" i="81"/>
  <c r="W449" i="81"/>
  <c r="S449" i="81"/>
  <c r="Q449" i="81"/>
  <c r="N449" i="81"/>
  <c r="X449" i="81" s="1"/>
  <c r="AP449" i="81" s="1"/>
  <c r="AQ449" i="81" s="1"/>
  <c r="M449" i="81"/>
  <c r="L449" i="81"/>
  <c r="BO448" i="81"/>
  <c r="BR448" i="81" s="1"/>
  <c r="BU448" i="81" s="1"/>
  <c r="BC448" i="81"/>
  <c r="BA448" i="81"/>
  <c r="AZ448" i="81"/>
  <c r="AF448" i="81"/>
  <c r="AE448" i="81"/>
  <c r="AD448" i="81"/>
  <c r="AC448" i="81"/>
  <c r="AB448" i="81"/>
  <c r="AA448" i="81"/>
  <c r="Z448" i="81"/>
  <c r="Y448" i="81"/>
  <c r="W448" i="81"/>
  <c r="S448" i="81"/>
  <c r="Q448" i="81"/>
  <c r="N448" i="81"/>
  <c r="M448" i="81"/>
  <c r="L448" i="81"/>
  <c r="BO447" i="81"/>
  <c r="BC447" i="81"/>
  <c r="BA447" i="81"/>
  <c r="AZ447" i="81"/>
  <c r="BB447" i="81" s="1"/>
  <c r="BD447" i="81" s="1"/>
  <c r="AR447" i="81"/>
  <c r="AF447" i="81"/>
  <c r="AE447" i="81"/>
  <c r="AD447" i="81"/>
  <c r="AC447" i="81"/>
  <c r="AB447" i="81"/>
  <c r="AA447" i="81"/>
  <c r="Z447" i="81"/>
  <c r="Y447" i="81"/>
  <c r="W447" i="81"/>
  <c r="S447" i="81"/>
  <c r="Q447" i="81"/>
  <c r="N447" i="81"/>
  <c r="X447" i="81" s="1"/>
  <c r="AP447" i="81" s="1"/>
  <c r="AQ447" i="81" s="1"/>
  <c r="M447" i="81"/>
  <c r="L447" i="81"/>
  <c r="BO446" i="81"/>
  <c r="BC446" i="81"/>
  <c r="BA446" i="81"/>
  <c r="AZ446" i="81"/>
  <c r="AR446" i="81"/>
  <c r="AF446" i="81"/>
  <c r="AE446" i="81"/>
  <c r="AD446" i="81"/>
  <c r="AC446" i="81"/>
  <c r="AB446" i="81"/>
  <c r="AA446" i="81"/>
  <c r="Z446" i="81"/>
  <c r="Y446" i="81"/>
  <c r="W446" i="81"/>
  <c r="S446" i="81"/>
  <c r="Q446" i="81"/>
  <c r="N446" i="81"/>
  <c r="X446" i="81" s="1"/>
  <c r="AP446" i="81" s="1"/>
  <c r="AQ446" i="81" s="1"/>
  <c r="M446" i="81"/>
  <c r="L446" i="81"/>
  <c r="BO445" i="81"/>
  <c r="BC445" i="81"/>
  <c r="BA445" i="81"/>
  <c r="AZ445" i="81"/>
  <c r="BB445" i="81" s="1"/>
  <c r="BD445" i="81" s="1"/>
  <c r="AR445" i="81"/>
  <c r="AF445" i="81"/>
  <c r="AE445" i="81"/>
  <c r="AD445" i="81"/>
  <c r="AC445" i="81"/>
  <c r="AB445" i="81"/>
  <c r="AA445" i="81"/>
  <c r="Z445" i="81"/>
  <c r="Y445" i="81"/>
  <c r="W445" i="81"/>
  <c r="S445" i="81"/>
  <c r="Q445" i="81"/>
  <c r="N445" i="81"/>
  <c r="M445" i="81"/>
  <c r="L445" i="81"/>
  <c r="BR445" i="81" s="1"/>
  <c r="BU445" i="81" s="1"/>
  <c r="BX445" i="81" s="1"/>
  <c r="CA445" i="81" s="1"/>
  <c r="BO444" i="81"/>
  <c r="BC444" i="81"/>
  <c r="BA444" i="81"/>
  <c r="AZ444" i="81"/>
  <c r="AF444" i="81"/>
  <c r="AE444" i="81"/>
  <c r="AD444" i="81"/>
  <c r="AC444" i="81"/>
  <c r="AB444" i="81"/>
  <c r="AA444" i="81"/>
  <c r="Z444" i="81"/>
  <c r="Y444" i="81"/>
  <c r="W444" i="81"/>
  <c r="S444" i="81"/>
  <c r="Q444" i="81"/>
  <c r="N444" i="81"/>
  <c r="M444" i="81"/>
  <c r="L444" i="81"/>
  <c r="BO443" i="81"/>
  <c r="BC443" i="81"/>
  <c r="BA443" i="81"/>
  <c r="AZ443" i="81"/>
  <c r="BB443" i="81" s="1"/>
  <c r="BD443" i="81" s="1"/>
  <c r="AR443" i="81"/>
  <c r="AF443" i="81"/>
  <c r="AE443" i="81"/>
  <c r="AD443" i="81"/>
  <c r="AC443" i="81"/>
  <c r="AB443" i="81"/>
  <c r="AA443" i="81"/>
  <c r="Z443" i="81"/>
  <c r="Y443" i="81"/>
  <c r="W443" i="81"/>
  <c r="S443" i="81"/>
  <c r="Q443" i="81"/>
  <c r="N443" i="81"/>
  <c r="M443" i="81"/>
  <c r="L443" i="81"/>
  <c r="BO442" i="81"/>
  <c r="BC442" i="81"/>
  <c r="BA442" i="81"/>
  <c r="AZ442" i="81"/>
  <c r="AR442" i="81"/>
  <c r="AF442" i="81"/>
  <c r="AE442" i="81"/>
  <c r="AD442" i="81"/>
  <c r="AC442" i="81"/>
  <c r="AB442" i="81"/>
  <c r="AA442" i="81"/>
  <c r="Z442" i="81"/>
  <c r="Y442" i="81"/>
  <c r="W442" i="81"/>
  <c r="S442" i="81"/>
  <c r="Q442" i="81"/>
  <c r="N442" i="81"/>
  <c r="M442" i="81"/>
  <c r="L442" i="81"/>
  <c r="BO441" i="81"/>
  <c r="BP441" i="81" s="1"/>
  <c r="BC441" i="81"/>
  <c r="BA441" i="81"/>
  <c r="AZ441" i="81"/>
  <c r="BB441" i="81" s="1"/>
  <c r="BD441" i="81" s="1"/>
  <c r="AR441" i="81"/>
  <c r="AF441" i="81"/>
  <c r="AE441" i="81"/>
  <c r="AD441" i="81"/>
  <c r="AC441" i="81"/>
  <c r="AB441" i="81"/>
  <c r="AA441" i="81"/>
  <c r="Z441" i="81"/>
  <c r="Y441" i="81"/>
  <c r="W441" i="81"/>
  <c r="S441" i="81"/>
  <c r="Q441" i="81"/>
  <c r="N441" i="81"/>
  <c r="X441" i="81" s="1"/>
  <c r="M441" i="81"/>
  <c r="L441" i="81"/>
  <c r="BO440" i="81"/>
  <c r="BC440" i="81"/>
  <c r="BA440" i="81"/>
  <c r="AZ440" i="81"/>
  <c r="AF440" i="81"/>
  <c r="AE440" i="81"/>
  <c r="AD440" i="81"/>
  <c r="AC440" i="81"/>
  <c r="AB440" i="81"/>
  <c r="AA440" i="81"/>
  <c r="Z440" i="81"/>
  <c r="Y440" i="81"/>
  <c r="W440" i="81"/>
  <c r="S440" i="81"/>
  <c r="Q440" i="81"/>
  <c r="N440" i="81"/>
  <c r="M440" i="81"/>
  <c r="L440" i="81"/>
  <c r="BO439" i="81"/>
  <c r="BC439" i="81"/>
  <c r="BA439" i="81"/>
  <c r="AZ439" i="81"/>
  <c r="BB439" i="81" s="1"/>
  <c r="BD439" i="81" s="1"/>
  <c r="AR439" i="81"/>
  <c r="AF439" i="81"/>
  <c r="AE439" i="81"/>
  <c r="AD439" i="81"/>
  <c r="AC439" i="81"/>
  <c r="AB439" i="81"/>
  <c r="AA439" i="81"/>
  <c r="Z439" i="81"/>
  <c r="Y439" i="81"/>
  <c r="W439" i="81"/>
  <c r="S439" i="81"/>
  <c r="Q439" i="81"/>
  <c r="N439" i="81"/>
  <c r="M439" i="81"/>
  <c r="L439" i="81"/>
  <c r="BO438" i="81"/>
  <c r="BC438" i="81"/>
  <c r="BA438" i="81"/>
  <c r="AZ438" i="81"/>
  <c r="AR438" i="81"/>
  <c r="AF438" i="81"/>
  <c r="AE438" i="81"/>
  <c r="AD438" i="81"/>
  <c r="AC438" i="81"/>
  <c r="AB438" i="81"/>
  <c r="AA438" i="81"/>
  <c r="Z438" i="81"/>
  <c r="Y438" i="81"/>
  <c r="W438" i="81"/>
  <c r="S438" i="81"/>
  <c r="Q438" i="81"/>
  <c r="N438" i="81"/>
  <c r="M438" i="81"/>
  <c r="L438" i="81"/>
  <c r="BO437" i="81"/>
  <c r="BC437" i="81"/>
  <c r="BA437" i="81"/>
  <c r="AZ437" i="81"/>
  <c r="BB437" i="81" s="1"/>
  <c r="BD437" i="81" s="1"/>
  <c r="AR437" i="81"/>
  <c r="AF437" i="81"/>
  <c r="AE437" i="81"/>
  <c r="AD437" i="81"/>
  <c r="AC437" i="81"/>
  <c r="AB437" i="81"/>
  <c r="AA437" i="81"/>
  <c r="Z437" i="81"/>
  <c r="Y437" i="81"/>
  <c r="W437" i="81"/>
  <c r="S437" i="81"/>
  <c r="Q437" i="81"/>
  <c r="N437" i="81"/>
  <c r="M437" i="81"/>
  <c r="L437" i="81"/>
  <c r="BO436" i="81"/>
  <c r="BC436" i="81"/>
  <c r="BA436" i="81"/>
  <c r="AZ436" i="81"/>
  <c r="AF436" i="81"/>
  <c r="AE436" i="81"/>
  <c r="AD436" i="81"/>
  <c r="AC436" i="81"/>
  <c r="AB436" i="81"/>
  <c r="AA436" i="81"/>
  <c r="Z436" i="81"/>
  <c r="Y436" i="81"/>
  <c r="W436" i="81"/>
  <c r="S436" i="81"/>
  <c r="Q436" i="81"/>
  <c r="N436" i="81"/>
  <c r="M436" i="81"/>
  <c r="L436" i="81"/>
  <c r="BO435" i="81"/>
  <c r="BC435" i="81"/>
  <c r="BB435" i="81"/>
  <c r="BD435" i="81" s="1"/>
  <c r="BE435" i="81" s="1"/>
  <c r="BA435" i="81"/>
  <c r="AR435" i="81" s="1"/>
  <c r="AZ435" i="81"/>
  <c r="AF435" i="81"/>
  <c r="AE435" i="81"/>
  <c r="AD435" i="81"/>
  <c r="AC435" i="81"/>
  <c r="AB435" i="81"/>
  <c r="AA435" i="81"/>
  <c r="Z435" i="81"/>
  <c r="Y435" i="81"/>
  <c r="W435" i="81"/>
  <c r="S435" i="81"/>
  <c r="Q435" i="81"/>
  <c r="N435" i="81"/>
  <c r="M435" i="81"/>
  <c r="L435" i="81"/>
  <c r="BO434" i="81"/>
  <c r="BC434" i="81"/>
  <c r="BA434" i="81"/>
  <c r="AZ434" i="81"/>
  <c r="AR434" i="81"/>
  <c r="AF434" i="81"/>
  <c r="AE434" i="81"/>
  <c r="AD434" i="81"/>
  <c r="AC434" i="81"/>
  <c r="AB434" i="81"/>
  <c r="AA434" i="81"/>
  <c r="Z434" i="81"/>
  <c r="Y434" i="81"/>
  <c r="W434" i="81"/>
  <c r="S434" i="81"/>
  <c r="Q434" i="81"/>
  <c r="N434" i="81"/>
  <c r="X434" i="81" s="1"/>
  <c r="AP434" i="81" s="1"/>
  <c r="AQ434" i="81" s="1"/>
  <c r="M434" i="81"/>
  <c r="L434" i="81"/>
  <c r="BO433" i="81"/>
  <c r="BC433" i="81"/>
  <c r="BA433" i="81"/>
  <c r="AZ433" i="81"/>
  <c r="BB433" i="81" s="1"/>
  <c r="BD433" i="81" s="1"/>
  <c r="AR433" i="81"/>
  <c r="AF433" i="81"/>
  <c r="AE433" i="81"/>
  <c r="AD433" i="81"/>
  <c r="AC433" i="81"/>
  <c r="AB433" i="81"/>
  <c r="AA433" i="81"/>
  <c r="Z433" i="81"/>
  <c r="Y433" i="81"/>
  <c r="W433" i="81"/>
  <c r="S433" i="81"/>
  <c r="Q433" i="81"/>
  <c r="N433" i="81"/>
  <c r="X433" i="81" s="1"/>
  <c r="AP433" i="81" s="1"/>
  <c r="AQ433" i="81" s="1"/>
  <c r="M433" i="81"/>
  <c r="L433" i="81"/>
  <c r="BO432" i="81"/>
  <c r="BC432" i="81"/>
  <c r="BA432" i="81"/>
  <c r="AZ432" i="81"/>
  <c r="AF432" i="81"/>
  <c r="AE432" i="81"/>
  <c r="AD432" i="81"/>
  <c r="AC432" i="81"/>
  <c r="AB432" i="81"/>
  <c r="AA432" i="81"/>
  <c r="Z432" i="81"/>
  <c r="Y432" i="81"/>
  <c r="W432" i="81"/>
  <c r="S432" i="81"/>
  <c r="Q432" i="81"/>
  <c r="N432" i="81"/>
  <c r="M432" i="81"/>
  <c r="L432" i="81"/>
  <c r="BO431" i="81"/>
  <c r="BC431" i="81"/>
  <c r="BA431" i="81"/>
  <c r="AR431" i="81" s="1"/>
  <c r="AZ431" i="81"/>
  <c r="BB431" i="81" s="1"/>
  <c r="BD431" i="81" s="1"/>
  <c r="BE431" i="81" s="1"/>
  <c r="AF431" i="81"/>
  <c r="AE431" i="81"/>
  <c r="AD431" i="81"/>
  <c r="AC431" i="81"/>
  <c r="AB431" i="81"/>
  <c r="AA431" i="81"/>
  <c r="Z431" i="81"/>
  <c r="Y431" i="81"/>
  <c r="W431" i="81"/>
  <c r="S431" i="81"/>
  <c r="Q431" i="81"/>
  <c r="N431" i="81"/>
  <c r="M431" i="81"/>
  <c r="L431" i="81"/>
  <c r="BO430" i="81"/>
  <c r="BC430" i="81"/>
  <c r="BA430" i="81"/>
  <c r="AZ430" i="81"/>
  <c r="BB430" i="81" s="1"/>
  <c r="BD430" i="81" s="1"/>
  <c r="AR430" i="81"/>
  <c r="AF430" i="81"/>
  <c r="AE430" i="81"/>
  <c r="AD430" i="81"/>
  <c r="AC430" i="81"/>
  <c r="AB430" i="81"/>
  <c r="AA430" i="81"/>
  <c r="Z430" i="81"/>
  <c r="Y430" i="81"/>
  <c r="W430" i="81"/>
  <c r="S430" i="81"/>
  <c r="Q430" i="81"/>
  <c r="N430" i="81"/>
  <c r="M430" i="81"/>
  <c r="L430" i="81"/>
  <c r="BO429" i="81"/>
  <c r="BC429" i="81"/>
  <c r="BA429" i="81"/>
  <c r="AZ429" i="81"/>
  <c r="AR429" i="81"/>
  <c r="AF429" i="81"/>
  <c r="AE429" i="81"/>
  <c r="AD429" i="81"/>
  <c r="AC429" i="81"/>
  <c r="AB429" i="81"/>
  <c r="AA429" i="81"/>
  <c r="Z429" i="81"/>
  <c r="Y429" i="81"/>
  <c r="W429" i="81"/>
  <c r="S429" i="81"/>
  <c r="Q429" i="81"/>
  <c r="N429" i="81"/>
  <c r="M429" i="81"/>
  <c r="L429" i="81"/>
  <c r="BO428" i="81"/>
  <c r="BC428" i="81"/>
  <c r="BA428" i="81"/>
  <c r="AZ428" i="81"/>
  <c r="AR428" i="81"/>
  <c r="AF428" i="81"/>
  <c r="AE428" i="81"/>
  <c r="AD428" i="81"/>
  <c r="AC428" i="81"/>
  <c r="AB428" i="81"/>
  <c r="AA428" i="81"/>
  <c r="Z428" i="81"/>
  <c r="Y428" i="81"/>
  <c r="W428" i="81"/>
  <c r="S428" i="81"/>
  <c r="Q428" i="81"/>
  <c r="N428" i="81"/>
  <c r="M428" i="81"/>
  <c r="L428" i="81"/>
  <c r="BO427" i="81"/>
  <c r="BC427" i="81"/>
  <c r="BA427" i="81"/>
  <c r="AZ427" i="81"/>
  <c r="BB427" i="81" s="1"/>
  <c r="BD427" i="81" s="1"/>
  <c r="BE427" i="81" s="1"/>
  <c r="AR427" i="81"/>
  <c r="AF427" i="81"/>
  <c r="AE427" i="81"/>
  <c r="AD427" i="81"/>
  <c r="AC427" i="81"/>
  <c r="AB427" i="81"/>
  <c r="AA427" i="81"/>
  <c r="Z427" i="81"/>
  <c r="Y427" i="81"/>
  <c r="W427" i="81"/>
  <c r="S427" i="81"/>
  <c r="Q427" i="81"/>
  <c r="N427" i="81"/>
  <c r="M427" i="81"/>
  <c r="L427" i="81"/>
  <c r="BO426" i="81"/>
  <c r="BC426" i="81"/>
  <c r="BA426" i="81"/>
  <c r="AZ426" i="81"/>
  <c r="AF426" i="81"/>
  <c r="AE426" i="81"/>
  <c r="AD426" i="81"/>
  <c r="AC426" i="81"/>
  <c r="AB426" i="81"/>
  <c r="AA426" i="81"/>
  <c r="Z426" i="81"/>
  <c r="Y426" i="81"/>
  <c r="W426" i="81"/>
  <c r="S426" i="81"/>
  <c r="Q426" i="81"/>
  <c r="N426" i="81"/>
  <c r="X426" i="81" s="1"/>
  <c r="M426" i="81"/>
  <c r="L426" i="81"/>
  <c r="BO425" i="81"/>
  <c r="BC425" i="81"/>
  <c r="BA425" i="81"/>
  <c r="BB425" i="81" s="1"/>
  <c r="BD425" i="81" s="1"/>
  <c r="BE425" i="81" s="1"/>
  <c r="AZ425" i="81"/>
  <c r="AR425" i="81"/>
  <c r="AF425" i="81"/>
  <c r="AE425" i="81"/>
  <c r="AD425" i="81"/>
  <c r="AC425" i="81"/>
  <c r="AB425" i="81"/>
  <c r="AA425" i="81"/>
  <c r="Z425" i="81"/>
  <c r="Y425" i="81"/>
  <c r="W425" i="81"/>
  <c r="S425" i="81"/>
  <c r="Q425" i="81"/>
  <c r="N425" i="81"/>
  <c r="M425" i="81"/>
  <c r="L425" i="81"/>
  <c r="BO424" i="81"/>
  <c r="BC424" i="81"/>
  <c r="BA424" i="81"/>
  <c r="BB424" i="81" s="1"/>
  <c r="BD424" i="81" s="1"/>
  <c r="BE424" i="81" s="1"/>
  <c r="AZ424" i="81"/>
  <c r="AR424" i="81"/>
  <c r="AF424" i="81"/>
  <c r="AE424" i="81"/>
  <c r="AD424" i="81"/>
  <c r="AC424" i="81"/>
  <c r="AB424" i="81"/>
  <c r="AA424" i="81"/>
  <c r="Z424" i="81"/>
  <c r="Y424" i="81"/>
  <c r="W424" i="81"/>
  <c r="S424" i="81"/>
  <c r="Q424" i="81"/>
  <c r="N424" i="81"/>
  <c r="M424" i="81"/>
  <c r="L424" i="81"/>
  <c r="BR424" i="81" s="1"/>
  <c r="BO423" i="81"/>
  <c r="BC423" i="81"/>
  <c r="BA423" i="81"/>
  <c r="AZ423" i="81"/>
  <c r="BB423" i="81" s="1"/>
  <c r="BD423" i="81" s="1"/>
  <c r="BE423" i="81" s="1"/>
  <c r="AR423" i="81"/>
  <c r="AF423" i="81"/>
  <c r="AE423" i="81"/>
  <c r="AD423" i="81"/>
  <c r="AC423" i="81"/>
  <c r="AB423" i="81"/>
  <c r="AA423" i="81"/>
  <c r="Z423" i="81"/>
  <c r="Y423" i="81"/>
  <c r="W423" i="81"/>
  <c r="S423" i="81"/>
  <c r="Q423" i="81"/>
  <c r="N423" i="81"/>
  <c r="M423" i="81"/>
  <c r="L423" i="81"/>
  <c r="BR423" i="81" s="1"/>
  <c r="BU423" i="81" s="1"/>
  <c r="BX423" i="81" s="1"/>
  <c r="BO422" i="81"/>
  <c r="BC422" i="81"/>
  <c r="BA422" i="81"/>
  <c r="AZ422" i="81"/>
  <c r="AF422" i="81"/>
  <c r="AE422" i="81"/>
  <c r="AD422" i="81"/>
  <c r="AC422" i="81"/>
  <c r="AB422" i="81"/>
  <c r="AA422" i="81"/>
  <c r="Z422" i="81"/>
  <c r="Y422" i="81"/>
  <c r="W422" i="81"/>
  <c r="S422" i="81"/>
  <c r="Q422" i="81"/>
  <c r="N422" i="81"/>
  <c r="M422" i="81"/>
  <c r="L422" i="81"/>
  <c r="BO421" i="81"/>
  <c r="BR421" i="81" s="1"/>
  <c r="BU421" i="81" s="1"/>
  <c r="BC421" i="81"/>
  <c r="BA421" i="81"/>
  <c r="AZ421" i="81"/>
  <c r="AR421" i="81"/>
  <c r="AF421" i="81"/>
  <c r="AE421" i="81"/>
  <c r="AD421" i="81"/>
  <c r="AC421" i="81"/>
  <c r="AB421" i="81"/>
  <c r="AA421" i="81"/>
  <c r="Z421" i="81"/>
  <c r="Y421" i="81"/>
  <c r="W421" i="81"/>
  <c r="S421" i="81"/>
  <c r="Q421" i="81"/>
  <c r="N421" i="81"/>
  <c r="X421" i="81" s="1"/>
  <c r="AP421" i="81" s="1"/>
  <c r="AQ421" i="81" s="1"/>
  <c r="M421" i="81"/>
  <c r="L421" i="81"/>
  <c r="BO420" i="81"/>
  <c r="BC420" i="81"/>
  <c r="BA420" i="81"/>
  <c r="AZ420" i="81"/>
  <c r="AR420" i="81"/>
  <c r="AF420" i="81"/>
  <c r="AE420" i="81"/>
  <c r="AD420" i="81"/>
  <c r="AC420" i="81"/>
  <c r="AB420" i="81"/>
  <c r="AA420" i="81"/>
  <c r="Z420" i="81"/>
  <c r="Y420" i="81"/>
  <c r="W420" i="81"/>
  <c r="S420" i="81"/>
  <c r="Q420" i="81"/>
  <c r="N420" i="81"/>
  <c r="M420" i="81"/>
  <c r="L420" i="81"/>
  <c r="BO419" i="81"/>
  <c r="BR419" i="81" s="1"/>
  <c r="BU419" i="81" s="1"/>
  <c r="BX419" i="81" s="1"/>
  <c r="BC419" i="81"/>
  <c r="BA419" i="81"/>
  <c r="AZ419" i="81"/>
  <c r="BB419" i="81" s="1"/>
  <c r="BD419" i="81" s="1"/>
  <c r="BE419" i="81" s="1"/>
  <c r="AR419" i="81"/>
  <c r="AF419" i="81"/>
  <c r="AE419" i="81"/>
  <c r="AD419" i="81"/>
  <c r="AC419" i="81"/>
  <c r="AB419" i="81"/>
  <c r="AA419" i="81"/>
  <c r="Z419" i="81"/>
  <c r="Y419" i="81"/>
  <c r="W419" i="81"/>
  <c r="S419" i="81"/>
  <c r="Q419" i="81"/>
  <c r="N419" i="81"/>
  <c r="M419" i="81"/>
  <c r="L419" i="81"/>
  <c r="BO418" i="81"/>
  <c r="BC418" i="81"/>
  <c r="BA418" i="81"/>
  <c r="AZ418" i="81"/>
  <c r="AR418" i="81"/>
  <c r="AF418" i="81"/>
  <c r="AE418" i="81"/>
  <c r="AD418" i="81"/>
  <c r="AC418" i="81"/>
  <c r="AB418" i="81"/>
  <c r="AA418" i="81"/>
  <c r="Z418" i="81"/>
  <c r="Y418" i="81"/>
  <c r="W418" i="81"/>
  <c r="S418" i="81"/>
  <c r="Q418" i="81"/>
  <c r="N418" i="81"/>
  <c r="M418" i="81"/>
  <c r="L418" i="81"/>
  <c r="BO417" i="81"/>
  <c r="BC417" i="81"/>
  <c r="BA417" i="81"/>
  <c r="AZ417" i="81"/>
  <c r="AR417" i="81"/>
  <c r="AF417" i="81"/>
  <c r="AE417" i="81"/>
  <c r="AD417" i="81"/>
  <c r="AC417" i="81"/>
  <c r="AB417" i="81"/>
  <c r="AA417" i="81"/>
  <c r="Z417" i="81"/>
  <c r="Y417" i="81"/>
  <c r="W417" i="81"/>
  <c r="S417" i="81"/>
  <c r="Q417" i="81"/>
  <c r="N417" i="81"/>
  <c r="X417" i="81" s="1"/>
  <c r="AP417" i="81" s="1"/>
  <c r="AQ417" i="81" s="1"/>
  <c r="M417" i="81"/>
  <c r="L417" i="81"/>
  <c r="BO416" i="81"/>
  <c r="BP416" i="81" s="1"/>
  <c r="BC416" i="81"/>
  <c r="BA416" i="81"/>
  <c r="AZ416" i="81"/>
  <c r="BB416" i="81" s="1"/>
  <c r="BD416" i="81" s="1"/>
  <c r="AR416" i="81"/>
  <c r="AF416" i="81"/>
  <c r="AE416" i="81"/>
  <c r="AD416" i="81"/>
  <c r="AC416" i="81"/>
  <c r="AB416" i="81"/>
  <c r="AA416" i="81"/>
  <c r="Z416" i="81"/>
  <c r="Y416" i="81"/>
  <c r="W416" i="81"/>
  <c r="S416" i="81"/>
  <c r="Q416" i="81"/>
  <c r="N416" i="81"/>
  <c r="M416" i="81"/>
  <c r="L416" i="81"/>
  <c r="BR416" i="81" s="1"/>
  <c r="BO415" i="81"/>
  <c r="BC415" i="81"/>
  <c r="BB415" i="81"/>
  <c r="BD415" i="81" s="1"/>
  <c r="BE415" i="81" s="1"/>
  <c r="BA415" i="81"/>
  <c r="AZ415" i="81"/>
  <c r="AR415" i="81"/>
  <c r="AF415" i="81"/>
  <c r="AE415" i="81"/>
  <c r="AD415" i="81"/>
  <c r="AC415" i="81"/>
  <c r="AB415" i="81"/>
  <c r="AA415" i="81"/>
  <c r="Z415" i="81"/>
  <c r="Y415" i="81"/>
  <c r="W415" i="81"/>
  <c r="S415" i="81"/>
  <c r="Q415" i="81"/>
  <c r="N415" i="81"/>
  <c r="M415" i="81"/>
  <c r="L415" i="81"/>
  <c r="BR415" i="81" s="1"/>
  <c r="BU415" i="81" s="1"/>
  <c r="BX415" i="81" s="1"/>
  <c r="BO414" i="81"/>
  <c r="BC414" i="81"/>
  <c r="BA414" i="81"/>
  <c r="AZ414" i="81"/>
  <c r="AF414" i="81"/>
  <c r="AE414" i="81"/>
  <c r="AD414" i="81"/>
  <c r="AC414" i="81"/>
  <c r="AB414" i="81"/>
  <c r="AA414" i="81"/>
  <c r="Z414" i="81"/>
  <c r="Y414" i="81"/>
  <c r="W414" i="81"/>
  <c r="S414" i="81"/>
  <c r="Q414" i="81"/>
  <c r="N414" i="81"/>
  <c r="X414" i="81" s="1"/>
  <c r="AP414" i="81" s="1"/>
  <c r="AQ414" i="81" s="1"/>
  <c r="M414" i="81"/>
  <c r="L414" i="81"/>
  <c r="BO413" i="81"/>
  <c r="BR413" i="81" s="1"/>
  <c r="BU413" i="81" s="1"/>
  <c r="BC413" i="81"/>
  <c r="BA413" i="81"/>
  <c r="AZ413" i="81"/>
  <c r="AR413" i="81"/>
  <c r="AF413" i="81"/>
  <c r="AE413" i="81"/>
  <c r="AD413" i="81"/>
  <c r="AC413" i="81"/>
  <c r="AB413" i="81"/>
  <c r="AA413" i="81"/>
  <c r="Z413" i="81"/>
  <c r="Y413" i="81"/>
  <c r="W413" i="81"/>
  <c r="S413" i="81"/>
  <c r="Q413" i="81"/>
  <c r="N413" i="81"/>
  <c r="X413" i="81" s="1"/>
  <c r="AP413" i="81" s="1"/>
  <c r="AQ413" i="81" s="1"/>
  <c r="M413" i="81"/>
  <c r="L413" i="81"/>
  <c r="BO412" i="81"/>
  <c r="BC412" i="81"/>
  <c r="BA412" i="81"/>
  <c r="AZ412" i="81"/>
  <c r="BB412" i="81" s="1"/>
  <c r="BD412" i="81" s="1"/>
  <c r="AR412" i="81"/>
  <c r="AF412" i="81"/>
  <c r="AE412" i="81"/>
  <c r="AD412" i="81"/>
  <c r="AC412" i="81"/>
  <c r="AB412" i="81"/>
  <c r="AA412" i="81"/>
  <c r="Z412" i="81"/>
  <c r="Y412" i="81"/>
  <c r="W412" i="81"/>
  <c r="S412" i="81"/>
  <c r="Q412" i="81"/>
  <c r="N412" i="81"/>
  <c r="X412" i="81" s="1"/>
  <c r="AP412" i="81" s="1"/>
  <c r="AQ412" i="81" s="1"/>
  <c r="M412" i="81"/>
  <c r="L412" i="81"/>
  <c r="BO411" i="81"/>
  <c r="BC411" i="81"/>
  <c r="BA411" i="81"/>
  <c r="AZ411" i="81"/>
  <c r="BB411" i="81" s="1"/>
  <c r="BD411" i="81" s="1"/>
  <c r="BE411" i="81" s="1"/>
  <c r="AR411" i="81"/>
  <c r="AF411" i="81"/>
  <c r="AE411" i="81"/>
  <c r="AD411" i="81"/>
  <c r="AC411" i="81"/>
  <c r="AB411" i="81"/>
  <c r="AA411" i="81"/>
  <c r="Z411" i="81"/>
  <c r="Y411" i="81"/>
  <c r="W411" i="81"/>
  <c r="S411" i="81"/>
  <c r="Q411" i="81"/>
  <c r="N411" i="81"/>
  <c r="M411" i="81"/>
  <c r="L411" i="81"/>
  <c r="BO410" i="81"/>
  <c r="BC410" i="81"/>
  <c r="BA410" i="81"/>
  <c r="AZ410" i="81"/>
  <c r="AF410" i="81"/>
  <c r="AE410" i="81"/>
  <c r="AD410" i="81"/>
  <c r="AC410" i="81"/>
  <c r="AB410" i="81"/>
  <c r="AA410" i="81"/>
  <c r="Z410" i="81"/>
  <c r="Y410" i="81"/>
  <c r="W410" i="81"/>
  <c r="S410" i="81"/>
  <c r="Q410" i="81"/>
  <c r="N410" i="81"/>
  <c r="X410" i="81" s="1"/>
  <c r="AP410" i="81" s="1"/>
  <c r="AQ410" i="81" s="1"/>
  <c r="M410" i="81"/>
  <c r="L410" i="81"/>
  <c r="BO409" i="81"/>
  <c r="BC409" i="81"/>
  <c r="BA409" i="81"/>
  <c r="AZ409" i="81"/>
  <c r="AR409" i="81"/>
  <c r="AF409" i="81"/>
  <c r="AE409" i="81"/>
  <c r="AD409" i="81"/>
  <c r="AC409" i="81"/>
  <c r="AB409" i="81"/>
  <c r="AA409" i="81"/>
  <c r="Z409" i="81"/>
  <c r="Y409" i="81"/>
  <c r="W409" i="81"/>
  <c r="S409" i="81"/>
  <c r="Q409" i="81"/>
  <c r="N409" i="81"/>
  <c r="M409" i="81"/>
  <c r="L409" i="81"/>
  <c r="BO408" i="81"/>
  <c r="BC408" i="81"/>
  <c r="BA408" i="81"/>
  <c r="AZ408" i="81"/>
  <c r="BB408" i="81" s="1"/>
  <c r="BD408" i="81" s="1"/>
  <c r="AR408" i="81"/>
  <c r="AF408" i="81"/>
  <c r="AE408" i="81"/>
  <c r="AD408" i="81"/>
  <c r="AC408" i="81"/>
  <c r="AB408" i="81"/>
  <c r="AA408" i="81"/>
  <c r="Z408" i="81"/>
  <c r="Y408" i="81"/>
  <c r="W408" i="81"/>
  <c r="S408" i="81"/>
  <c r="Q408" i="81"/>
  <c r="N408" i="81"/>
  <c r="M408" i="81"/>
  <c r="L408" i="81"/>
  <c r="BR408" i="81" s="1"/>
  <c r="BO407" i="81"/>
  <c r="BC407" i="81"/>
  <c r="BA407" i="81"/>
  <c r="AZ407" i="81"/>
  <c r="BB407" i="81" s="1"/>
  <c r="BD407" i="81" s="1"/>
  <c r="BE407" i="81" s="1"/>
  <c r="AR407" i="81"/>
  <c r="AF407" i="81"/>
  <c r="AE407" i="81"/>
  <c r="AD407" i="81"/>
  <c r="AC407" i="81"/>
  <c r="AB407" i="81"/>
  <c r="AA407" i="81"/>
  <c r="Z407" i="81"/>
  <c r="Y407" i="81"/>
  <c r="W407" i="81"/>
  <c r="S407" i="81"/>
  <c r="Q407" i="81"/>
  <c r="N407" i="81"/>
  <c r="M407" i="81"/>
  <c r="L407" i="81"/>
  <c r="BO406" i="81"/>
  <c r="BC406" i="81"/>
  <c r="BA406" i="81"/>
  <c r="BB406" i="81" s="1"/>
  <c r="BD406" i="81" s="1"/>
  <c r="BE406" i="81" s="1"/>
  <c r="AZ406" i="81"/>
  <c r="AR406" i="81"/>
  <c r="AF406" i="81"/>
  <c r="AE406" i="81"/>
  <c r="AD406" i="81"/>
  <c r="AC406" i="81"/>
  <c r="AB406" i="81"/>
  <c r="AA406" i="81"/>
  <c r="Z406" i="81"/>
  <c r="Y406" i="81"/>
  <c r="W406" i="81"/>
  <c r="S406" i="81"/>
  <c r="Q406" i="81"/>
  <c r="N406" i="81"/>
  <c r="M406" i="81"/>
  <c r="L406" i="81"/>
  <c r="BO405" i="81"/>
  <c r="BC405" i="81"/>
  <c r="BA405" i="81"/>
  <c r="AZ405" i="81"/>
  <c r="AR405" i="81"/>
  <c r="AF405" i="81"/>
  <c r="AE405" i="81"/>
  <c r="AD405" i="81"/>
  <c r="AC405" i="81"/>
  <c r="AB405" i="81"/>
  <c r="AA405" i="81"/>
  <c r="Z405" i="81"/>
  <c r="Y405" i="81"/>
  <c r="W405" i="81"/>
  <c r="S405" i="81"/>
  <c r="Q405" i="81"/>
  <c r="N405" i="81"/>
  <c r="M405" i="81"/>
  <c r="L405" i="81"/>
  <c r="BO404" i="81"/>
  <c r="BC404" i="81"/>
  <c r="BA404" i="81"/>
  <c r="AZ404" i="81"/>
  <c r="BB404" i="81" s="1"/>
  <c r="BD404" i="81" s="1"/>
  <c r="AR404" i="81"/>
  <c r="AF404" i="81"/>
  <c r="AE404" i="81"/>
  <c r="AD404" i="81"/>
  <c r="AC404" i="81"/>
  <c r="AB404" i="81"/>
  <c r="AA404" i="81"/>
  <c r="Z404" i="81"/>
  <c r="Y404" i="81"/>
  <c r="W404" i="81"/>
  <c r="S404" i="81"/>
  <c r="Q404" i="81"/>
  <c r="N404" i="81"/>
  <c r="M404" i="81"/>
  <c r="L404" i="81"/>
  <c r="BO403" i="81"/>
  <c r="BC403" i="81"/>
  <c r="BA403" i="81"/>
  <c r="AZ403" i="81"/>
  <c r="BB403" i="81" s="1"/>
  <c r="BD403" i="81" s="1"/>
  <c r="BE403" i="81" s="1"/>
  <c r="AR403" i="81"/>
  <c r="AF403" i="81"/>
  <c r="AE403" i="81"/>
  <c r="AD403" i="81"/>
  <c r="AC403" i="81"/>
  <c r="AB403" i="81"/>
  <c r="AA403" i="81"/>
  <c r="Z403" i="81"/>
  <c r="Y403" i="81"/>
  <c r="W403" i="81"/>
  <c r="S403" i="81"/>
  <c r="Q403" i="81"/>
  <c r="N403" i="81"/>
  <c r="X403" i="81" s="1"/>
  <c r="AP403" i="81" s="1"/>
  <c r="AQ403" i="81" s="1"/>
  <c r="M403" i="81"/>
  <c r="L403" i="81"/>
  <c r="BO402" i="81"/>
  <c r="BC402" i="81"/>
  <c r="BA402" i="81"/>
  <c r="AZ402" i="81"/>
  <c r="BB402" i="81" s="1"/>
  <c r="BD402" i="81" s="1"/>
  <c r="BE402" i="81" s="1"/>
  <c r="AR402" i="81"/>
  <c r="AF402" i="81"/>
  <c r="AE402" i="81"/>
  <c r="AD402" i="81"/>
  <c r="AC402" i="81"/>
  <c r="AB402" i="81"/>
  <c r="AA402" i="81"/>
  <c r="Z402" i="81"/>
  <c r="Y402" i="81"/>
  <c r="W402" i="81"/>
  <c r="S402" i="81"/>
  <c r="Q402" i="81"/>
  <c r="N402" i="81"/>
  <c r="M402" i="81"/>
  <c r="L402" i="81"/>
  <c r="BO401" i="81"/>
  <c r="BC401" i="81"/>
  <c r="BA401" i="81"/>
  <c r="AZ401" i="81"/>
  <c r="AR401" i="81"/>
  <c r="AF401" i="81"/>
  <c r="AE401" i="81"/>
  <c r="AD401" i="81"/>
  <c r="AC401" i="81"/>
  <c r="AB401" i="81"/>
  <c r="AA401" i="81"/>
  <c r="Z401" i="81"/>
  <c r="Y401" i="81"/>
  <c r="W401" i="81"/>
  <c r="S401" i="81"/>
  <c r="Q401" i="81"/>
  <c r="N401" i="81"/>
  <c r="M401" i="81"/>
  <c r="L401" i="81"/>
  <c r="BO400" i="81"/>
  <c r="BC400" i="81"/>
  <c r="BA400" i="81"/>
  <c r="AZ400" i="81"/>
  <c r="BB400" i="81" s="1"/>
  <c r="BD400" i="81" s="1"/>
  <c r="AR400" i="81"/>
  <c r="AF400" i="81"/>
  <c r="AE400" i="81"/>
  <c r="AD400" i="81"/>
  <c r="AC400" i="81"/>
  <c r="AB400" i="81"/>
  <c r="AA400" i="81"/>
  <c r="Z400" i="81"/>
  <c r="Y400" i="81"/>
  <c r="W400" i="81"/>
  <c r="S400" i="81"/>
  <c r="Q400" i="81"/>
  <c r="N400" i="81"/>
  <c r="M400" i="81"/>
  <c r="L400" i="81"/>
  <c r="BO399" i="81"/>
  <c r="BR399" i="81" s="1"/>
  <c r="BC399" i="81"/>
  <c r="BA399" i="81"/>
  <c r="AZ399" i="81"/>
  <c r="BB399" i="81" s="1"/>
  <c r="BD399" i="81" s="1"/>
  <c r="BE399" i="81" s="1"/>
  <c r="AR399" i="81"/>
  <c r="AF399" i="81"/>
  <c r="AE399" i="81"/>
  <c r="AD399" i="81"/>
  <c r="AC399" i="81"/>
  <c r="AB399" i="81"/>
  <c r="AA399" i="81"/>
  <c r="Z399" i="81"/>
  <c r="Y399" i="81"/>
  <c r="W399" i="81"/>
  <c r="S399" i="81"/>
  <c r="Q399" i="81"/>
  <c r="N399" i="81"/>
  <c r="X399" i="81" s="1"/>
  <c r="M399" i="81"/>
  <c r="L399" i="81"/>
  <c r="BO398" i="81"/>
  <c r="BC398" i="81"/>
  <c r="BA398" i="81"/>
  <c r="BB398" i="81" s="1"/>
  <c r="BD398" i="81" s="1"/>
  <c r="BE398" i="81" s="1"/>
  <c r="AZ398" i="81"/>
  <c r="AR398" i="81"/>
  <c r="AF398" i="81"/>
  <c r="AE398" i="81"/>
  <c r="AD398" i="81"/>
  <c r="AC398" i="81"/>
  <c r="AB398" i="81"/>
  <c r="AA398" i="81"/>
  <c r="Z398" i="81"/>
  <c r="Y398" i="81"/>
  <c r="W398" i="81"/>
  <c r="S398" i="81"/>
  <c r="Q398" i="81"/>
  <c r="N398" i="81"/>
  <c r="M398" i="81"/>
  <c r="L398" i="81"/>
  <c r="BO397" i="81"/>
  <c r="BC397" i="81"/>
  <c r="BA397" i="81"/>
  <c r="AZ397" i="81"/>
  <c r="BB397" i="81" s="1"/>
  <c r="BD397" i="81" s="1"/>
  <c r="AR397" i="81"/>
  <c r="AF397" i="81"/>
  <c r="AE397" i="81"/>
  <c r="AD397" i="81"/>
  <c r="AC397" i="81"/>
  <c r="AB397" i="81"/>
  <c r="AA397" i="81"/>
  <c r="Z397" i="81"/>
  <c r="Y397" i="81"/>
  <c r="W397" i="81"/>
  <c r="S397" i="81"/>
  <c r="Q397" i="81"/>
  <c r="N397" i="81"/>
  <c r="M397" i="81"/>
  <c r="L397" i="81"/>
  <c r="BO396" i="81"/>
  <c r="BC396" i="81"/>
  <c r="BA396" i="81"/>
  <c r="AZ396" i="81"/>
  <c r="BB396" i="81" s="1"/>
  <c r="BD396" i="81" s="1"/>
  <c r="AR396" i="81"/>
  <c r="AF396" i="81"/>
  <c r="AE396" i="81"/>
  <c r="AD396" i="81"/>
  <c r="AC396" i="81"/>
  <c r="AB396" i="81"/>
  <c r="AA396" i="81"/>
  <c r="Z396" i="81"/>
  <c r="Y396" i="81"/>
  <c r="W396" i="81"/>
  <c r="S396" i="81"/>
  <c r="Q396" i="81"/>
  <c r="N396" i="81"/>
  <c r="M396" i="81"/>
  <c r="L396" i="81"/>
  <c r="BO395" i="81"/>
  <c r="BR395" i="81" s="1"/>
  <c r="BC395" i="81"/>
  <c r="BA395" i="81"/>
  <c r="AZ395" i="81"/>
  <c r="AR395" i="81"/>
  <c r="AF395" i="81"/>
  <c r="AE395" i="81"/>
  <c r="AD395" i="81"/>
  <c r="AC395" i="81"/>
  <c r="AB395" i="81"/>
  <c r="AA395" i="81"/>
  <c r="Z395" i="81"/>
  <c r="Y395" i="81"/>
  <c r="W395" i="81"/>
  <c r="S395" i="81"/>
  <c r="Q395" i="81"/>
  <c r="N395" i="81"/>
  <c r="X395" i="81" s="1"/>
  <c r="M395" i="81"/>
  <c r="L395" i="81"/>
  <c r="BO394" i="81"/>
  <c r="BC394" i="81"/>
  <c r="BA394" i="81"/>
  <c r="BB394" i="81" s="1"/>
  <c r="BD394" i="81" s="1"/>
  <c r="BE394" i="81" s="1"/>
  <c r="AZ394" i="81"/>
  <c r="AR394" i="81"/>
  <c r="AF394" i="81"/>
  <c r="AE394" i="81"/>
  <c r="AD394" i="81"/>
  <c r="AC394" i="81"/>
  <c r="AB394" i="81"/>
  <c r="AA394" i="81"/>
  <c r="Z394" i="81"/>
  <c r="Y394" i="81"/>
  <c r="W394" i="81"/>
  <c r="S394" i="81"/>
  <c r="Q394" i="81"/>
  <c r="N394" i="81"/>
  <c r="X394" i="81" s="1"/>
  <c r="AP394" i="81" s="1"/>
  <c r="AQ394" i="81" s="1"/>
  <c r="M394" i="81"/>
  <c r="L394" i="81"/>
  <c r="BO393" i="81"/>
  <c r="BC393" i="81"/>
  <c r="BA393" i="81"/>
  <c r="AZ393" i="81"/>
  <c r="BB393" i="81" s="1"/>
  <c r="BD393" i="81" s="1"/>
  <c r="AR393" i="81"/>
  <c r="AF393" i="81"/>
  <c r="AE393" i="81"/>
  <c r="AD393" i="81"/>
  <c r="AC393" i="81"/>
  <c r="AB393" i="81"/>
  <c r="AA393" i="81"/>
  <c r="Z393" i="81"/>
  <c r="Y393" i="81"/>
  <c r="W393" i="81"/>
  <c r="S393" i="81"/>
  <c r="Q393" i="81"/>
  <c r="N393" i="81"/>
  <c r="M393" i="81"/>
  <c r="L393" i="81"/>
  <c r="BO392" i="81"/>
  <c r="BR392" i="81" s="1"/>
  <c r="BC392" i="81"/>
  <c r="BA392" i="81"/>
  <c r="AZ392" i="81"/>
  <c r="BB392" i="81" s="1"/>
  <c r="BD392" i="81" s="1"/>
  <c r="AR392" i="81"/>
  <c r="AF392" i="81"/>
  <c r="AE392" i="81"/>
  <c r="AD392" i="81"/>
  <c r="AC392" i="81"/>
  <c r="AB392" i="81"/>
  <c r="AA392" i="81"/>
  <c r="Z392" i="81"/>
  <c r="Y392" i="81"/>
  <c r="W392" i="81"/>
  <c r="S392" i="81"/>
  <c r="Q392" i="81"/>
  <c r="N392" i="81"/>
  <c r="M392" i="81"/>
  <c r="L392" i="81"/>
  <c r="BO391" i="81"/>
  <c r="BR391" i="81" s="1"/>
  <c r="BC391" i="81"/>
  <c r="BA391" i="81"/>
  <c r="AZ391" i="81"/>
  <c r="AR391" i="81"/>
  <c r="AF391" i="81"/>
  <c r="AE391" i="81"/>
  <c r="AD391" i="81"/>
  <c r="AC391" i="81"/>
  <c r="AB391" i="81"/>
  <c r="AA391" i="81"/>
  <c r="Z391" i="81"/>
  <c r="Y391" i="81"/>
  <c r="W391" i="81"/>
  <c r="S391" i="81"/>
  <c r="Q391" i="81"/>
  <c r="N391" i="81"/>
  <c r="X391" i="81" s="1"/>
  <c r="M391" i="81"/>
  <c r="L391" i="81"/>
  <c r="BO390" i="81"/>
  <c r="BC390" i="81"/>
  <c r="BA390" i="81"/>
  <c r="BB390" i="81" s="1"/>
  <c r="BD390" i="81" s="1"/>
  <c r="BE390" i="81" s="1"/>
  <c r="AZ390" i="81"/>
  <c r="AR390" i="81"/>
  <c r="AF390" i="81"/>
  <c r="AE390" i="81"/>
  <c r="AD390" i="81"/>
  <c r="AC390" i="81"/>
  <c r="AB390" i="81"/>
  <c r="AA390" i="81"/>
  <c r="Z390" i="81"/>
  <c r="Y390" i="81"/>
  <c r="W390" i="81"/>
  <c r="S390" i="81"/>
  <c r="Q390" i="81"/>
  <c r="N390" i="81"/>
  <c r="M390" i="81"/>
  <c r="L390" i="81"/>
  <c r="BO389" i="81"/>
  <c r="BC389" i="81"/>
  <c r="BA389" i="81"/>
  <c r="AZ389" i="81"/>
  <c r="BB389" i="81" s="1"/>
  <c r="BD389" i="81" s="1"/>
  <c r="AR389" i="81"/>
  <c r="AF389" i="81"/>
  <c r="AE389" i="81"/>
  <c r="AD389" i="81"/>
  <c r="AC389" i="81"/>
  <c r="AB389" i="81"/>
  <c r="AA389" i="81"/>
  <c r="Z389" i="81"/>
  <c r="Y389" i="81"/>
  <c r="W389" i="81"/>
  <c r="S389" i="81"/>
  <c r="Q389" i="81"/>
  <c r="N389" i="81"/>
  <c r="M389" i="81"/>
  <c r="L389" i="81"/>
  <c r="BR389" i="81" s="1"/>
  <c r="BU389" i="81" s="1"/>
  <c r="BO388" i="81"/>
  <c r="BC388" i="81"/>
  <c r="BA388" i="81"/>
  <c r="AZ388" i="81"/>
  <c r="BB388" i="81" s="1"/>
  <c r="BD388" i="81" s="1"/>
  <c r="AR388" i="81"/>
  <c r="AF388" i="81"/>
  <c r="AE388" i="81"/>
  <c r="AD388" i="81"/>
  <c r="AC388" i="81"/>
  <c r="AB388" i="81"/>
  <c r="AA388" i="81"/>
  <c r="Z388" i="81"/>
  <c r="Y388" i="81"/>
  <c r="W388" i="81"/>
  <c r="S388" i="81"/>
  <c r="Q388" i="81"/>
  <c r="N388" i="81"/>
  <c r="M388" i="81"/>
  <c r="L388" i="81"/>
  <c r="BR388" i="81" s="1"/>
  <c r="BO387" i="81"/>
  <c r="BC387" i="81"/>
  <c r="BA387" i="81"/>
  <c r="AZ387" i="81"/>
  <c r="AR387" i="81"/>
  <c r="AF387" i="81"/>
  <c r="AE387" i="81"/>
  <c r="AD387" i="81"/>
  <c r="AC387" i="81"/>
  <c r="AB387" i="81"/>
  <c r="AA387" i="81"/>
  <c r="Z387" i="81"/>
  <c r="Y387" i="81"/>
  <c r="W387" i="81"/>
  <c r="S387" i="81"/>
  <c r="Q387" i="81"/>
  <c r="N387" i="81"/>
  <c r="M387" i="81"/>
  <c r="L387" i="81"/>
  <c r="BO386" i="81"/>
  <c r="BC386" i="81"/>
  <c r="BA386" i="81"/>
  <c r="AZ386" i="81"/>
  <c r="AR386" i="81"/>
  <c r="AF386" i="81"/>
  <c r="AE386" i="81"/>
  <c r="AD386" i="81"/>
  <c r="AC386" i="81"/>
  <c r="AB386" i="81"/>
  <c r="AA386" i="81"/>
  <c r="Z386" i="81"/>
  <c r="Y386" i="81"/>
  <c r="W386" i="81"/>
  <c r="S386" i="81"/>
  <c r="Q386" i="81"/>
  <c r="N386" i="81"/>
  <c r="M386" i="81"/>
  <c r="L386" i="81"/>
  <c r="BO385" i="81"/>
  <c r="BR385" i="81" s="1"/>
  <c r="BU385" i="81" s="1"/>
  <c r="BC385" i="81"/>
  <c r="BA385" i="81"/>
  <c r="AZ385" i="81"/>
  <c r="BB385" i="81" s="1"/>
  <c r="BD385" i="81" s="1"/>
  <c r="AR385" i="81"/>
  <c r="AF385" i="81"/>
  <c r="AE385" i="81"/>
  <c r="AD385" i="81"/>
  <c r="AC385" i="81"/>
  <c r="AB385" i="81"/>
  <c r="AA385" i="81"/>
  <c r="Z385" i="81"/>
  <c r="Y385" i="81"/>
  <c r="W385" i="81"/>
  <c r="S385" i="81"/>
  <c r="Q385" i="81"/>
  <c r="N385" i="81"/>
  <c r="M385" i="81"/>
  <c r="L385" i="81"/>
  <c r="BO384" i="81"/>
  <c r="BR384" i="81" s="1"/>
  <c r="BC384" i="81"/>
  <c r="BA384" i="81"/>
  <c r="AZ384" i="81"/>
  <c r="BB384" i="81" s="1"/>
  <c r="BD384" i="81" s="1"/>
  <c r="AR384" i="81"/>
  <c r="BP384" i="81" s="1"/>
  <c r="AF384" i="81"/>
  <c r="AE384" i="81"/>
  <c r="AD384" i="81"/>
  <c r="AC384" i="81"/>
  <c r="AB384" i="81"/>
  <c r="AA384" i="81"/>
  <c r="Z384" i="81"/>
  <c r="Y384" i="81"/>
  <c r="W384" i="81"/>
  <c r="S384" i="81"/>
  <c r="Q384" i="81"/>
  <c r="N384" i="81"/>
  <c r="M384" i="81"/>
  <c r="L384" i="81"/>
  <c r="BO383" i="81"/>
  <c r="BC383" i="81"/>
  <c r="BA383" i="81"/>
  <c r="AZ383" i="81"/>
  <c r="AR383" i="81"/>
  <c r="AF383" i="81"/>
  <c r="AE383" i="81"/>
  <c r="AD383" i="81"/>
  <c r="AC383" i="81"/>
  <c r="AB383" i="81"/>
  <c r="AA383" i="81"/>
  <c r="Z383" i="81"/>
  <c r="Y383" i="81"/>
  <c r="W383" i="81"/>
  <c r="S383" i="81"/>
  <c r="Q383" i="81"/>
  <c r="N383" i="81"/>
  <c r="M383" i="81"/>
  <c r="L383" i="81"/>
  <c r="BO382" i="81"/>
  <c r="BC382" i="81"/>
  <c r="BA382" i="81"/>
  <c r="AZ382" i="81"/>
  <c r="AR382" i="81"/>
  <c r="AF382" i="81"/>
  <c r="AE382" i="81"/>
  <c r="AD382" i="81"/>
  <c r="AC382" i="81"/>
  <c r="AB382" i="81"/>
  <c r="AA382" i="81"/>
  <c r="Z382" i="81"/>
  <c r="Y382" i="81"/>
  <c r="W382" i="81"/>
  <c r="S382" i="81"/>
  <c r="Q382" i="81"/>
  <c r="N382" i="81"/>
  <c r="M382" i="81"/>
  <c r="L382" i="81"/>
  <c r="BO381" i="81"/>
  <c r="BC381" i="81"/>
  <c r="BA381" i="81"/>
  <c r="AZ381" i="81"/>
  <c r="BB381" i="81" s="1"/>
  <c r="BD381" i="81" s="1"/>
  <c r="AR381" i="81"/>
  <c r="AF381" i="81"/>
  <c r="AE381" i="81"/>
  <c r="AD381" i="81"/>
  <c r="AC381" i="81"/>
  <c r="AB381" i="81"/>
  <c r="AA381" i="81"/>
  <c r="Z381" i="81"/>
  <c r="Y381" i="81"/>
  <c r="W381" i="81"/>
  <c r="S381" i="81"/>
  <c r="Q381" i="81"/>
  <c r="N381" i="81"/>
  <c r="M381" i="81"/>
  <c r="L381" i="81"/>
  <c r="BO380" i="81"/>
  <c r="BC380" i="81"/>
  <c r="BB380" i="81"/>
  <c r="BD380" i="81" s="1"/>
  <c r="BA380" i="81"/>
  <c r="AZ380" i="81"/>
  <c r="AR380" i="81"/>
  <c r="AF380" i="81"/>
  <c r="AE380" i="81"/>
  <c r="AD380" i="81"/>
  <c r="AC380" i="81"/>
  <c r="AB380" i="81"/>
  <c r="AA380" i="81"/>
  <c r="Z380" i="81"/>
  <c r="Y380" i="81"/>
  <c r="W380" i="81"/>
  <c r="S380" i="81"/>
  <c r="Q380" i="81"/>
  <c r="N380" i="81"/>
  <c r="M380" i="81"/>
  <c r="L380" i="81"/>
  <c r="BR380" i="81" s="1"/>
  <c r="BO379" i="81"/>
  <c r="BR379" i="81" s="1"/>
  <c r="BC379" i="81"/>
  <c r="BA379" i="81"/>
  <c r="AZ379" i="81"/>
  <c r="AF379" i="81"/>
  <c r="AE379" i="81"/>
  <c r="AD379" i="81"/>
  <c r="AC379" i="81"/>
  <c r="AB379" i="81"/>
  <c r="AA379" i="81"/>
  <c r="Z379" i="81"/>
  <c r="Y379" i="81"/>
  <c r="W379" i="81"/>
  <c r="S379" i="81"/>
  <c r="Q379" i="81"/>
  <c r="N379" i="81"/>
  <c r="X379" i="81" s="1"/>
  <c r="M379" i="81"/>
  <c r="L379" i="81"/>
  <c r="BO378" i="81"/>
  <c r="BC378" i="81"/>
  <c r="BA378" i="81"/>
  <c r="AZ378" i="81"/>
  <c r="AR378" i="81"/>
  <c r="AF378" i="81"/>
  <c r="AE378" i="81"/>
  <c r="AD378" i="81"/>
  <c r="AC378" i="81"/>
  <c r="AB378" i="81"/>
  <c r="AA378" i="81"/>
  <c r="Z378" i="81"/>
  <c r="Y378" i="81"/>
  <c r="W378" i="81"/>
  <c r="S378" i="81"/>
  <c r="Q378" i="81"/>
  <c r="N378" i="81"/>
  <c r="X378" i="81" s="1"/>
  <c r="AP378" i="81" s="1"/>
  <c r="AQ378" i="81" s="1"/>
  <c r="M378" i="81"/>
  <c r="L378" i="81"/>
  <c r="BO377" i="81"/>
  <c r="BC377" i="81"/>
  <c r="BA377" i="81"/>
  <c r="AZ377" i="81"/>
  <c r="BB377" i="81" s="1"/>
  <c r="BD377" i="81" s="1"/>
  <c r="AR377" i="81"/>
  <c r="AF377" i="81"/>
  <c r="AE377" i="81"/>
  <c r="AD377" i="81"/>
  <c r="AC377" i="81"/>
  <c r="AB377" i="81"/>
  <c r="AA377" i="81"/>
  <c r="Z377" i="81"/>
  <c r="Y377" i="81"/>
  <c r="W377" i="81"/>
  <c r="S377" i="81"/>
  <c r="Q377" i="81"/>
  <c r="N377" i="81"/>
  <c r="X377" i="81" s="1"/>
  <c r="AP377" i="81" s="1"/>
  <c r="AQ377" i="81" s="1"/>
  <c r="M377" i="81"/>
  <c r="L377" i="81"/>
  <c r="BO376" i="81"/>
  <c r="BC376" i="81"/>
  <c r="BA376" i="81"/>
  <c r="AZ376" i="81"/>
  <c r="BB376" i="81" s="1"/>
  <c r="BD376" i="81" s="1"/>
  <c r="AR376" i="81"/>
  <c r="AF376" i="81"/>
  <c r="AE376" i="81"/>
  <c r="AD376" i="81"/>
  <c r="AC376" i="81"/>
  <c r="AB376" i="81"/>
  <c r="AA376" i="81"/>
  <c r="Z376" i="81"/>
  <c r="Y376" i="81"/>
  <c r="W376" i="81"/>
  <c r="S376" i="81"/>
  <c r="Q376" i="81"/>
  <c r="N376" i="81"/>
  <c r="M376" i="81"/>
  <c r="L376" i="81"/>
  <c r="BO375" i="81"/>
  <c r="BR375" i="81" s="1"/>
  <c r="BC375" i="81"/>
  <c r="BA375" i="81"/>
  <c r="AZ375" i="81"/>
  <c r="AR375" i="81"/>
  <c r="AF375" i="81"/>
  <c r="AE375" i="81"/>
  <c r="AD375" i="81"/>
  <c r="AC375" i="81"/>
  <c r="AB375" i="81"/>
  <c r="AA375" i="81"/>
  <c r="Z375" i="81"/>
  <c r="Y375" i="81"/>
  <c r="W375" i="81"/>
  <c r="S375" i="81"/>
  <c r="Q375" i="81"/>
  <c r="N375" i="81"/>
  <c r="X375" i="81" s="1"/>
  <c r="M375" i="81"/>
  <c r="L375" i="81"/>
  <c r="BO374" i="81"/>
  <c r="BC374" i="81"/>
  <c r="BA374" i="81"/>
  <c r="AZ374" i="81"/>
  <c r="AR374" i="81"/>
  <c r="AF374" i="81"/>
  <c r="AE374" i="81"/>
  <c r="AD374" i="81"/>
  <c r="AC374" i="81"/>
  <c r="AB374" i="81"/>
  <c r="AA374" i="81"/>
  <c r="Z374" i="81"/>
  <c r="Y374" i="81"/>
  <c r="W374" i="81"/>
  <c r="S374" i="81"/>
  <c r="Q374" i="81"/>
  <c r="N374" i="81"/>
  <c r="M374" i="81"/>
  <c r="L374" i="81"/>
  <c r="BO373" i="81"/>
  <c r="BC373" i="81"/>
  <c r="BA373" i="81"/>
  <c r="AZ373" i="81"/>
  <c r="BB373" i="81" s="1"/>
  <c r="BD373" i="81" s="1"/>
  <c r="AR373" i="81"/>
  <c r="AF373" i="81"/>
  <c r="AE373" i="81"/>
  <c r="AD373" i="81"/>
  <c r="AC373" i="81"/>
  <c r="AB373" i="81"/>
  <c r="AA373" i="81"/>
  <c r="Z373" i="81"/>
  <c r="Y373" i="81"/>
  <c r="W373" i="81"/>
  <c r="S373" i="81"/>
  <c r="Q373" i="81"/>
  <c r="N373" i="81"/>
  <c r="M373" i="81"/>
  <c r="L373" i="81"/>
  <c r="BR373" i="81" s="1"/>
  <c r="BU373" i="81" s="1"/>
  <c r="BO372" i="81"/>
  <c r="BC372" i="81"/>
  <c r="BA372" i="81"/>
  <c r="AZ372" i="81"/>
  <c r="BB372" i="81" s="1"/>
  <c r="BD372" i="81" s="1"/>
  <c r="AR372" i="81"/>
  <c r="AF372" i="81"/>
  <c r="AE372" i="81"/>
  <c r="AD372" i="81"/>
  <c r="AC372" i="81"/>
  <c r="AB372" i="81"/>
  <c r="AA372" i="81"/>
  <c r="Z372" i="81"/>
  <c r="Y372" i="81"/>
  <c r="W372" i="81"/>
  <c r="S372" i="81"/>
  <c r="Q372" i="81"/>
  <c r="N372" i="81"/>
  <c r="M372" i="81"/>
  <c r="L372" i="81"/>
  <c r="BO371" i="81"/>
  <c r="BC371" i="81"/>
  <c r="BA371" i="81"/>
  <c r="AZ371" i="81"/>
  <c r="AF371" i="81"/>
  <c r="AE371" i="81"/>
  <c r="AD371" i="81"/>
  <c r="AC371" i="81"/>
  <c r="AB371" i="81"/>
  <c r="AA371" i="81"/>
  <c r="Z371" i="81"/>
  <c r="Y371" i="81"/>
  <c r="W371" i="81"/>
  <c r="S371" i="81"/>
  <c r="Q371" i="81"/>
  <c r="N371" i="81"/>
  <c r="M371" i="81"/>
  <c r="L371" i="81"/>
  <c r="BO370" i="81"/>
  <c r="BC370" i="81"/>
  <c r="BA370" i="81"/>
  <c r="BB370" i="81" s="1"/>
  <c r="BD370" i="81" s="1"/>
  <c r="BE370" i="81" s="1"/>
  <c r="AZ370" i="81"/>
  <c r="AR370" i="81"/>
  <c r="AF370" i="81"/>
  <c r="AE370" i="81"/>
  <c r="AD370" i="81"/>
  <c r="AC370" i="81"/>
  <c r="AB370" i="81"/>
  <c r="AA370" i="81"/>
  <c r="Z370" i="81"/>
  <c r="Y370" i="81"/>
  <c r="W370" i="81"/>
  <c r="S370" i="81"/>
  <c r="Q370" i="81"/>
  <c r="N370" i="81"/>
  <c r="M370" i="81"/>
  <c r="L370" i="81"/>
  <c r="BO369" i="81"/>
  <c r="BP369" i="81" s="1"/>
  <c r="BC369" i="81"/>
  <c r="BA369" i="81"/>
  <c r="AZ369" i="81"/>
  <c r="BB369" i="81" s="1"/>
  <c r="BD369" i="81" s="1"/>
  <c r="AR369" i="81"/>
  <c r="AF369" i="81"/>
  <c r="AE369" i="81"/>
  <c r="AD369" i="81"/>
  <c r="AC369" i="81"/>
  <c r="AB369" i="81"/>
  <c r="AA369" i="81"/>
  <c r="Z369" i="81"/>
  <c r="Y369" i="81"/>
  <c r="W369" i="81"/>
  <c r="S369" i="81"/>
  <c r="Q369" i="81"/>
  <c r="N369" i="81"/>
  <c r="M369" i="81"/>
  <c r="L369" i="81"/>
  <c r="BR369" i="81" s="1"/>
  <c r="BO368" i="81"/>
  <c r="BC368" i="81"/>
  <c r="BA368" i="81"/>
  <c r="AZ368" i="81"/>
  <c r="BB368" i="81" s="1"/>
  <c r="BD368" i="81" s="1"/>
  <c r="BE368" i="81" s="1"/>
  <c r="AR368" i="81"/>
  <c r="AF368" i="81"/>
  <c r="AE368" i="81"/>
  <c r="AD368" i="81"/>
  <c r="AC368" i="81"/>
  <c r="AB368" i="81"/>
  <c r="AA368" i="81"/>
  <c r="Z368" i="81"/>
  <c r="Y368" i="81"/>
  <c r="W368" i="81"/>
  <c r="S368" i="81"/>
  <c r="Q368" i="81"/>
  <c r="N368" i="81"/>
  <c r="M368" i="81"/>
  <c r="L368" i="81"/>
  <c r="BO367" i="81"/>
  <c r="BC367" i="81"/>
  <c r="BA367" i="81"/>
  <c r="AZ367" i="81"/>
  <c r="AR367" i="81"/>
  <c r="AF367" i="81"/>
  <c r="AE367" i="81"/>
  <c r="AD367" i="81"/>
  <c r="AC367" i="81"/>
  <c r="AB367" i="81"/>
  <c r="AA367" i="81"/>
  <c r="Z367" i="81"/>
  <c r="Y367" i="81"/>
  <c r="W367" i="81"/>
  <c r="S367" i="81"/>
  <c r="Q367" i="81"/>
  <c r="N367" i="81"/>
  <c r="M367" i="81"/>
  <c r="L367" i="81"/>
  <c r="BO366" i="81"/>
  <c r="BC366" i="81"/>
  <c r="BA366" i="81"/>
  <c r="AZ366" i="81"/>
  <c r="AR366" i="81"/>
  <c r="AF366" i="81"/>
  <c r="AE366" i="81"/>
  <c r="AD366" i="81"/>
  <c r="AC366" i="81"/>
  <c r="AB366" i="81"/>
  <c r="AA366" i="81"/>
  <c r="Z366" i="81"/>
  <c r="Y366" i="81"/>
  <c r="W366" i="81"/>
  <c r="S366" i="81"/>
  <c r="Q366" i="81"/>
  <c r="N366" i="81"/>
  <c r="M366" i="81"/>
  <c r="L366" i="81"/>
  <c r="BO365" i="81"/>
  <c r="BC365" i="81"/>
  <c r="BA365" i="81"/>
  <c r="AZ365" i="81"/>
  <c r="BB365" i="81" s="1"/>
  <c r="BD365" i="81" s="1"/>
  <c r="AR365" i="81"/>
  <c r="AF365" i="81"/>
  <c r="AE365" i="81"/>
  <c r="AD365" i="81"/>
  <c r="AC365" i="81"/>
  <c r="AB365" i="81"/>
  <c r="AA365" i="81"/>
  <c r="Z365" i="81"/>
  <c r="Y365" i="81"/>
  <c r="W365" i="81"/>
  <c r="S365" i="81"/>
  <c r="Q365" i="81"/>
  <c r="N365" i="81"/>
  <c r="M365" i="81"/>
  <c r="L365" i="81"/>
  <c r="BO364" i="81"/>
  <c r="BC364" i="81"/>
  <c r="BA364" i="81"/>
  <c r="AZ364" i="81"/>
  <c r="BB364" i="81" s="1"/>
  <c r="BD364" i="81" s="1"/>
  <c r="BE364" i="81" s="1"/>
  <c r="AR364" i="81"/>
  <c r="AF364" i="81"/>
  <c r="AE364" i="81"/>
  <c r="AD364" i="81"/>
  <c r="AC364" i="81"/>
  <c r="AB364" i="81"/>
  <c r="AA364" i="81"/>
  <c r="Z364" i="81"/>
  <c r="Y364" i="81"/>
  <c r="W364" i="81"/>
  <c r="S364" i="81"/>
  <c r="Q364" i="81"/>
  <c r="N364" i="81"/>
  <c r="M364" i="81"/>
  <c r="L364" i="81"/>
  <c r="BO363" i="81"/>
  <c r="BC363" i="81"/>
  <c r="BA363" i="81"/>
  <c r="AZ363" i="81"/>
  <c r="AR363" i="81"/>
  <c r="AF363" i="81"/>
  <c r="AE363" i="81"/>
  <c r="AD363" i="81"/>
  <c r="AC363" i="81"/>
  <c r="AB363" i="81"/>
  <c r="AA363" i="81"/>
  <c r="Z363" i="81"/>
  <c r="Y363" i="81"/>
  <c r="W363" i="81"/>
  <c r="S363" i="81"/>
  <c r="Q363" i="81"/>
  <c r="N363" i="81"/>
  <c r="X363" i="81" s="1"/>
  <c r="AP363" i="81" s="1"/>
  <c r="AQ363" i="81" s="1"/>
  <c r="M363" i="81"/>
  <c r="L363" i="81"/>
  <c r="BO362" i="81"/>
  <c r="BC362" i="81"/>
  <c r="BA362" i="81"/>
  <c r="AZ362" i="81"/>
  <c r="AR362" i="81"/>
  <c r="AF362" i="81"/>
  <c r="AE362" i="81"/>
  <c r="AD362" i="81"/>
  <c r="AC362" i="81"/>
  <c r="AB362" i="81"/>
  <c r="AA362" i="81"/>
  <c r="Z362" i="81"/>
  <c r="Y362" i="81"/>
  <c r="W362" i="81"/>
  <c r="S362" i="81"/>
  <c r="Q362" i="81"/>
  <c r="N362" i="81"/>
  <c r="X362" i="81" s="1"/>
  <c r="AP362" i="81" s="1"/>
  <c r="AQ362" i="81" s="1"/>
  <c r="M362" i="81"/>
  <c r="L362" i="81"/>
  <c r="BO361" i="81"/>
  <c r="BC361" i="81"/>
  <c r="BA361" i="81"/>
  <c r="AZ361" i="81"/>
  <c r="BB361" i="81" s="1"/>
  <c r="BD361" i="81" s="1"/>
  <c r="AR361" i="81"/>
  <c r="AF361" i="81"/>
  <c r="AE361" i="81"/>
  <c r="AD361" i="81"/>
  <c r="AC361" i="81"/>
  <c r="AB361" i="81"/>
  <c r="AA361" i="81"/>
  <c r="Z361" i="81"/>
  <c r="Y361" i="81"/>
  <c r="W361" i="81"/>
  <c r="S361" i="81"/>
  <c r="Q361" i="81"/>
  <c r="N361" i="81"/>
  <c r="X361" i="81" s="1"/>
  <c r="AP361" i="81" s="1"/>
  <c r="AQ361" i="81" s="1"/>
  <c r="M361" i="81"/>
  <c r="L361" i="81"/>
  <c r="BO360" i="81"/>
  <c r="BC360" i="81"/>
  <c r="BA360" i="81"/>
  <c r="AZ360" i="81"/>
  <c r="BB360" i="81" s="1"/>
  <c r="BD360" i="81" s="1"/>
  <c r="BE360" i="81" s="1"/>
  <c r="AR360" i="81"/>
  <c r="AF360" i="81"/>
  <c r="AE360" i="81"/>
  <c r="AD360" i="81"/>
  <c r="AC360" i="81"/>
  <c r="AB360" i="81"/>
  <c r="AA360" i="81"/>
  <c r="Z360" i="81"/>
  <c r="Y360" i="81"/>
  <c r="W360" i="81"/>
  <c r="S360" i="81"/>
  <c r="Q360" i="81"/>
  <c r="N360" i="81"/>
  <c r="M360" i="81"/>
  <c r="L360" i="81"/>
  <c r="BO359" i="81"/>
  <c r="BC359" i="81"/>
  <c r="BA359" i="81"/>
  <c r="AZ359" i="81"/>
  <c r="BB359" i="81" s="1"/>
  <c r="BD359" i="81" s="1"/>
  <c r="BE359" i="81" s="1"/>
  <c r="AR359" i="81"/>
  <c r="AF359" i="81"/>
  <c r="AE359" i="81"/>
  <c r="AD359" i="81"/>
  <c r="AC359" i="81"/>
  <c r="AB359" i="81"/>
  <c r="AA359" i="81"/>
  <c r="Z359" i="81"/>
  <c r="Y359" i="81"/>
  <c r="W359" i="81"/>
  <c r="S359" i="81"/>
  <c r="Q359" i="81"/>
  <c r="N359" i="81"/>
  <c r="M359" i="81"/>
  <c r="L359" i="81"/>
  <c r="BO358" i="81"/>
  <c r="BC358" i="81"/>
  <c r="BA358" i="81"/>
  <c r="AZ358" i="81"/>
  <c r="AF358" i="81"/>
  <c r="AE358" i="81"/>
  <c r="AD358" i="81"/>
  <c r="AC358" i="81"/>
  <c r="AB358" i="81"/>
  <c r="AA358" i="81"/>
  <c r="Z358" i="81"/>
  <c r="Y358" i="81"/>
  <c r="W358" i="81"/>
  <c r="S358" i="81"/>
  <c r="Q358" i="81"/>
  <c r="N358" i="81"/>
  <c r="M358" i="81"/>
  <c r="L358" i="81"/>
  <c r="BO357" i="81"/>
  <c r="BC357" i="81"/>
  <c r="BA357" i="81"/>
  <c r="AZ357" i="81"/>
  <c r="BB357" i="81" s="1"/>
  <c r="BD357" i="81" s="1"/>
  <c r="AR357" i="81"/>
  <c r="AF357" i="81"/>
  <c r="AE357" i="81"/>
  <c r="AD357" i="81"/>
  <c r="AC357" i="81"/>
  <c r="AB357" i="81"/>
  <c r="AA357" i="81"/>
  <c r="Z357" i="81"/>
  <c r="Y357" i="81"/>
  <c r="W357" i="81"/>
  <c r="S357" i="81"/>
  <c r="Q357" i="81"/>
  <c r="N357" i="81"/>
  <c r="M357" i="81"/>
  <c r="L357" i="81"/>
  <c r="BR357" i="81" s="1"/>
  <c r="BO356" i="81"/>
  <c r="BC356" i="81"/>
  <c r="BB356" i="81"/>
  <c r="BD356" i="81" s="1"/>
  <c r="BA356" i="81"/>
  <c r="AZ356" i="81"/>
  <c r="AR356" i="81"/>
  <c r="AF356" i="81"/>
  <c r="AE356" i="81"/>
  <c r="AD356" i="81"/>
  <c r="AC356" i="81"/>
  <c r="AB356" i="81"/>
  <c r="AA356" i="81"/>
  <c r="Z356" i="81"/>
  <c r="Y356" i="81"/>
  <c r="W356" i="81"/>
  <c r="S356" i="81"/>
  <c r="Q356" i="81"/>
  <c r="N356" i="81"/>
  <c r="M356" i="81"/>
  <c r="L356" i="81"/>
  <c r="BR356" i="81" s="1"/>
  <c r="BU356" i="81" s="1"/>
  <c r="BO355" i="81"/>
  <c r="BC355" i="81"/>
  <c r="BB355" i="81"/>
  <c r="BD355" i="81" s="1"/>
  <c r="BA355" i="81"/>
  <c r="AZ355" i="81"/>
  <c r="AR355" i="81"/>
  <c r="BP355" i="81" s="1"/>
  <c r="AF355" i="81"/>
  <c r="AE355" i="81"/>
  <c r="AD355" i="81"/>
  <c r="AC355" i="81"/>
  <c r="AB355" i="81"/>
  <c r="AA355" i="81"/>
  <c r="Z355" i="81"/>
  <c r="Y355" i="81"/>
  <c r="W355" i="81"/>
  <c r="S355" i="81"/>
  <c r="Q355" i="81"/>
  <c r="N355" i="81"/>
  <c r="X355" i="81" s="1"/>
  <c r="AP355" i="81" s="1"/>
  <c r="AQ355" i="81" s="1"/>
  <c r="M355" i="81"/>
  <c r="L355" i="81"/>
  <c r="BO354" i="81"/>
  <c r="BC354" i="81"/>
  <c r="BA354" i="81"/>
  <c r="AZ354" i="81"/>
  <c r="AR354" i="81"/>
  <c r="AF354" i="81"/>
  <c r="AE354" i="81"/>
  <c r="AD354" i="81"/>
  <c r="AC354" i="81"/>
  <c r="AB354" i="81"/>
  <c r="AA354" i="81"/>
  <c r="Z354" i="81"/>
  <c r="Y354" i="81"/>
  <c r="W354" i="81"/>
  <c r="S354" i="81"/>
  <c r="Q354" i="81"/>
  <c r="N354" i="81"/>
  <c r="M354" i="81"/>
  <c r="L354" i="81"/>
  <c r="BO353" i="81"/>
  <c r="BC353" i="81"/>
  <c r="BA353" i="81"/>
  <c r="AZ353" i="81"/>
  <c r="AR353" i="81"/>
  <c r="AF353" i="81"/>
  <c r="AE353" i="81"/>
  <c r="AD353" i="81"/>
  <c r="AC353" i="81"/>
  <c r="AB353" i="81"/>
  <c r="AA353" i="81"/>
  <c r="Z353" i="81"/>
  <c r="Y353" i="81"/>
  <c r="W353" i="81"/>
  <c r="S353" i="81"/>
  <c r="Q353" i="81"/>
  <c r="N353" i="81"/>
  <c r="M353" i="81"/>
  <c r="L353" i="81"/>
  <c r="BO352" i="81"/>
  <c r="BC352" i="81"/>
  <c r="BA352" i="81"/>
  <c r="AZ352" i="81"/>
  <c r="BB352" i="81" s="1"/>
  <c r="BD352" i="81" s="1"/>
  <c r="AR352" i="81"/>
  <c r="AF352" i="81"/>
  <c r="AE352" i="81"/>
  <c r="AD352" i="81"/>
  <c r="AC352" i="81"/>
  <c r="AB352" i="81"/>
  <c r="AA352" i="81"/>
  <c r="Z352" i="81"/>
  <c r="Y352" i="81"/>
  <c r="W352" i="81"/>
  <c r="S352" i="81"/>
  <c r="Q352" i="81"/>
  <c r="N352" i="81"/>
  <c r="M352" i="81"/>
  <c r="L352" i="81"/>
  <c r="BO351" i="81"/>
  <c r="BC351" i="81"/>
  <c r="BA351" i="81"/>
  <c r="AZ351" i="81"/>
  <c r="BB351" i="81" s="1"/>
  <c r="BD351" i="81" s="1"/>
  <c r="AR351" i="81"/>
  <c r="AF351" i="81"/>
  <c r="AE351" i="81"/>
  <c r="AD351" i="81"/>
  <c r="AC351" i="81"/>
  <c r="AB351" i="81"/>
  <c r="AA351" i="81"/>
  <c r="Z351" i="81"/>
  <c r="Y351" i="81"/>
  <c r="W351" i="81"/>
  <c r="S351" i="81"/>
  <c r="Q351" i="81"/>
  <c r="N351" i="81"/>
  <c r="M351" i="81"/>
  <c r="L351" i="81"/>
  <c r="BO350" i="81"/>
  <c r="BC350" i="81"/>
  <c r="BA350" i="81"/>
  <c r="AZ350" i="81"/>
  <c r="AR350" i="81"/>
  <c r="AF350" i="81"/>
  <c r="AE350" i="81"/>
  <c r="AD350" i="81"/>
  <c r="AC350" i="81"/>
  <c r="AB350" i="81"/>
  <c r="AA350" i="81"/>
  <c r="Z350" i="81"/>
  <c r="Y350" i="81"/>
  <c r="W350" i="81"/>
  <c r="S350" i="81"/>
  <c r="Q350" i="81"/>
  <c r="N350" i="81"/>
  <c r="M350" i="81"/>
  <c r="L350" i="81"/>
  <c r="BO349" i="81"/>
  <c r="BC349" i="81"/>
  <c r="BA349" i="81"/>
  <c r="AZ349" i="81"/>
  <c r="AR349" i="81"/>
  <c r="AF349" i="81"/>
  <c r="AE349" i="81"/>
  <c r="AD349" i="81"/>
  <c r="AC349" i="81"/>
  <c r="AB349" i="81"/>
  <c r="AA349" i="81"/>
  <c r="Z349" i="81"/>
  <c r="Y349" i="81"/>
  <c r="W349" i="81"/>
  <c r="S349" i="81"/>
  <c r="Q349" i="81"/>
  <c r="N349" i="81"/>
  <c r="M349" i="81"/>
  <c r="L349" i="81"/>
  <c r="BO348" i="81"/>
  <c r="BC348" i="81"/>
  <c r="BA348" i="81"/>
  <c r="AZ348" i="81"/>
  <c r="BB348" i="81" s="1"/>
  <c r="BD348" i="81" s="1"/>
  <c r="AR348" i="81"/>
  <c r="AF348" i="81"/>
  <c r="AE348" i="81"/>
  <c r="AD348" i="81"/>
  <c r="AC348" i="81"/>
  <c r="AB348" i="81"/>
  <c r="AA348" i="81"/>
  <c r="Z348" i="81"/>
  <c r="Y348" i="81"/>
  <c r="W348" i="81"/>
  <c r="S348" i="81"/>
  <c r="Q348" i="81"/>
  <c r="N348" i="81"/>
  <c r="M348" i="81"/>
  <c r="L348" i="81"/>
  <c r="BO347" i="81"/>
  <c r="BC347" i="81"/>
  <c r="BA347" i="81"/>
  <c r="AZ347" i="81"/>
  <c r="BB347" i="81" s="1"/>
  <c r="BD347" i="81" s="1"/>
  <c r="AR347" i="81"/>
  <c r="AF347" i="81"/>
  <c r="AE347" i="81"/>
  <c r="AD347" i="81"/>
  <c r="AC347" i="81"/>
  <c r="AB347" i="81"/>
  <c r="AA347" i="81"/>
  <c r="Z347" i="81"/>
  <c r="Y347" i="81"/>
  <c r="W347" i="81"/>
  <c r="S347" i="81"/>
  <c r="Q347" i="81"/>
  <c r="N347" i="81"/>
  <c r="M347" i="81"/>
  <c r="L347" i="81"/>
  <c r="BO346" i="81"/>
  <c r="BR346" i="81" s="1"/>
  <c r="BC346" i="81"/>
  <c r="BA346" i="81"/>
  <c r="AZ346" i="81"/>
  <c r="AR346" i="81"/>
  <c r="AF346" i="81"/>
  <c r="AE346" i="81"/>
  <c r="AD346" i="81"/>
  <c r="AC346" i="81"/>
  <c r="AB346" i="81"/>
  <c r="AA346" i="81"/>
  <c r="Z346" i="81"/>
  <c r="Y346" i="81"/>
  <c r="W346" i="81"/>
  <c r="S346" i="81"/>
  <c r="Q346" i="81"/>
  <c r="N346" i="81"/>
  <c r="X346" i="81" s="1"/>
  <c r="AP346" i="81" s="1"/>
  <c r="AQ346" i="81" s="1"/>
  <c r="M346" i="81"/>
  <c r="L346" i="81"/>
  <c r="BO345" i="81"/>
  <c r="BC345" i="81"/>
  <c r="BA345" i="81"/>
  <c r="AZ345" i="81"/>
  <c r="BB345" i="81" s="1"/>
  <c r="BD345" i="81" s="1"/>
  <c r="AR345" i="81"/>
  <c r="AF345" i="81"/>
  <c r="AE345" i="81"/>
  <c r="AD345" i="81"/>
  <c r="AC345" i="81"/>
  <c r="AB345" i="81"/>
  <c r="AA345" i="81"/>
  <c r="Z345" i="81"/>
  <c r="Y345" i="81"/>
  <c r="W345" i="81"/>
  <c r="S345" i="81"/>
  <c r="Q345" i="81"/>
  <c r="N345" i="81"/>
  <c r="X345" i="81" s="1"/>
  <c r="AP345" i="81" s="1"/>
  <c r="AQ345" i="81" s="1"/>
  <c r="M345" i="81"/>
  <c r="L345" i="81"/>
  <c r="BO344" i="81"/>
  <c r="BC344" i="81"/>
  <c r="BA344" i="81"/>
  <c r="AZ344" i="81"/>
  <c r="BB344" i="81" s="1"/>
  <c r="BD344" i="81" s="1"/>
  <c r="BE344" i="81" s="1"/>
  <c r="AF344" i="81"/>
  <c r="AE344" i="81"/>
  <c r="AD344" i="81"/>
  <c r="AC344" i="81"/>
  <c r="AB344" i="81"/>
  <c r="AA344" i="81"/>
  <c r="Z344" i="81"/>
  <c r="Y344" i="81"/>
  <c r="W344" i="81"/>
  <c r="S344" i="81"/>
  <c r="Q344" i="81"/>
  <c r="N344" i="81"/>
  <c r="X344" i="81" s="1"/>
  <c r="M344" i="81"/>
  <c r="L344" i="81"/>
  <c r="BO343" i="81"/>
  <c r="BR343" i="81" s="1"/>
  <c r="BC343" i="81"/>
  <c r="BA343" i="81"/>
  <c r="AZ343" i="81"/>
  <c r="BB343" i="81" s="1"/>
  <c r="BD343" i="81" s="1"/>
  <c r="AR343" i="81"/>
  <c r="AF343" i="81"/>
  <c r="AE343" i="81"/>
  <c r="AD343" i="81"/>
  <c r="AC343" i="81"/>
  <c r="AB343" i="81"/>
  <c r="AA343" i="81"/>
  <c r="Z343" i="81"/>
  <c r="Y343" i="81"/>
  <c r="W343" i="81"/>
  <c r="S343" i="81"/>
  <c r="Q343" i="81"/>
  <c r="N343" i="81"/>
  <c r="X343" i="81" s="1"/>
  <c r="AP343" i="81" s="1"/>
  <c r="AQ343" i="81" s="1"/>
  <c r="M343" i="81"/>
  <c r="L343" i="81"/>
  <c r="BO342" i="81"/>
  <c r="BC342" i="81"/>
  <c r="BA342" i="81"/>
  <c r="BB342" i="81" s="1"/>
  <c r="BD342" i="81" s="1"/>
  <c r="BE342" i="81" s="1"/>
  <c r="AZ342" i="81"/>
  <c r="AR342" i="81"/>
  <c r="AF342" i="81"/>
  <c r="AE342" i="81"/>
  <c r="AD342" i="81"/>
  <c r="AC342" i="81"/>
  <c r="AB342" i="81"/>
  <c r="AA342" i="81"/>
  <c r="Z342" i="81"/>
  <c r="Y342" i="81"/>
  <c r="W342" i="81"/>
  <c r="S342" i="81"/>
  <c r="Q342" i="81"/>
  <c r="N342" i="81"/>
  <c r="X342" i="81" s="1"/>
  <c r="AP342" i="81" s="1"/>
  <c r="AQ342" i="81" s="1"/>
  <c r="M342" i="81"/>
  <c r="L342" i="81"/>
  <c r="BO341" i="81"/>
  <c r="BC341" i="81"/>
  <c r="BA341" i="81"/>
  <c r="AZ341" i="81"/>
  <c r="BB341" i="81" s="1"/>
  <c r="BD341" i="81" s="1"/>
  <c r="BE341" i="81" s="1"/>
  <c r="AR341" i="81"/>
  <c r="AF341" i="81"/>
  <c r="AE341" i="81"/>
  <c r="AD341" i="81"/>
  <c r="AC341" i="81"/>
  <c r="AB341" i="81"/>
  <c r="AA341" i="81"/>
  <c r="Z341" i="81"/>
  <c r="Y341" i="81"/>
  <c r="W341" i="81"/>
  <c r="S341" i="81"/>
  <c r="Q341" i="81"/>
  <c r="N341" i="81"/>
  <c r="M341" i="81"/>
  <c r="L341" i="81"/>
  <c r="BR341" i="81" s="1"/>
  <c r="BO340" i="81"/>
  <c r="BC340" i="81"/>
  <c r="BA340" i="81"/>
  <c r="AZ340" i="81"/>
  <c r="BB340" i="81" s="1"/>
  <c r="BD340" i="81" s="1"/>
  <c r="AR340" i="81"/>
  <c r="AF340" i="81"/>
  <c r="AE340" i="81"/>
  <c r="AD340" i="81"/>
  <c r="AC340" i="81"/>
  <c r="AB340" i="81"/>
  <c r="AA340" i="81"/>
  <c r="Z340" i="81"/>
  <c r="Y340" i="81"/>
  <c r="W340" i="81"/>
  <c r="S340" i="81"/>
  <c r="Q340" i="81"/>
  <c r="N340" i="81"/>
  <c r="M340" i="81"/>
  <c r="L340" i="81"/>
  <c r="BO339" i="81"/>
  <c r="BC339" i="81"/>
  <c r="BA339" i="81"/>
  <c r="AZ339" i="81"/>
  <c r="BB339" i="81" s="1"/>
  <c r="BD339" i="81" s="1"/>
  <c r="AR339" i="81"/>
  <c r="AF339" i="81"/>
  <c r="AE339" i="81"/>
  <c r="AD339" i="81"/>
  <c r="AC339" i="81"/>
  <c r="AB339" i="81"/>
  <c r="AA339" i="81"/>
  <c r="Z339" i="81"/>
  <c r="Y339" i="81"/>
  <c r="W339" i="81"/>
  <c r="S339" i="81"/>
  <c r="Q339" i="81"/>
  <c r="N339" i="81"/>
  <c r="M339" i="81"/>
  <c r="L339" i="81"/>
  <c r="BO338" i="81"/>
  <c r="BC338" i="81"/>
  <c r="BA338" i="81"/>
  <c r="AZ338" i="81"/>
  <c r="AR338" i="81"/>
  <c r="AF338" i="81"/>
  <c r="AE338" i="81"/>
  <c r="AD338" i="81"/>
  <c r="AC338" i="81"/>
  <c r="AB338" i="81"/>
  <c r="AA338" i="81"/>
  <c r="Z338" i="81"/>
  <c r="Y338" i="81"/>
  <c r="W338" i="81"/>
  <c r="S338" i="81"/>
  <c r="Q338" i="81"/>
  <c r="N338" i="81"/>
  <c r="M338" i="81"/>
  <c r="L338" i="81"/>
  <c r="BO337" i="81"/>
  <c r="BC337" i="81"/>
  <c r="BA337" i="81"/>
  <c r="AZ337" i="81"/>
  <c r="BB337" i="81" s="1"/>
  <c r="BD337" i="81" s="1"/>
  <c r="AR337" i="81"/>
  <c r="AF337" i="81"/>
  <c r="AE337" i="81"/>
  <c r="AD337" i="81"/>
  <c r="AC337" i="81"/>
  <c r="AB337" i="81"/>
  <c r="AA337" i="81"/>
  <c r="Z337" i="81"/>
  <c r="Y337" i="81"/>
  <c r="W337" i="81"/>
  <c r="S337" i="81"/>
  <c r="Q337" i="81"/>
  <c r="N337" i="81"/>
  <c r="M337" i="81"/>
  <c r="L337" i="81"/>
  <c r="BO336" i="81"/>
  <c r="BC336" i="81"/>
  <c r="BB336" i="81"/>
  <c r="BD336" i="81" s="1"/>
  <c r="BA336" i="81"/>
  <c r="AZ336" i="81"/>
  <c r="AR336" i="81"/>
  <c r="AF336" i="81"/>
  <c r="AE336" i="81"/>
  <c r="AD336" i="81"/>
  <c r="AC336" i="81"/>
  <c r="AB336" i="81"/>
  <c r="AA336" i="81"/>
  <c r="Z336" i="81"/>
  <c r="Y336" i="81"/>
  <c r="W336" i="81"/>
  <c r="S336" i="81"/>
  <c r="Q336" i="81"/>
  <c r="N336" i="81"/>
  <c r="M336" i="81"/>
  <c r="L336" i="81"/>
  <c r="BO335" i="81"/>
  <c r="BC335" i="81"/>
  <c r="BB335" i="81"/>
  <c r="BD335" i="81" s="1"/>
  <c r="BA335" i="81"/>
  <c r="AZ335" i="81"/>
  <c r="AR335" i="81"/>
  <c r="BP335" i="81" s="1"/>
  <c r="AF335" i="81"/>
  <c r="AE335" i="81"/>
  <c r="AD335" i="81"/>
  <c r="AC335" i="81"/>
  <c r="AB335" i="81"/>
  <c r="AA335" i="81"/>
  <c r="Z335" i="81"/>
  <c r="Y335" i="81"/>
  <c r="W335" i="81"/>
  <c r="S335" i="81"/>
  <c r="Q335" i="81"/>
  <c r="N335" i="81"/>
  <c r="X335" i="81" s="1"/>
  <c r="AP335" i="81" s="1"/>
  <c r="AQ335" i="81" s="1"/>
  <c r="M335" i="81"/>
  <c r="L335" i="81"/>
  <c r="BO334" i="81"/>
  <c r="BC334" i="81"/>
  <c r="BA334" i="81"/>
  <c r="BB334" i="81" s="1"/>
  <c r="BD334" i="81" s="1"/>
  <c r="BE334" i="81" s="1"/>
  <c r="AZ334" i="81"/>
  <c r="AR334" i="81"/>
  <c r="AF334" i="81"/>
  <c r="AE334" i="81"/>
  <c r="AD334" i="81"/>
  <c r="AC334" i="81"/>
  <c r="AB334" i="81"/>
  <c r="AA334" i="81"/>
  <c r="Z334" i="81"/>
  <c r="Y334" i="81"/>
  <c r="W334" i="81"/>
  <c r="S334" i="81"/>
  <c r="Q334" i="81"/>
  <c r="N334" i="81"/>
  <c r="M334" i="81"/>
  <c r="L334" i="81"/>
  <c r="BO333" i="81"/>
  <c r="BC333" i="81"/>
  <c r="BA333" i="81"/>
  <c r="AZ333" i="81"/>
  <c r="BB333" i="81" s="1"/>
  <c r="BD333" i="81" s="1"/>
  <c r="AR333" i="81"/>
  <c r="AF333" i="81"/>
  <c r="AE333" i="81"/>
  <c r="AD333" i="81"/>
  <c r="AC333" i="81"/>
  <c r="AB333" i="81"/>
  <c r="AA333" i="81"/>
  <c r="Z333" i="81"/>
  <c r="Y333" i="81"/>
  <c r="W333" i="81"/>
  <c r="S333" i="81"/>
  <c r="Q333" i="81"/>
  <c r="N333" i="81"/>
  <c r="M333" i="81"/>
  <c r="L333" i="81"/>
  <c r="BR333" i="81" s="1"/>
  <c r="BO332" i="81"/>
  <c r="BC332" i="81"/>
  <c r="BA332" i="81"/>
  <c r="AZ332" i="81"/>
  <c r="BB332" i="81" s="1"/>
  <c r="BD332" i="81" s="1"/>
  <c r="AR332" i="81"/>
  <c r="AF332" i="81"/>
  <c r="AE332" i="81"/>
  <c r="AD332" i="81"/>
  <c r="AC332" i="81"/>
  <c r="AB332" i="81"/>
  <c r="AA332" i="81"/>
  <c r="Z332" i="81"/>
  <c r="Y332" i="81"/>
  <c r="W332" i="81"/>
  <c r="S332" i="81"/>
  <c r="Q332" i="81"/>
  <c r="N332" i="81"/>
  <c r="M332" i="81"/>
  <c r="L332" i="81"/>
  <c r="BR332" i="81" s="1"/>
  <c r="BU332" i="81" s="1"/>
  <c r="BO331" i="81"/>
  <c r="BC331" i="81"/>
  <c r="BA331" i="81"/>
  <c r="AZ331" i="81"/>
  <c r="BB331" i="81" s="1"/>
  <c r="BD331" i="81" s="1"/>
  <c r="AR331" i="81"/>
  <c r="AF331" i="81"/>
  <c r="AE331" i="81"/>
  <c r="AD331" i="81"/>
  <c r="AC331" i="81"/>
  <c r="AB331" i="81"/>
  <c r="AA331" i="81"/>
  <c r="Z331" i="81"/>
  <c r="Y331" i="81"/>
  <c r="W331" i="81"/>
  <c r="S331" i="81"/>
  <c r="Q331" i="81"/>
  <c r="N331" i="81"/>
  <c r="M331" i="81"/>
  <c r="L331" i="81"/>
  <c r="BO330" i="81"/>
  <c r="BC330" i="81"/>
  <c r="BA330" i="81"/>
  <c r="AZ330" i="81"/>
  <c r="AR330" i="81"/>
  <c r="AF330" i="81"/>
  <c r="AE330" i="81"/>
  <c r="AD330" i="81"/>
  <c r="AC330" i="81"/>
  <c r="AB330" i="81"/>
  <c r="AA330" i="81"/>
  <c r="Z330" i="81"/>
  <c r="Y330" i="81"/>
  <c r="W330" i="81"/>
  <c r="S330" i="81"/>
  <c r="Q330" i="81"/>
  <c r="N330" i="81"/>
  <c r="M330" i="81"/>
  <c r="L330" i="81"/>
  <c r="BO329" i="81"/>
  <c r="BC329" i="81"/>
  <c r="BA329" i="81"/>
  <c r="AZ329" i="81"/>
  <c r="BB329" i="81" s="1"/>
  <c r="BD329" i="81" s="1"/>
  <c r="AR329" i="81"/>
  <c r="AF329" i="81"/>
  <c r="AE329" i="81"/>
  <c r="AD329" i="81"/>
  <c r="AC329" i="81"/>
  <c r="AB329" i="81"/>
  <c r="AA329" i="81"/>
  <c r="Z329" i="81"/>
  <c r="Y329" i="81"/>
  <c r="W329" i="81"/>
  <c r="S329" i="81"/>
  <c r="Q329" i="81"/>
  <c r="N329" i="81"/>
  <c r="X329" i="81" s="1"/>
  <c r="AP329" i="81" s="1"/>
  <c r="AQ329" i="81" s="1"/>
  <c r="M329" i="81"/>
  <c r="L329" i="81"/>
  <c r="BO328" i="81"/>
  <c r="BC328" i="81"/>
  <c r="BA328" i="81"/>
  <c r="AZ328" i="81"/>
  <c r="BB328" i="81" s="1"/>
  <c r="BD328" i="81" s="1"/>
  <c r="AR328" i="81"/>
  <c r="AF328" i="81"/>
  <c r="AE328" i="81"/>
  <c r="AD328" i="81"/>
  <c r="AC328" i="81"/>
  <c r="AB328" i="81"/>
  <c r="AA328" i="81"/>
  <c r="Z328" i="81"/>
  <c r="Y328" i="81"/>
  <c r="W328" i="81"/>
  <c r="S328" i="81"/>
  <c r="Q328" i="81"/>
  <c r="N328" i="81"/>
  <c r="M328" i="81"/>
  <c r="L328" i="81"/>
  <c r="BO327" i="81"/>
  <c r="BC327" i="81"/>
  <c r="BA327" i="81"/>
  <c r="AZ327" i="81"/>
  <c r="BB327" i="81" s="1"/>
  <c r="BD327" i="81" s="1"/>
  <c r="AR327" i="81"/>
  <c r="AF327" i="81"/>
  <c r="AE327" i="81"/>
  <c r="AD327" i="81"/>
  <c r="AC327" i="81"/>
  <c r="AB327" i="81"/>
  <c r="AA327" i="81"/>
  <c r="Z327" i="81"/>
  <c r="Y327" i="81"/>
  <c r="W327" i="81"/>
  <c r="S327" i="81"/>
  <c r="Q327" i="81"/>
  <c r="N327" i="81"/>
  <c r="M327" i="81"/>
  <c r="L327" i="81"/>
  <c r="BO326" i="81"/>
  <c r="BR326" i="81" s="1"/>
  <c r="BC326" i="81"/>
  <c r="BA326" i="81"/>
  <c r="AZ326" i="81"/>
  <c r="AR326" i="81"/>
  <c r="AF326" i="81"/>
  <c r="AE326" i="81"/>
  <c r="AD326" i="81"/>
  <c r="AC326" i="81"/>
  <c r="AB326" i="81"/>
  <c r="AA326" i="81"/>
  <c r="Z326" i="81"/>
  <c r="Y326" i="81"/>
  <c r="W326" i="81"/>
  <c r="S326" i="81"/>
  <c r="Q326" i="81"/>
  <c r="N326" i="81"/>
  <c r="X326" i="81" s="1"/>
  <c r="M326" i="81"/>
  <c r="L326" i="81"/>
  <c r="BO325" i="81"/>
  <c r="BC325" i="81"/>
  <c r="BA325" i="81"/>
  <c r="AZ325" i="81"/>
  <c r="BB325" i="81" s="1"/>
  <c r="BD325" i="81" s="1"/>
  <c r="AR325" i="81"/>
  <c r="AF325" i="81"/>
  <c r="AE325" i="81"/>
  <c r="AD325" i="81"/>
  <c r="AC325" i="81"/>
  <c r="AB325" i="81"/>
  <c r="AA325" i="81"/>
  <c r="Z325" i="81"/>
  <c r="Y325" i="81"/>
  <c r="W325" i="81"/>
  <c r="S325" i="81"/>
  <c r="Q325" i="81"/>
  <c r="N325" i="81"/>
  <c r="X325" i="81" s="1"/>
  <c r="AP325" i="81" s="1"/>
  <c r="AQ325" i="81" s="1"/>
  <c r="M325" i="81"/>
  <c r="L325" i="81"/>
  <c r="BO324" i="81"/>
  <c r="BC324" i="81"/>
  <c r="BA324" i="81"/>
  <c r="AZ324" i="81"/>
  <c r="BB324" i="81" s="1"/>
  <c r="BD324" i="81" s="1"/>
  <c r="AR324" i="81"/>
  <c r="AF324" i="81"/>
  <c r="AE324" i="81"/>
  <c r="AD324" i="81"/>
  <c r="AC324" i="81"/>
  <c r="AB324" i="81"/>
  <c r="AA324" i="81"/>
  <c r="Z324" i="81"/>
  <c r="Y324" i="81"/>
  <c r="W324" i="81"/>
  <c r="S324" i="81"/>
  <c r="Q324" i="81"/>
  <c r="N324" i="81"/>
  <c r="X324" i="81" s="1"/>
  <c r="AP324" i="81" s="1"/>
  <c r="AQ324" i="81" s="1"/>
  <c r="M324" i="81"/>
  <c r="L324" i="81"/>
  <c r="BO323" i="81"/>
  <c r="BC323" i="81"/>
  <c r="BA323" i="81"/>
  <c r="AZ323" i="81"/>
  <c r="BB323" i="81" s="1"/>
  <c r="BD323" i="81" s="1"/>
  <c r="AR323" i="81"/>
  <c r="AF323" i="81"/>
  <c r="AE323" i="81"/>
  <c r="AD323" i="81"/>
  <c r="AC323" i="81"/>
  <c r="AB323" i="81"/>
  <c r="AA323" i="81"/>
  <c r="Z323" i="81"/>
  <c r="Y323" i="81"/>
  <c r="W323" i="81"/>
  <c r="S323" i="81"/>
  <c r="Q323" i="81"/>
  <c r="N323" i="81"/>
  <c r="M323" i="81"/>
  <c r="L323" i="81"/>
  <c r="BO322" i="81"/>
  <c r="BR322" i="81" s="1"/>
  <c r="BC322" i="81"/>
  <c r="BA322" i="81"/>
  <c r="AZ322" i="81"/>
  <c r="AR322" i="81"/>
  <c r="AF322" i="81"/>
  <c r="AE322" i="81"/>
  <c r="AD322" i="81"/>
  <c r="AC322" i="81"/>
  <c r="AB322" i="81"/>
  <c r="AA322" i="81"/>
  <c r="Z322" i="81"/>
  <c r="Y322" i="81"/>
  <c r="W322" i="81"/>
  <c r="S322" i="81"/>
  <c r="Q322" i="81"/>
  <c r="N322" i="81"/>
  <c r="X322" i="81" s="1"/>
  <c r="M322" i="81"/>
  <c r="L322" i="81"/>
  <c r="BO321" i="81"/>
  <c r="BC321" i="81"/>
  <c r="BA321" i="81"/>
  <c r="AZ321" i="81"/>
  <c r="BB321" i="81" s="1"/>
  <c r="BD321" i="81" s="1"/>
  <c r="AR321" i="81"/>
  <c r="AF321" i="81"/>
  <c r="AE321" i="81"/>
  <c r="AD321" i="81"/>
  <c r="AC321" i="81"/>
  <c r="AB321" i="81"/>
  <c r="AA321" i="81"/>
  <c r="Z321" i="81"/>
  <c r="Y321" i="81"/>
  <c r="W321" i="81"/>
  <c r="S321" i="81"/>
  <c r="Q321" i="81"/>
  <c r="N321" i="81"/>
  <c r="M321" i="81"/>
  <c r="L321" i="81"/>
  <c r="BO320" i="81"/>
  <c r="BC320" i="81"/>
  <c r="BB320" i="81"/>
  <c r="BD320" i="81" s="1"/>
  <c r="BA320" i="81"/>
  <c r="AZ320" i="81"/>
  <c r="AR320" i="81"/>
  <c r="AF320" i="81"/>
  <c r="AE320" i="81"/>
  <c r="AD320" i="81"/>
  <c r="AC320" i="81"/>
  <c r="AB320" i="81"/>
  <c r="AA320" i="81"/>
  <c r="Z320" i="81"/>
  <c r="Y320" i="81"/>
  <c r="W320" i="81"/>
  <c r="S320" i="81"/>
  <c r="Q320" i="81"/>
  <c r="N320" i="81"/>
  <c r="X320" i="81" s="1"/>
  <c r="AP320" i="81" s="1"/>
  <c r="AQ320" i="81" s="1"/>
  <c r="M320" i="81"/>
  <c r="L320" i="81"/>
  <c r="BO319" i="81"/>
  <c r="BC319" i="81"/>
  <c r="BA319" i="81"/>
  <c r="AZ319" i="81"/>
  <c r="BB319" i="81" s="1"/>
  <c r="BD319" i="81" s="1"/>
  <c r="AR319" i="81"/>
  <c r="AF319" i="81"/>
  <c r="AE319" i="81"/>
  <c r="AD319" i="81"/>
  <c r="AC319" i="81"/>
  <c r="AB319" i="81"/>
  <c r="AA319" i="81"/>
  <c r="Z319" i="81"/>
  <c r="Y319" i="81"/>
  <c r="W319" i="81"/>
  <c r="S319" i="81"/>
  <c r="Q319" i="81"/>
  <c r="N319" i="81"/>
  <c r="X319" i="81" s="1"/>
  <c r="AP319" i="81" s="1"/>
  <c r="AQ319" i="81" s="1"/>
  <c r="M319" i="81"/>
  <c r="L319" i="81"/>
  <c r="BO318" i="81"/>
  <c r="BC318" i="81"/>
  <c r="BA318" i="81"/>
  <c r="AZ318" i="81"/>
  <c r="AR318" i="81"/>
  <c r="AF318" i="81"/>
  <c r="AE318" i="81"/>
  <c r="AD318" i="81"/>
  <c r="AC318" i="81"/>
  <c r="AB318" i="81"/>
  <c r="AA318" i="81"/>
  <c r="Z318" i="81"/>
  <c r="Y318" i="81"/>
  <c r="W318" i="81"/>
  <c r="S318" i="81"/>
  <c r="Q318" i="81"/>
  <c r="N318" i="81"/>
  <c r="M318" i="81"/>
  <c r="L318" i="81"/>
  <c r="BO317" i="81"/>
  <c r="BC317" i="81"/>
  <c r="BA317" i="81"/>
  <c r="AZ317" i="81"/>
  <c r="BB317" i="81" s="1"/>
  <c r="BD317" i="81" s="1"/>
  <c r="AR317" i="81"/>
  <c r="AF317" i="81"/>
  <c r="AE317" i="81"/>
  <c r="AD317" i="81"/>
  <c r="AC317" i="81"/>
  <c r="AB317" i="81"/>
  <c r="AA317" i="81"/>
  <c r="Z317" i="81"/>
  <c r="Y317" i="81"/>
  <c r="W317" i="81"/>
  <c r="S317" i="81"/>
  <c r="Q317" i="81"/>
  <c r="N317" i="81"/>
  <c r="M317" i="81"/>
  <c r="L317" i="81"/>
  <c r="BO316" i="81"/>
  <c r="BR316" i="81" s="1"/>
  <c r="BU316" i="81" s="1"/>
  <c r="BC316" i="81"/>
  <c r="BA316" i="81"/>
  <c r="AZ316" i="81"/>
  <c r="BB316" i="81" s="1"/>
  <c r="BD316" i="81" s="1"/>
  <c r="AR316" i="81"/>
  <c r="AF316" i="81"/>
  <c r="AE316" i="81"/>
  <c r="AD316" i="81"/>
  <c r="AC316" i="81"/>
  <c r="AB316" i="81"/>
  <c r="AA316" i="81"/>
  <c r="Z316" i="81"/>
  <c r="Y316" i="81"/>
  <c r="W316" i="81"/>
  <c r="S316" i="81"/>
  <c r="Q316" i="81"/>
  <c r="N316" i="81"/>
  <c r="X316" i="81" s="1"/>
  <c r="AP316" i="81" s="1"/>
  <c r="AQ316" i="81" s="1"/>
  <c r="M316" i="81"/>
  <c r="L316" i="81"/>
  <c r="BO315" i="81"/>
  <c r="BC315" i="81"/>
  <c r="BA315" i="81"/>
  <c r="AZ315" i="81"/>
  <c r="BB315" i="81" s="1"/>
  <c r="BD315" i="81" s="1"/>
  <c r="AR315" i="81"/>
  <c r="AF315" i="81"/>
  <c r="AE315" i="81"/>
  <c r="AD315" i="81"/>
  <c r="AC315" i="81"/>
  <c r="AB315" i="81"/>
  <c r="AA315" i="81"/>
  <c r="Z315" i="81"/>
  <c r="Y315" i="81"/>
  <c r="W315" i="81"/>
  <c r="S315" i="81"/>
  <c r="Q315" i="81"/>
  <c r="N315" i="81"/>
  <c r="M315" i="81"/>
  <c r="L315" i="81"/>
  <c r="BO314" i="81"/>
  <c r="BC314" i="81"/>
  <c r="BA314" i="81"/>
  <c r="AZ314" i="81"/>
  <c r="AR314" i="81"/>
  <c r="AF314" i="81"/>
  <c r="AE314" i="81"/>
  <c r="AD314" i="81"/>
  <c r="AC314" i="81"/>
  <c r="AB314" i="81"/>
  <c r="AA314" i="81"/>
  <c r="Z314" i="81"/>
  <c r="Y314" i="81"/>
  <c r="W314" i="81"/>
  <c r="S314" i="81"/>
  <c r="Q314" i="81"/>
  <c r="N314" i="81"/>
  <c r="M314" i="81"/>
  <c r="L314" i="81"/>
  <c r="BO313" i="81"/>
  <c r="BC313" i="81"/>
  <c r="BA313" i="81"/>
  <c r="AZ313" i="81"/>
  <c r="BB313" i="81" s="1"/>
  <c r="BD313" i="81" s="1"/>
  <c r="AR313" i="81"/>
  <c r="AF313" i="81"/>
  <c r="AE313" i="81"/>
  <c r="AD313" i="81"/>
  <c r="AC313" i="81"/>
  <c r="AB313" i="81"/>
  <c r="AA313" i="81"/>
  <c r="Z313" i="81"/>
  <c r="Y313" i="81"/>
  <c r="W313" i="81"/>
  <c r="S313" i="81"/>
  <c r="Q313" i="81"/>
  <c r="N313" i="81"/>
  <c r="X313" i="81" s="1"/>
  <c r="M313" i="81"/>
  <c r="L313" i="81"/>
  <c r="BO312" i="81"/>
  <c r="BR312" i="81" s="1"/>
  <c r="BU312" i="81" s="1"/>
  <c r="BC312" i="81"/>
  <c r="BA312" i="81"/>
  <c r="AZ312" i="81"/>
  <c r="BB312" i="81" s="1"/>
  <c r="BD312" i="81" s="1"/>
  <c r="AR312" i="81"/>
  <c r="AF312" i="81"/>
  <c r="AE312" i="81"/>
  <c r="AD312" i="81"/>
  <c r="AC312" i="81"/>
  <c r="AB312" i="81"/>
  <c r="AA312" i="81"/>
  <c r="Z312" i="81"/>
  <c r="Y312" i="81"/>
  <c r="W312" i="81"/>
  <c r="S312" i="81"/>
  <c r="Q312" i="81"/>
  <c r="N312" i="81"/>
  <c r="X312" i="81" s="1"/>
  <c r="AP312" i="81" s="1"/>
  <c r="AQ312" i="81" s="1"/>
  <c r="M312" i="81"/>
  <c r="L312" i="81"/>
  <c r="BO311" i="81"/>
  <c r="BC311" i="81"/>
  <c r="BA311" i="81"/>
  <c r="AZ311" i="81"/>
  <c r="BB311" i="81" s="1"/>
  <c r="BD311" i="81" s="1"/>
  <c r="AR311" i="81"/>
  <c r="AF311" i="81"/>
  <c r="AE311" i="81"/>
  <c r="AD311" i="81"/>
  <c r="AC311" i="81"/>
  <c r="AB311" i="81"/>
  <c r="AA311" i="81"/>
  <c r="Z311" i="81"/>
  <c r="Y311" i="81"/>
  <c r="W311" i="81"/>
  <c r="S311" i="81"/>
  <c r="Q311" i="81"/>
  <c r="N311" i="81"/>
  <c r="M311" i="81"/>
  <c r="L311" i="81"/>
  <c r="BO310" i="81"/>
  <c r="BC310" i="81"/>
  <c r="BA310" i="81"/>
  <c r="AZ310" i="81"/>
  <c r="AR310" i="81"/>
  <c r="AF310" i="81"/>
  <c r="AE310" i="81"/>
  <c r="AD310" i="81"/>
  <c r="AC310" i="81"/>
  <c r="AB310" i="81"/>
  <c r="AA310" i="81"/>
  <c r="Z310" i="81"/>
  <c r="Y310" i="81"/>
  <c r="W310" i="81"/>
  <c r="S310" i="81"/>
  <c r="Q310" i="81"/>
  <c r="N310" i="81"/>
  <c r="M310" i="81"/>
  <c r="L310" i="81"/>
  <c r="BO309" i="81"/>
  <c r="BC309" i="81"/>
  <c r="BA309" i="81"/>
  <c r="AZ309" i="81"/>
  <c r="BB309" i="81" s="1"/>
  <c r="BD309" i="81" s="1"/>
  <c r="AR309" i="81"/>
  <c r="AF309" i="81"/>
  <c r="AE309" i="81"/>
  <c r="AD309" i="81"/>
  <c r="AC309" i="81"/>
  <c r="AB309" i="81"/>
  <c r="AA309" i="81"/>
  <c r="Z309" i="81"/>
  <c r="Y309" i="81"/>
  <c r="W309" i="81"/>
  <c r="S309" i="81"/>
  <c r="Q309" i="81"/>
  <c r="N309" i="81"/>
  <c r="M309" i="81"/>
  <c r="L309" i="81"/>
  <c r="BO308" i="81"/>
  <c r="BC308" i="81"/>
  <c r="BA308" i="81"/>
  <c r="AZ308" i="81"/>
  <c r="BB308" i="81" s="1"/>
  <c r="BD308" i="81" s="1"/>
  <c r="AR308" i="81"/>
  <c r="AF308" i="81"/>
  <c r="AE308" i="81"/>
  <c r="AD308" i="81"/>
  <c r="AC308" i="81"/>
  <c r="AB308" i="81"/>
  <c r="AA308" i="81"/>
  <c r="Z308" i="81"/>
  <c r="Y308" i="81"/>
  <c r="W308" i="81"/>
  <c r="S308" i="81"/>
  <c r="Q308" i="81"/>
  <c r="N308" i="81"/>
  <c r="X308" i="81" s="1"/>
  <c r="AP308" i="81" s="1"/>
  <c r="AQ308" i="81" s="1"/>
  <c r="M308" i="81"/>
  <c r="L308" i="81"/>
  <c r="BO307" i="81"/>
  <c r="BC307" i="81"/>
  <c r="BA307" i="81"/>
  <c r="AZ307" i="81"/>
  <c r="BB307" i="81" s="1"/>
  <c r="BD307" i="81" s="1"/>
  <c r="AR307" i="81"/>
  <c r="AF307" i="81"/>
  <c r="AE307" i="81"/>
  <c r="AD307" i="81"/>
  <c r="AC307" i="81"/>
  <c r="AB307" i="81"/>
  <c r="AA307" i="81"/>
  <c r="Z307" i="81"/>
  <c r="Y307" i="81"/>
  <c r="W307" i="81"/>
  <c r="S307" i="81"/>
  <c r="Q307" i="81"/>
  <c r="N307" i="81"/>
  <c r="X307" i="81" s="1"/>
  <c r="AP307" i="81" s="1"/>
  <c r="AQ307" i="81" s="1"/>
  <c r="M307" i="81"/>
  <c r="L307" i="81"/>
  <c r="BO306" i="81"/>
  <c r="BC306" i="81"/>
  <c r="BA306" i="81"/>
  <c r="AZ306" i="81"/>
  <c r="AR306" i="81"/>
  <c r="AF306" i="81"/>
  <c r="AE306" i="81"/>
  <c r="AD306" i="81"/>
  <c r="AC306" i="81"/>
  <c r="AB306" i="81"/>
  <c r="AA306" i="81"/>
  <c r="Z306" i="81"/>
  <c r="Y306" i="81"/>
  <c r="W306" i="81"/>
  <c r="S306" i="81"/>
  <c r="Q306" i="81"/>
  <c r="N306" i="81"/>
  <c r="M306" i="81"/>
  <c r="L306" i="81"/>
  <c r="BO305" i="81"/>
  <c r="BC305" i="81"/>
  <c r="BA305" i="81"/>
  <c r="AZ305" i="81"/>
  <c r="BB305" i="81" s="1"/>
  <c r="BD305" i="81" s="1"/>
  <c r="AR305" i="81"/>
  <c r="AF305" i="81"/>
  <c r="AE305" i="81"/>
  <c r="AD305" i="81"/>
  <c r="AC305" i="81"/>
  <c r="AB305" i="81"/>
  <c r="AA305" i="81"/>
  <c r="Z305" i="81"/>
  <c r="Y305" i="81"/>
  <c r="W305" i="81"/>
  <c r="S305" i="81"/>
  <c r="Q305" i="81"/>
  <c r="N305" i="81"/>
  <c r="M305" i="81"/>
  <c r="L305" i="81"/>
  <c r="BR305" i="81" s="1"/>
  <c r="BO304" i="81"/>
  <c r="BC304" i="81"/>
  <c r="BB304" i="81"/>
  <c r="BD304" i="81" s="1"/>
  <c r="BA304" i="81"/>
  <c r="AZ304" i="81"/>
  <c r="AR304" i="81"/>
  <c r="AF304" i="81"/>
  <c r="AE304" i="81"/>
  <c r="AD304" i="81"/>
  <c r="AC304" i="81"/>
  <c r="AB304" i="81"/>
  <c r="AA304" i="81"/>
  <c r="Z304" i="81"/>
  <c r="Y304" i="81"/>
  <c r="W304" i="81"/>
  <c r="S304" i="81"/>
  <c r="Q304" i="81"/>
  <c r="N304" i="81"/>
  <c r="M304" i="81"/>
  <c r="L304" i="81"/>
  <c r="BR304" i="81" s="1"/>
  <c r="BU304" i="81" s="1"/>
  <c r="BO303" i="81"/>
  <c r="BC303" i="81"/>
  <c r="BB303" i="81"/>
  <c r="BD303" i="81" s="1"/>
  <c r="BE303" i="81" s="1"/>
  <c r="BA303" i="81"/>
  <c r="AZ303" i="81"/>
  <c r="AR303" i="81"/>
  <c r="AF303" i="81"/>
  <c r="AE303" i="81"/>
  <c r="AD303" i="81"/>
  <c r="AC303" i="81"/>
  <c r="AB303" i="81"/>
  <c r="AA303" i="81"/>
  <c r="Z303" i="81"/>
  <c r="Y303" i="81"/>
  <c r="W303" i="81"/>
  <c r="S303" i="81"/>
  <c r="Q303" i="81"/>
  <c r="N303" i="81"/>
  <c r="M303" i="81"/>
  <c r="L303" i="81"/>
  <c r="BO302" i="81"/>
  <c r="BC302" i="81"/>
  <c r="BA302" i="81"/>
  <c r="AZ302" i="81"/>
  <c r="AR302" i="81"/>
  <c r="AF302" i="81"/>
  <c r="AE302" i="81"/>
  <c r="AD302" i="81"/>
  <c r="AC302" i="81"/>
  <c r="AB302" i="81"/>
  <c r="AA302" i="81"/>
  <c r="Z302" i="81"/>
  <c r="Y302" i="81"/>
  <c r="W302" i="81"/>
  <c r="S302" i="81"/>
  <c r="Q302" i="81"/>
  <c r="N302" i="81"/>
  <c r="M302" i="81"/>
  <c r="L302" i="81"/>
  <c r="BO301" i="81"/>
  <c r="BC301" i="81"/>
  <c r="BA301" i="81"/>
  <c r="AZ301" i="81"/>
  <c r="BB301" i="81" s="1"/>
  <c r="BD301" i="81" s="1"/>
  <c r="AR301" i="81"/>
  <c r="AF301" i="81"/>
  <c r="AE301" i="81"/>
  <c r="AD301" i="81"/>
  <c r="AC301" i="81"/>
  <c r="AB301" i="81"/>
  <c r="AA301" i="81"/>
  <c r="Z301" i="81"/>
  <c r="Y301" i="81"/>
  <c r="W301" i="81"/>
  <c r="S301" i="81"/>
  <c r="Q301" i="81"/>
  <c r="N301" i="81"/>
  <c r="M301" i="81"/>
  <c r="L301" i="81"/>
  <c r="BO300" i="81"/>
  <c r="BC300" i="81"/>
  <c r="BA300" i="81"/>
  <c r="AZ300" i="81"/>
  <c r="BB300" i="81" s="1"/>
  <c r="BD300" i="81" s="1"/>
  <c r="AR300" i="81"/>
  <c r="AF300" i="81"/>
  <c r="AE300" i="81"/>
  <c r="AD300" i="81"/>
  <c r="AC300" i="81"/>
  <c r="AB300" i="81"/>
  <c r="AA300" i="81"/>
  <c r="Z300" i="81"/>
  <c r="Y300" i="81"/>
  <c r="W300" i="81"/>
  <c r="S300" i="81"/>
  <c r="Q300" i="81"/>
  <c r="N300" i="81"/>
  <c r="M300" i="81"/>
  <c r="L300" i="81"/>
  <c r="BO299" i="81"/>
  <c r="BC299" i="81"/>
  <c r="BA299" i="81"/>
  <c r="AZ299" i="81"/>
  <c r="BB299" i="81" s="1"/>
  <c r="BD299" i="81" s="1"/>
  <c r="BE299" i="81" s="1"/>
  <c r="AR299" i="81"/>
  <c r="AF299" i="81"/>
  <c r="AE299" i="81"/>
  <c r="AD299" i="81"/>
  <c r="AC299" i="81"/>
  <c r="AB299" i="81"/>
  <c r="AA299" i="81"/>
  <c r="Z299" i="81"/>
  <c r="Y299" i="81"/>
  <c r="W299" i="81"/>
  <c r="S299" i="81"/>
  <c r="Q299" i="81"/>
  <c r="N299" i="81"/>
  <c r="M299" i="81"/>
  <c r="L299" i="81"/>
  <c r="BO298" i="81"/>
  <c r="BC298" i="81"/>
  <c r="BA298" i="81"/>
  <c r="AZ298" i="81"/>
  <c r="AR298" i="81"/>
  <c r="AF298" i="81"/>
  <c r="AE298" i="81"/>
  <c r="AD298" i="81"/>
  <c r="AC298" i="81"/>
  <c r="AB298" i="81"/>
  <c r="AA298" i="81"/>
  <c r="Z298" i="81"/>
  <c r="Y298" i="81"/>
  <c r="W298" i="81"/>
  <c r="S298" i="81"/>
  <c r="Q298" i="81"/>
  <c r="N298" i="81"/>
  <c r="M298" i="81"/>
  <c r="L298" i="81"/>
  <c r="BO297" i="81"/>
  <c r="BC297" i="81"/>
  <c r="BA297" i="81"/>
  <c r="AZ297" i="81"/>
  <c r="BB297" i="81" s="1"/>
  <c r="BD297" i="81" s="1"/>
  <c r="AR297" i="81"/>
  <c r="AF297" i="81"/>
  <c r="AE297" i="81"/>
  <c r="AD297" i="81"/>
  <c r="AC297" i="81"/>
  <c r="AB297" i="81"/>
  <c r="AA297" i="81"/>
  <c r="Z297" i="81"/>
  <c r="Y297" i="81"/>
  <c r="W297" i="81"/>
  <c r="S297" i="81"/>
  <c r="Q297" i="81"/>
  <c r="N297" i="81"/>
  <c r="M297" i="81"/>
  <c r="L297" i="81"/>
  <c r="BO296" i="81"/>
  <c r="BC296" i="81"/>
  <c r="BB296" i="81"/>
  <c r="BD296" i="81" s="1"/>
  <c r="BA296" i="81"/>
  <c r="AZ296" i="81"/>
  <c r="AR296" i="81"/>
  <c r="AF296" i="81"/>
  <c r="AE296" i="81"/>
  <c r="AD296" i="81"/>
  <c r="AC296" i="81"/>
  <c r="AB296" i="81"/>
  <c r="AA296" i="81"/>
  <c r="Z296" i="81"/>
  <c r="Y296" i="81"/>
  <c r="W296" i="81"/>
  <c r="S296" i="81"/>
  <c r="Q296" i="81"/>
  <c r="N296" i="81"/>
  <c r="M296" i="81"/>
  <c r="L296" i="81"/>
  <c r="BO295" i="81"/>
  <c r="BC295" i="81"/>
  <c r="BB295" i="81"/>
  <c r="BD295" i="81" s="1"/>
  <c r="BE295" i="81" s="1"/>
  <c r="BA295" i="81"/>
  <c r="AZ295" i="81"/>
  <c r="AR295" i="81"/>
  <c r="AF295" i="81"/>
  <c r="AE295" i="81"/>
  <c r="AD295" i="81"/>
  <c r="AC295" i="81"/>
  <c r="AB295" i="81"/>
  <c r="AA295" i="81"/>
  <c r="Z295" i="81"/>
  <c r="Y295" i="81"/>
  <c r="W295" i="81"/>
  <c r="S295" i="81"/>
  <c r="Q295" i="81"/>
  <c r="N295" i="81"/>
  <c r="X295" i="81" s="1"/>
  <c r="AP295" i="81" s="1"/>
  <c r="AQ295" i="81" s="1"/>
  <c r="M295" i="81"/>
  <c r="L295" i="81"/>
  <c r="BO294" i="81"/>
  <c r="BC294" i="81"/>
  <c r="BA294" i="81"/>
  <c r="BB294" i="81" s="1"/>
  <c r="BD294" i="81" s="1"/>
  <c r="BE294" i="81" s="1"/>
  <c r="AZ294" i="81"/>
  <c r="AF294" i="81"/>
  <c r="AE294" i="81"/>
  <c r="AD294" i="81"/>
  <c r="AC294" i="81"/>
  <c r="AB294" i="81"/>
  <c r="AA294" i="81"/>
  <c r="Z294" i="81"/>
  <c r="Y294" i="81"/>
  <c r="W294" i="81"/>
  <c r="S294" i="81"/>
  <c r="Q294" i="81"/>
  <c r="N294" i="81"/>
  <c r="M294" i="81"/>
  <c r="L294" i="81"/>
  <c r="BO293" i="81"/>
  <c r="BC293" i="81"/>
  <c r="BA293" i="81"/>
  <c r="AZ293" i="81"/>
  <c r="BB293" i="81" s="1"/>
  <c r="BD293" i="81" s="1"/>
  <c r="AR293" i="81"/>
  <c r="AF293" i="81"/>
  <c r="AE293" i="81"/>
  <c r="AD293" i="81"/>
  <c r="AC293" i="81"/>
  <c r="AB293" i="81"/>
  <c r="AA293" i="81"/>
  <c r="Z293" i="81"/>
  <c r="Y293" i="81"/>
  <c r="W293" i="81"/>
  <c r="S293" i="81"/>
  <c r="Q293" i="81"/>
  <c r="N293" i="81"/>
  <c r="X293" i="81" s="1"/>
  <c r="AP293" i="81" s="1"/>
  <c r="AQ293" i="81" s="1"/>
  <c r="M293" i="81"/>
  <c r="L293" i="81"/>
  <c r="BO292" i="81"/>
  <c r="BR292" i="81" s="1"/>
  <c r="BC292" i="81"/>
  <c r="BA292" i="81"/>
  <c r="AZ292" i="81"/>
  <c r="BB292" i="81" s="1"/>
  <c r="BD292" i="81" s="1"/>
  <c r="AR292" i="81"/>
  <c r="AF292" i="81"/>
  <c r="AE292" i="81"/>
  <c r="AD292" i="81"/>
  <c r="AC292" i="81"/>
  <c r="AB292" i="81"/>
  <c r="AA292" i="81"/>
  <c r="Z292" i="81"/>
  <c r="Y292" i="81"/>
  <c r="W292" i="81"/>
  <c r="S292" i="81"/>
  <c r="Q292" i="81"/>
  <c r="N292" i="81"/>
  <c r="M292" i="81"/>
  <c r="L292" i="81"/>
  <c r="BO291" i="81"/>
  <c r="BC291" i="81"/>
  <c r="BA291" i="81"/>
  <c r="AZ291" i="81"/>
  <c r="BB291" i="81" s="1"/>
  <c r="BD291" i="81" s="1"/>
  <c r="BE291" i="81" s="1"/>
  <c r="AR291" i="81"/>
  <c r="AF291" i="81"/>
  <c r="AE291" i="81"/>
  <c r="AD291" i="81"/>
  <c r="AC291" i="81"/>
  <c r="AB291" i="81"/>
  <c r="AA291" i="81"/>
  <c r="Z291" i="81"/>
  <c r="Y291" i="81"/>
  <c r="W291" i="81"/>
  <c r="S291" i="81"/>
  <c r="Q291" i="81"/>
  <c r="N291" i="81"/>
  <c r="M291" i="81"/>
  <c r="L291" i="81"/>
  <c r="BO290" i="81"/>
  <c r="BC290" i="81"/>
  <c r="BA290" i="81"/>
  <c r="AZ290" i="81"/>
  <c r="AR290" i="81"/>
  <c r="AF290" i="81"/>
  <c r="AE290" i="81"/>
  <c r="AD290" i="81"/>
  <c r="AC290" i="81"/>
  <c r="AB290" i="81"/>
  <c r="AA290" i="81"/>
  <c r="Z290" i="81"/>
  <c r="Y290" i="81"/>
  <c r="W290" i="81"/>
  <c r="S290" i="81"/>
  <c r="Q290" i="81"/>
  <c r="N290" i="81"/>
  <c r="M290" i="81"/>
  <c r="L290" i="81"/>
  <c r="BO289" i="81"/>
  <c r="BC289" i="81"/>
  <c r="BA289" i="81"/>
  <c r="AZ289" i="81"/>
  <c r="BB289" i="81" s="1"/>
  <c r="BD289" i="81" s="1"/>
  <c r="AR289" i="81"/>
  <c r="AF289" i="81"/>
  <c r="AE289" i="81"/>
  <c r="AD289" i="81"/>
  <c r="AC289" i="81"/>
  <c r="AB289" i="81"/>
  <c r="AA289" i="81"/>
  <c r="Z289" i="81"/>
  <c r="Y289" i="81"/>
  <c r="W289" i="81"/>
  <c r="S289" i="81"/>
  <c r="Q289" i="81"/>
  <c r="N289" i="81"/>
  <c r="X289" i="81" s="1"/>
  <c r="AP289" i="81" s="1"/>
  <c r="AQ289" i="81" s="1"/>
  <c r="M289" i="81"/>
  <c r="L289" i="81"/>
  <c r="BO288" i="81"/>
  <c r="BR288" i="81" s="1"/>
  <c r="BC288" i="81"/>
  <c r="BA288" i="81"/>
  <c r="AZ288" i="81"/>
  <c r="BB288" i="81" s="1"/>
  <c r="BD288" i="81" s="1"/>
  <c r="AR288" i="81"/>
  <c r="AF288" i="81"/>
  <c r="AE288" i="81"/>
  <c r="AD288" i="81"/>
  <c r="AC288" i="81"/>
  <c r="AB288" i="81"/>
  <c r="AA288" i="81"/>
  <c r="Z288" i="81"/>
  <c r="Y288" i="81"/>
  <c r="W288" i="81"/>
  <c r="S288" i="81"/>
  <c r="Q288" i="81"/>
  <c r="N288" i="81"/>
  <c r="M288" i="81"/>
  <c r="L288" i="81"/>
  <c r="BO287" i="81"/>
  <c r="BC287" i="81"/>
  <c r="BA287" i="81"/>
  <c r="AZ287" i="81"/>
  <c r="BB287" i="81" s="1"/>
  <c r="BD287" i="81" s="1"/>
  <c r="BE287" i="81" s="1"/>
  <c r="AR287" i="81"/>
  <c r="AF287" i="81"/>
  <c r="AE287" i="81"/>
  <c r="AD287" i="81"/>
  <c r="AC287" i="81"/>
  <c r="AB287" i="81"/>
  <c r="AA287" i="81"/>
  <c r="Z287" i="81"/>
  <c r="Y287" i="81"/>
  <c r="W287" i="81"/>
  <c r="S287" i="81"/>
  <c r="Q287" i="81"/>
  <c r="N287" i="81"/>
  <c r="M287" i="81"/>
  <c r="L287" i="81"/>
  <c r="BO286" i="81"/>
  <c r="BC286" i="81"/>
  <c r="BA286" i="81"/>
  <c r="AZ286" i="81"/>
  <c r="AR286" i="81"/>
  <c r="AF286" i="81"/>
  <c r="AE286" i="81"/>
  <c r="AD286" i="81"/>
  <c r="AC286" i="81"/>
  <c r="AB286" i="81"/>
  <c r="AA286" i="81"/>
  <c r="Z286" i="81"/>
  <c r="Y286" i="81"/>
  <c r="W286" i="81"/>
  <c r="S286" i="81"/>
  <c r="Q286" i="81"/>
  <c r="N286" i="81"/>
  <c r="M286" i="81"/>
  <c r="L286" i="81"/>
  <c r="BO285" i="81"/>
  <c r="BC285" i="81"/>
  <c r="BA285" i="81"/>
  <c r="AZ285" i="81"/>
  <c r="BB285" i="81" s="1"/>
  <c r="BD285" i="81" s="1"/>
  <c r="AR285" i="81"/>
  <c r="AF285" i="81"/>
  <c r="AE285" i="81"/>
  <c r="AD285" i="81"/>
  <c r="AC285" i="81"/>
  <c r="AB285" i="81"/>
  <c r="AA285" i="81"/>
  <c r="Z285" i="81"/>
  <c r="Y285" i="81"/>
  <c r="W285" i="81"/>
  <c r="S285" i="81"/>
  <c r="Q285" i="81"/>
  <c r="N285" i="81"/>
  <c r="M285" i="81"/>
  <c r="L285" i="81"/>
  <c r="BR285" i="81" s="1"/>
  <c r="BU285" i="81" s="1"/>
  <c r="BO284" i="81"/>
  <c r="BR284" i="81" s="1"/>
  <c r="BC284" i="81"/>
  <c r="BB284" i="81"/>
  <c r="BD284" i="81" s="1"/>
  <c r="BA284" i="81"/>
  <c r="AZ284" i="81"/>
  <c r="AR284" i="81"/>
  <c r="BP284" i="81" s="1"/>
  <c r="AF284" i="81"/>
  <c r="AE284" i="81"/>
  <c r="AD284" i="81"/>
  <c r="AC284" i="81"/>
  <c r="AB284" i="81"/>
  <c r="AA284" i="81"/>
  <c r="Z284" i="81"/>
  <c r="Y284" i="81"/>
  <c r="W284" i="81"/>
  <c r="S284" i="81"/>
  <c r="Q284" i="81"/>
  <c r="N284" i="81"/>
  <c r="X284" i="81" s="1"/>
  <c r="AP284" i="81" s="1"/>
  <c r="AQ284" i="81" s="1"/>
  <c r="M284" i="81"/>
  <c r="L284" i="81"/>
  <c r="BO283" i="81"/>
  <c r="BC283" i="81"/>
  <c r="BB283" i="81"/>
  <c r="BD283" i="81" s="1"/>
  <c r="BE283" i="81" s="1"/>
  <c r="BA283" i="81"/>
  <c r="AZ283" i="81"/>
  <c r="AR283" i="81"/>
  <c r="AF283" i="81"/>
  <c r="AE283" i="81"/>
  <c r="AD283" i="81"/>
  <c r="AC283" i="81"/>
  <c r="AB283" i="81"/>
  <c r="AA283" i="81"/>
  <c r="Z283" i="81"/>
  <c r="Y283" i="81"/>
  <c r="W283" i="81"/>
  <c r="S283" i="81"/>
  <c r="Q283" i="81"/>
  <c r="N283" i="81"/>
  <c r="X283" i="81" s="1"/>
  <c r="AP283" i="81" s="1"/>
  <c r="AQ283" i="81" s="1"/>
  <c r="M283" i="81"/>
  <c r="L283" i="81"/>
  <c r="BO282" i="81"/>
  <c r="BC282" i="81"/>
  <c r="BA282" i="81"/>
  <c r="BB282" i="81" s="1"/>
  <c r="BD282" i="81" s="1"/>
  <c r="BE282" i="81" s="1"/>
  <c r="AZ282" i="81"/>
  <c r="AR282" i="81"/>
  <c r="AF282" i="81"/>
  <c r="AE282" i="81"/>
  <c r="AD282" i="81"/>
  <c r="AC282" i="81"/>
  <c r="AB282" i="81"/>
  <c r="AA282" i="81"/>
  <c r="Z282" i="81"/>
  <c r="Y282" i="81"/>
  <c r="W282" i="81"/>
  <c r="S282" i="81"/>
  <c r="Q282" i="81"/>
  <c r="N282" i="81"/>
  <c r="M282" i="81"/>
  <c r="L282" i="81"/>
  <c r="BO281" i="81"/>
  <c r="BP281" i="81" s="1"/>
  <c r="BC281" i="81"/>
  <c r="BA281" i="81"/>
  <c r="AZ281" i="81"/>
  <c r="BB281" i="81" s="1"/>
  <c r="BD281" i="81" s="1"/>
  <c r="AR281" i="81"/>
  <c r="AF281" i="81"/>
  <c r="AE281" i="81"/>
  <c r="AD281" i="81"/>
  <c r="AC281" i="81"/>
  <c r="AB281" i="81"/>
  <c r="AA281" i="81"/>
  <c r="Z281" i="81"/>
  <c r="Y281" i="81"/>
  <c r="W281" i="81"/>
  <c r="S281" i="81"/>
  <c r="Q281" i="81"/>
  <c r="N281" i="81"/>
  <c r="M281" i="81"/>
  <c r="L281" i="81"/>
  <c r="BR281" i="81" s="1"/>
  <c r="BU281" i="81" s="1"/>
  <c r="BO280" i="81"/>
  <c r="BC280" i="81"/>
  <c r="BB280" i="81"/>
  <c r="BD280" i="81" s="1"/>
  <c r="BE280" i="81" s="1"/>
  <c r="BA280" i="81"/>
  <c r="AZ280" i="81"/>
  <c r="AR280" i="81"/>
  <c r="AF280" i="81"/>
  <c r="AE280" i="81"/>
  <c r="AD280" i="81"/>
  <c r="AC280" i="81"/>
  <c r="AB280" i="81"/>
  <c r="AA280" i="81"/>
  <c r="Z280" i="81"/>
  <c r="Y280" i="81"/>
  <c r="W280" i="81"/>
  <c r="S280" i="81"/>
  <c r="Q280" i="81"/>
  <c r="N280" i="81"/>
  <c r="M280" i="81"/>
  <c r="L280" i="81"/>
  <c r="BR280" i="81" s="1"/>
  <c r="BO279" i="81"/>
  <c r="BC279" i="81"/>
  <c r="BA279" i="81"/>
  <c r="AR279" i="81" s="1"/>
  <c r="AZ279" i="81"/>
  <c r="BB279" i="81" s="1"/>
  <c r="BD279" i="81" s="1"/>
  <c r="BE279" i="81" s="1"/>
  <c r="AF279" i="81"/>
  <c r="AE279" i="81"/>
  <c r="AD279" i="81"/>
  <c r="AC279" i="81"/>
  <c r="AB279" i="81"/>
  <c r="AA279" i="81"/>
  <c r="Z279" i="81"/>
  <c r="Y279" i="81"/>
  <c r="W279" i="81"/>
  <c r="S279" i="81"/>
  <c r="Q279" i="81"/>
  <c r="N279" i="81"/>
  <c r="X279" i="81" s="1"/>
  <c r="AP279" i="81" s="1"/>
  <c r="AQ279" i="81" s="1"/>
  <c r="M279" i="81"/>
  <c r="L279" i="81"/>
  <c r="BO278" i="81"/>
  <c r="BC278" i="81"/>
  <c r="BA278" i="81"/>
  <c r="AZ278" i="81"/>
  <c r="AR278" i="81"/>
  <c r="AF278" i="81"/>
  <c r="AE278" i="81"/>
  <c r="AD278" i="81"/>
  <c r="AC278" i="81"/>
  <c r="AB278" i="81"/>
  <c r="AA278" i="81"/>
  <c r="Z278" i="81"/>
  <c r="Y278" i="81"/>
  <c r="W278" i="81"/>
  <c r="S278" i="81"/>
  <c r="Q278" i="81"/>
  <c r="N278" i="81"/>
  <c r="M278" i="81"/>
  <c r="L278" i="81"/>
  <c r="BO277" i="81"/>
  <c r="BC277" i="81"/>
  <c r="BA277" i="81"/>
  <c r="AZ277" i="81"/>
  <c r="BB277" i="81" s="1"/>
  <c r="BD277" i="81" s="1"/>
  <c r="AR277" i="81"/>
  <c r="AF277" i="81"/>
  <c r="AE277" i="81"/>
  <c r="AD277" i="81"/>
  <c r="AC277" i="81"/>
  <c r="AB277" i="81"/>
  <c r="AA277" i="81"/>
  <c r="Z277" i="81"/>
  <c r="Y277" i="81"/>
  <c r="W277" i="81"/>
  <c r="S277" i="81"/>
  <c r="Q277" i="81"/>
  <c r="N277" i="81"/>
  <c r="M277" i="81"/>
  <c r="L277" i="81"/>
  <c r="BR277" i="81" s="1"/>
  <c r="BU277" i="81" s="1"/>
  <c r="BO276" i="81"/>
  <c r="BC276" i="81"/>
  <c r="BB276" i="81"/>
  <c r="BD276" i="81" s="1"/>
  <c r="BE276" i="81" s="1"/>
  <c r="BA276" i="81"/>
  <c r="AZ276" i="81"/>
  <c r="AR276" i="81"/>
  <c r="AF276" i="81"/>
  <c r="AE276" i="81"/>
  <c r="AD276" i="81"/>
  <c r="AC276" i="81"/>
  <c r="AB276" i="81"/>
  <c r="AA276" i="81"/>
  <c r="Z276" i="81"/>
  <c r="Y276" i="81"/>
  <c r="W276" i="81"/>
  <c r="S276" i="81"/>
  <c r="Q276" i="81"/>
  <c r="N276" i="81"/>
  <c r="X276" i="81" s="1"/>
  <c r="AP276" i="81" s="1"/>
  <c r="AQ276" i="81" s="1"/>
  <c r="M276" i="81"/>
  <c r="L276" i="81"/>
  <c r="BR276" i="81" s="1"/>
  <c r="BO275" i="81"/>
  <c r="BC275" i="81"/>
  <c r="BA275" i="81"/>
  <c r="AR275" i="81" s="1"/>
  <c r="AZ275" i="81"/>
  <c r="AF275" i="81"/>
  <c r="AE275" i="81"/>
  <c r="AD275" i="81"/>
  <c r="AC275" i="81"/>
  <c r="AB275" i="81"/>
  <c r="AA275" i="81"/>
  <c r="Z275" i="81"/>
  <c r="Y275" i="81"/>
  <c r="W275" i="81"/>
  <c r="S275" i="81"/>
  <c r="Q275" i="81"/>
  <c r="N275" i="81"/>
  <c r="M275" i="81"/>
  <c r="L275" i="81"/>
  <c r="BO274" i="81"/>
  <c r="BC274" i="81"/>
  <c r="BA274" i="81"/>
  <c r="AZ274" i="81"/>
  <c r="AR274" i="81"/>
  <c r="AF274" i="81"/>
  <c r="AE274" i="81"/>
  <c r="AD274" i="81"/>
  <c r="AC274" i="81"/>
  <c r="AB274" i="81"/>
  <c r="AA274" i="81"/>
  <c r="Z274" i="81"/>
  <c r="Y274" i="81"/>
  <c r="W274" i="81"/>
  <c r="S274" i="81"/>
  <c r="Q274" i="81"/>
  <c r="N274" i="81"/>
  <c r="M274" i="81"/>
  <c r="L274" i="81"/>
  <c r="BO273" i="81"/>
  <c r="BC273" i="81"/>
  <c r="BA273" i="81"/>
  <c r="AZ273" i="81"/>
  <c r="AR273" i="81"/>
  <c r="AF273" i="81"/>
  <c r="AE273" i="81"/>
  <c r="AD273" i="81"/>
  <c r="AC273" i="81"/>
  <c r="AB273" i="81"/>
  <c r="AA273" i="81"/>
  <c r="Z273" i="81"/>
  <c r="Y273" i="81"/>
  <c r="W273" i="81"/>
  <c r="S273" i="81"/>
  <c r="Q273" i="81"/>
  <c r="N273" i="81"/>
  <c r="M273" i="81"/>
  <c r="L273" i="81"/>
  <c r="BO272" i="81"/>
  <c r="BC272" i="81"/>
  <c r="BA272" i="81"/>
  <c r="AZ272" i="81"/>
  <c r="BB272" i="81" s="1"/>
  <c r="BD272" i="81" s="1"/>
  <c r="BE272" i="81" s="1"/>
  <c r="AR272" i="81"/>
  <c r="AF272" i="81"/>
  <c r="AE272" i="81"/>
  <c r="AD272" i="81"/>
  <c r="AC272" i="81"/>
  <c r="AB272" i="81"/>
  <c r="AA272" i="81"/>
  <c r="Z272" i="81"/>
  <c r="Y272" i="81"/>
  <c r="W272" i="81"/>
  <c r="S272" i="81"/>
  <c r="Q272" i="81"/>
  <c r="N272" i="81"/>
  <c r="M272" i="81"/>
  <c r="L272" i="81"/>
  <c r="BO271" i="81"/>
  <c r="BC271" i="81"/>
  <c r="BA271" i="81"/>
  <c r="AR271" i="81" s="1"/>
  <c r="AZ271" i="81"/>
  <c r="AF271" i="81"/>
  <c r="AE271" i="81"/>
  <c r="AD271" i="81"/>
  <c r="AC271" i="81"/>
  <c r="AB271" i="81"/>
  <c r="AA271" i="81"/>
  <c r="Z271" i="81"/>
  <c r="Y271" i="81"/>
  <c r="W271" i="81"/>
  <c r="S271" i="81"/>
  <c r="Q271" i="81"/>
  <c r="N271" i="81"/>
  <c r="M271" i="81"/>
  <c r="L271" i="81"/>
  <c r="BO270" i="81"/>
  <c r="BC270" i="81"/>
  <c r="BA270" i="81"/>
  <c r="AZ270" i="81"/>
  <c r="AR270" i="81"/>
  <c r="AF270" i="81"/>
  <c r="AE270" i="81"/>
  <c r="AD270" i="81"/>
  <c r="AC270" i="81"/>
  <c r="AB270" i="81"/>
  <c r="AA270" i="81"/>
  <c r="Z270" i="81"/>
  <c r="Y270" i="81"/>
  <c r="W270" i="81"/>
  <c r="S270" i="81"/>
  <c r="Q270" i="81"/>
  <c r="N270" i="81"/>
  <c r="X270" i="81" s="1"/>
  <c r="AP270" i="81" s="1"/>
  <c r="AQ270" i="81" s="1"/>
  <c r="M270" i="81"/>
  <c r="L270" i="81"/>
  <c r="BO269" i="81"/>
  <c r="BC269" i="81"/>
  <c r="BA269" i="81"/>
  <c r="AZ269" i="81"/>
  <c r="AR269" i="81"/>
  <c r="AF269" i="81"/>
  <c r="AE269" i="81"/>
  <c r="AD269" i="81"/>
  <c r="AC269" i="81"/>
  <c r="AB269" i="81"/>
  <c r="AA269" i="81"/>
  <c r="Z269" i="81"/>
  <c r="Y269" i="81"/>
  <c r="W269" i="81"/>
  <c r="S269" i="81"/>
  <c r="Q269" i="81"/>
  <c r="N269" i="81"/>
  <c r="M269" i="81"/>
  <c r="L269" i="81"/>
  <c r="BR269" i="81" s="1"/>
  <c r="BO268" i="81"/>
  <c r="BC268" i="81"/>
  <c r="BB268" i="81"/>
  <c r="BD268" i="81" s="1"/>
  <c r="BE268" i="81" s="1"/>
  <c r="BA268" i="81"/>
  <c r="AZ268" i="81"/>
  <c r="AR268" i="81"/>
  <c r="AF268" i="81"/>
  <c r="AE268" i="81"/>
  <c r="AD268" i="81"/>
  <c r="AC268" i="81"/>
  <c r="AB268" i="81"/>
  <c r="AA268" i="81"/>
  <c r="Z268" i="81"/>
  <c r="Y268" i="81"/>
  <c r="W268" i="81"/>
  <c r="S268" i="81"/>
  <c r="Q268" i="81"/>
  <c r="N268" i="81"/>
  <c r="X268" i="81" s="1"/>
  <c r="AP268" i="81" s="1"/>
  <c r="AQ268" i="81" s="1"/>
  <c r="M268" i="81"/>
  <c r="L268" i="81"/>
  <c r="BR268" i="81" s="1"/>
  <c r="BO267" i="81"/>
  <c r="BC267" i="81"/>
  <c r="BA267" i="81"/>
  <c r="AR267" i="81" s="1"/>
  <c r="AZ267" i="81"/>
  <c r="AF267" i="81"/>
  <c r="AE267" i="81"/>
  <c r="AD267" i="81"/>
  <c r="AC267" i="81"/>
  <c r="AB267" i="81"/>
  <c r="AA267" i="81"/>
  <c r="Z267" i="81"/>
  <c r="Y267" i="81"/>
  <c r="W267" i="81"/>
  <c r="S267" i="81"/>
  <c r="Q267" i="81"/>
  <c r="N267" i="81"/>
  <c r="M267" i="81"/>
  <c r="L267" i="81"/>
  <c r="BO266" i="81"/>
  <c r="BC266" i="81"/>
  <c r="BA266" i="81"/>
  <c r="AZ266" i="81"/>
  <c r="BB266" i="81" s="1"/>
  <c r="BD266" i="81" s="1"/>
  <c r="BE266" i="81" s="1"/>
  <c r="AR266" i="81"/>
  <c r="AF266" i="81"/>
  <c r="AE266" i="81"/>
  <c r="AD266" i="81"/>
  <c r="AC266" i="81"/>
  <c r="AB266" i="81"/>
  <c r="AA266" i="81"/>
  <c r="Z266" i="81"/>
  <c r="Y266" i="81"/>
  <c r="W266" i="81"/>
  <c r="S266" i="81"/>
  <c r="Q266" i="81"/>
  <c r="N266" i="81"/>
  <c r="M266" i="81"/>
  <c r="L266" i="81"/>
  <c r="BO265" i="81"/>
  <c r="BR265" i="81" s="1"/>
  <c r="BU265" i="81" s="1"/>
  <c r="BC265" i="81"/>
  <c r="BA265" i="81"/>
  <c r="AZ265" i="81"/>
  <c r="BB265" i="81" s="1"/>
  <c r="BD265" i="81" s="1"/>
  <c r="AR265" i="81"/>
  <c r="AF265" i="81"/>
  <c r="AE265" i="81"/>
  <c r="AD265" i="81"/>
  <c r="AC265" i="81"/>
  <c r="AB265" i="81"/>
  <c r="AA265" i="81"/>
  <c r="Z265" i="81"/>
  <c r="Y265" i="81"/>
  <c r="W265" i="81"/>
  <c r="S265" i="81"/>
  <c r="Q265" i="81"/>
  <c r="N265" i="81"/>
  <c r="M265" i="81"/>
  <c r="L265" i="81"/>
  <c r="BO264" i="81"/>
  <c r="BC264" i="81"/>
  <c r="BA264" i="81"/>
  <c r="AZ264" i="81"/>
  <c r="BB264" i="81" s="1"/>
  <c r="BD264" i="81" s="1"/>
  <c r="AR264" i="81"/>
  <c r="BP264" i="81" s="1"/>
  <c r="AF264" i="81"/>
  <c r="AE264" i="81"/>
  <c r="AD264" i="81"/>
  <c r="AC264" i="81"/>
  <c r="AB264" i="81"/>
  <c r="AA264" i="81"/>
  <c r="Z264" i="81"/>
  <c r="Y264" i="81"/>
  <c r="W264" i="81"/>
  <c r="S264" i="81"/>
  <c r="Q264" i="81"/>
  <c r="N264" i="81"/>
  <c r="X264" i="81" s="1"/>
  <c r="AP264" i="81" s="1"/>
  <c r="AQ264" i="81" s="1"/>
  <c r="M264" i="81"/>
  <c r="L264" i="81"/>
  <c r="BO263" i="81"/>
  <c r="BC263" i="81"/>
  <c r="BA263" i="81"/>
  <c r="AZ263" i="81"/>
  <c r="AR263" i="81"/>
  <c r="AF263" i="81"/>
  <c r="AE263" i="81"/>
  <c r="AD263" i="81"/>
  <c r="AC263" i="81"/>
  <c r="AB263" i="81"/>
  <c r="AA263" i="81"/>
  <c r="Z263" i="81"/>
  <c r="Y263" i="81"/>
  <c r="W263" i="81"/>
  <c r="S263" i="81"/>
  <c r="Q263" i="81"/>
  <c r="N263" i="81"/>
  <c r="M263" i="81"/>
  <c r="L263" i="81"/>
  <c r="BO262" i="81"/>
  <c r="BC262" i="81"/>
  <c r="BA262" i="81"/>
  <c r="AZ262" i="81"/>
  <c r="AR262" i="81"/>
  <c r="AF262" i="81"/>
  <c r="AE262" i="81"/>
  <c r="AD262" i="81"/>
  <c r="AC262" i="81"/>
  <c r="AB262" i="81"/>
  <c r="AA262" i="81"/>
  <c r="Z262" i="81"/>
  <c r="Y262" i="81"/>
  <c r="W262" i="81"/>
  <c r="S262" i="81"/>
  <c r="Q262" i="81"/>
  <c r="N262" i="81"/>
  <c r="M262" i="81"/>
  <c r="L262" i="81"/>
  <c r="BO261" i="81"/>
  <c r="BC261" i="81"/>
  <c r="BA261" i="81"/>
  <c r="AZ261" i="81"/>
  <c r="BB261" i="81" s="1"/>
  <c r="BD261" i="81" s="1"/>
  <c r="AR261" i="81"/>
  <c r="AF261" i="81"/>
  <c r="AE261" i="81"/>
  <c r="AD261" i="81"/>
  <c r="AC261" i="81"/>
  <c r="AB261" i="81"/>
  <c r="AA261" i="81"/>
  <c r="Z261" i="81"/>
  <c r="Y261" i="81"/>
  <c r="W261" i="81"/>
  <c r="S261" i="81"/>
  <c r="Q261" i="81"/>
  <c r="N261" i="81"/>
  <c r="M261" i="81"/>
  <c r="L261" i="81"/>
  <c r="BO260" i="81"/>
  <c r="BC260" i="81"/>
  <c r="BB260" i="81"/>
  <c r="BD260" i="81" s="1"/>
  <c r="BA260" i="81"/>
  <c r="AZ260" i="81"/>
  <c r="AR260" i="81"/>
  <c r="AF260" i="81"/>
  <c r="AE260" i="81"/>
  <c r="AD260" i="81"/>
  <c r="AC260" i="81"/>
  <c r="AB260" i="81"/>
  <c r="AA260" i="81"/>
  <c r="Z260" i="81"/>
  <c r="Y260" i="81"/>
  <c r="W260" i="81"/>
  <c r="S260" i="81"/>
  <c r="Q260" i="81"/>
  <c r="N260" i="81"/>
  <c r="X260" i="81" s="1"/>
  <c r="AP260" i="81" s="1"/>
  <c r="AQ260" i="81" s="1"/>
  <c r="M260" i="81"/>
  <c r="L260" i="81"/>
  <c r="BR260" i="81" s="1"/>
  <c r="BU260" i="81" s="1"/>
  <c r="BO259" i="81"/>
  <c r="BC259" i="81"/>
  <c r="BA259" i="81"/>
  <c r="BB259" i="81" s="1"/>
  <c r="BD259" i="81" s="1"/>
  <c r="BE259" i="81" s="1"/>
  <c r="AZ259" i="81"/>
  <c r="AR259" i="81"/>
  <c r="AF259" i="81"/>
  <c r="AE259" i="81"/>
  <c r="AD259" i="81"/>
  <c r="AC259" i="81"/>
  <c r="AB259" i="81"/>
  <c r="AA259" i="81"/>
  <c r="Z259" i="81"/>
  <c r="Y259" i="81"/>
  <c r="W259" i="81"/>
  <c r="S259" i="81"/>
  <c r="Q259" i="81"/>
  <c r="N259" i="81"/>
  <c r="M259" i="81"/>
  <c r="L259" i="81"/>
  <c r="BO258" i="81"/>
  <c r="BC258" i="81"/>
  <c r="BA258" i="81"/>
  <c r="AZ258" i="81"/>
  <c r="AR258" i="81"/>
  <c r="AF258" i="81"/>
  <c r="AE258" i="81"/>
  <c r="AD258" i="81"/>
  <c r="AC258" i="81"/>
  <c r="AB258" i="81"/>
  <c r="AA258" i="81"/>
  <c r="Z258" i="81"/>
  <c r="Y258" i="81"/>
  <c r="W258" i="81"/>
  <c r="S258" i="81"/>
  <c r="Q258" i="81"/>
  <c r="N258" i="81"/>
  <c r="M258" i="81"/>
  <c r="L258" i="81"/>
  <c r="BO257" i="81"/>
  <c r="BC257" i="81"/>
  <c r="BA257" i="81"/>
  <c r="AZ257" i="81"/>
  <c r="BB257" i="81" s="1"/>
  <c r="BD257" i="81" s="1"/>
  <c r="AR257" i="81"/>
  <c r="AF257" i="81"/>
  <c r="AE257" i="81"/>
  <c r="AD257" i="81"/>
  <c r="AC257" i="81"/>
  <c r="AB257" i="81"/>
  <c r="AA257" i="81"/>
  <c r="Z257" i="81"/>
  <c r="Y257" i="81"/>
  <c r="W257" i="81"/>
  <c r="S257" i="81"/>
  <c r="Q257" i="81"/>
  <c r="N257" i="81"/>
  <c r="M257" i="81"/>
  <c r="L257" i="81"/>
  <c r="BO256" i="81"/>
  <c r="BR256" i="81" s="1"/>
  <c r="BU256" i="81" s="1"/>
  <c r="BC256" i="81"/>
  <c r="BA256" i="81"/>
  <c r="AZ256" i="81"/>
  <c r="BB256" i="81" s="1"/>
  <c r="BD256" i="81" s="1"/>
  <c r="AR256" i="81"/>
  <c r="BP256" i="81" s="1"/>
  <c r="AF256" i="81"/>
  <c r="AE256" i="81"/>
  <c r="AD256" i="81"/>
  <c r="AC256" i="81"/>
  <c r="AB256" i="81"/>
  <c r="AA256" i="81"/>
  <c r="Z256" i="81"/>
  <c r="Y256" i="81"/>
  <c r="W256" i="81"/>
  <c r="S256" i="81"/>
  <c r="Q256" i="81"/>
  <c r="N256" i="81"/>
  <c r="X256" i="81" s="1"/>
  <c r="AP256" i="81" s="1"/>
  <c r="AQ256" i="81" s="1"/>
  <c r="M256" i="81"/>
  <c r="L256" i="81"/>
  <c r="BO255" i="81"/>
  <c r="BC255" i="81"/>
  <c r="BA255" i="81"/>
  <c r="AZ255" i="81"/>
  <c r="AR255" i="81"/>
  <c r="AF255" i="81"/>
  <c r="AE255" i="81"/>
  <c r="AD255" i="81"/>
  <c r="AC255" i="81"/>
  <c r="AB255" i="81"/>
  <c r="AA255" i="81"/>
  <c r="Z255" i="81"/>
  <c r="Y255" i="81"/>
  <c r="W255" i="81"/>
  <c r="S255" i="81"/>
  <c r="Q255" i="81"/>
  <c r="N255" i="81"/>
  <c r="M255" i="81"/>
  <c r="L255" i="81"/>
  <c r="BO254" i="81"/>
  <c r="BC254" i="81"/>
  <c r="BA254" i="81"/>
  <c r="AZ254" i="81"/>
  <c r="AR254" i="81"/>
  <c r="AF254" i="81"/>
  <c r="AE254" i="81"/>
  <c r="AD254" i="81"/>
  <c r="AC254" i="81"/>
  <c r="AB254" i="81"/>
  <c r="AA254" i="81"/>
  <c r="Z254" i="81"/>
  <c r="Y254" i="81"/>
  <c r="W254" i="81"/>
  <c r="S254" i="81"/>
  <c r="Q254" i="81"/>
  <c r="N254" i="81"/>
  <c r="M254" i="81"/>
  <c r="L254" i="81"/>
  <c r="BO253" i="81"/>
  <c r="BP253" i="81" s="1"/>
  <c r="BC253" i="81"/>
  <c r="BA253" i="81"/>
  <c r="AZ253" i="81"/>
  <c r="BB253" i="81" s="1"/>
  <c r="BD253" i="81" s="1"/>
  <c r="AR253" i="81"/>
  <c r="AF253" i="81"/>
  <c r="AE253" i="81"/>
  <c r="AD253" i="81"/>
  <c r="AC253" i="81"/>
  <c r="AB253" i="81"/>
  <c r="AA253" i="81"/>
  <c r="Z253" i="81"/>
  <c r="Y253" i="81"/>
  <c r="W253" i="81"/>
  <c r="S253" i="81"/>
  <c r="Q253" i="81"/>
  <c r="N253" i="81"/>
  <c r="M253" i="81"/>
  <c r="L253" i="81"/>
  <c r="BR253" i="81" s="1"/>
  <c r="BU253" i="81" s="1"/>
  <c r="BO252" i="81"/>
  <c r="BC252" i="81"/>
  <c r="BA252" i="81"/>
  <c r="AZ252" i="81"/>
  <c r="BB252" i="81" s="1"/>
  <c r="BD252" i="81" s="1"/>
  <c r="AR252" i="81"/>
  <c r="AF252" i="81"/>
  <c r="AE252" i="81"/>
  <c r="AD252" i="81"/>
  <c r="AC252" i="81"/>
  <c r="AB252" i="81"/>
  <c r="AA252" i="81"/>
  <c r="Z252" i="81"/>
  <c r="Y252" i="81"/>
  <c r="W252" i="81"/>
  <c r="S252" i="81"/>
  <c r="Q252" i="81"/>
  <c r="N252" i="81"/>
  <c r="M252" i="81"/>
  <c r="L252" i="81"/>
  <c r="BO251" i="81"/>
  <c r="BR251" i="81" s="1"/>
  <c r="BC251" i="81"/>
  <c r="BA251" i="81"/>
  <c r="AZ251" i="81"/>
  <c r="AR251" i="81"/>
  <c r="AF251" i="81"/>
  <c r="AE251" i="81"/>
  <c r="AD251" i="81"/>
  <c r="AC251" i="81"/>
  <c r="AB251" i="81"/>
  <c r="AA251" i="81"/>
  <c r="Z251" i="81"/>
  <c r="Y251" i="81"/>
  <c r="W251" i="81"/>
  <c r="S251" i="81"/>
  <c r="Q251" i="81"/>
  <c r="N251" i="81"/>
  <c r="X251" i="81" s="1"/>
  <c r="AP251" i="81" s="1"/>
  <c r="AQ251" i="81" s="1"/>
  <c r="M251" i="81"/>
  <c r="L251" i="81"/>
  <c r="BO250" i="81"/>
  <c r="BC250" i="81"/>
  <c r="BA250" i="81"/>
  <c r="AZ250" i="81"/>
  <c r="AR250" i="81"/>
  <c r="AF250" i="81"/>
  <c r="AE250" i="81"/>
  <c r="AD250" i="81"/>
  <c r="AC250" i="81"/>
  <c r="AB250" i="81"/>
  <c r="AA250" i="81"/>
  <c r="Z250" i="81"/>
  <c r="Y250" i="81"/>
  <c r="W250" i="81"/>
  <c r="S250" i="81"/>
  <c r="Q250" i="81"/>
  <c r="N250" i="81"/>
  <c r="M250" i="81"/>
  <c r="L250" i="81"/>
  <c r="BO249" i="81"/>
  <c r="BC249" i="81"/>
  <c r="BA249" i="81"/>
  <c r="AZ249" i="81"/>
  <c r="BB249" i="81" s="1"/>
  <c r="BD249" i="81" s="1"/>
  <c r="AR249" i="81"/>
  <c r="AF249" i="81"/>
  <c r="AE249" i="81"/>
  <c r="AD249" i="81"/>
  <c r="AC249" i="81"/>
  <c r="AB249" i="81"/>
  <c r="AA249" i="81"/>
  <c r="Z249" i="81"/>
  <c r="Y249" i="81"/>
  <c r="W249" i="81"/>
  <c r="S249" i="81"/>
  <c r="Q249" i="81"/>
  <c r="N249" i="81"/>
  <c r="M249" i="81"/>
  <c r="L249" i="81"/>
  <c r="BR249" i="81" s="1"/>
  <c r="BU249" i="81" s="1"/>
  <c r="BO248" i="81"/>
  <c r="BC248" i="81"/>
  <c r="BA248" i="81"/>
  <c r="AZ248" i="81"/>
  <c r="BB248" i="81" s="1"/>
  <c r="BD248" i="81" s="1"/>
  <c r="AR248" i="81"/>
  <c r="AF248" i="81"/>
  <c r="AE248" i="81"/>
  <c r="AD248" i="81"/>
  <c r="AC248" i="81"/>
  <c r="AB248" i="81"/>
  <c r="AA248" i="81"/>
  <c r="Z248" i="81"/>
  <c r="Y248" i="81"/>
  <c r="W248" i="81"/>
  <c r="S248" i="81"/>
  <c r="Q248" i="81"/>
  <c r="N248" i="81"/>
  <c r="M248" i="81"/>
  <c r="L248" i="81"/>
  <c r="BO247" i="81"/>
  <c r="BR247" i="81" s="1"/>
  <c r="BC247" i="81"/>
  <c r="BA247" i="81"/>
  <c r="AZ247" i="81"/>
  <c r="AR247" i="81"/>
  <c r="AF247" i="81"/>
  <c r="AE247" i="81"/>
  <c r="AD247" i="81"/>
  <c r="AC247" i="81"/>
  <c r="AB247" i="81"/>
  <c r="AA247" i="81"/>
  <c r="Z247" i="81"/>
  <c r="Y247" i="81"/>
  <c r="W247" i="81"/>
  <c r="S247" i="81"/>
  <c r="Q247" i="81"/>
  <c r="N247" i="81"/>
  <c r="X247" i="81" s="1"/>
  <c r="AP247" i="81" s="1"/>
  <c r="AQ247" i="81" s="1"/>
  <c r="M247" i="81"/>
  <c r="L247" i="81"/>
  <c r="BO246" i="81"/>
  <c r="BC246" i="81"/>
  <c r="BA246" i="81"/>
  <c r="AZ246" i="81"/>
  <c r="AR246" i="81"/>
  <c r="AF246" i="81"/>
  <c r="AE246" i="81"/>
  <c r="AD246" i="81"/>
  <c r="AC246" i="81"/>
  <c r="AB246" i="81"/>
  <c r="AA246" i="81"/>
  <c r="Z246" i="81"/>
  <c r="Y246" i="81"/>
  <c r="W246" i="81"/>
  <c r="S246" i="81"/>
  <c r="Q246" i="81"/>
  <c r="N246" i="81"/>
  <c r="M246" i="81"/>
  <c r="L246" i="81"/>
  <c r="BO245" i="81"/>
  <c r="BR245" i="81" s="1"/>
  <c r="BU245" i="81" s="1"/>
  <c r="BC245" i="81"/>
  <c r="BA245" i="81"/>
  <c r="AZ245" i="81"/>
  <c r="BB245" i="81" s="1"/>
  <c r="BD245" i="81" s="1"/>
  <c r="AR245" i="81"/>
  <c r="AF245" i="81"/>
  <c r="AE245" i="81"/>
  <c r="AD245" i="81"/>
  <c r="AC245" i="81"/>
  <c r="AB245" i="81"/>
  <c r="AA245" i="81"/>
  <c r="Z245" i="81"/>
  <c r="Y245" i="81"/>
  <c r="W245" i="81"/>
  <c r="S245" i="81"/>
  <c r="Q245" i="81"/>
  <c r="N245" i="81"/>
  <c r="M245" i="81"/>
  <c r="L245" i="81"/>
  <c r="BO244" i="81"/>
  <c r="BC244" i="81"/>
  <c r="BB244" i="81"/>
  <c r="BD244" i="81" s="1"/>
  <c r="BA244" i="81"/>
  <c r="AZ244" i="81"/>
  <c r="AR244" i="81"/>
  <c r="AF244" i="81"/>
  <c r="AE244" i="81"/>
  <c r="AD244" i="81"/>
  <c r="AC244" i="81"/>
  <c r="AB244" i="81"/>
  <c r="AA244" i="81"/>
  <c r="Z244" i="81"/>
  <c r="Y244" i="81"/>
  <c r="W244" i="81"/>
  <c r="S244" i="81"/>
  <c r="Q244" i="81"/>
  <c r="N244" i="81"/>
  <c r="X244" i="81" s="1"/>
  <c r="AP244" i="81" s="1"/>
  <c r="AQ244" i="81" s="1"/>
  <c r="M244" i="81"/>
  <c r="L244" i="81"/>
  <c r="BO243" i="81"/>
  <c r="BC243" i="81"/>
  <c r="BA243" i="81"/>
  <c r="AZ243" i="81"/>
  <c r="AR243" i="81"/>
  <c r="AF243" i="81"/>
  <c r="AE243" i="81"/>
  <c r="AD243" i="81"/>
  <c r="AC243" i="81"/>
  <c r="AB243" i="81"/>
  <c r="AA243" i="81"/>
  <c r="Z243" i="81"/>
  <c r="Y243" i="81"/>
  <c r="W243" i="81"/>
  <c r="S243" i="81"/>
  <c r="Q243" i="81"/>
  <c r="N243" i="81"/>
  <c r="M243" i="81"/>
  <c r="L243" i="81"/>
  <c r="BO242" i="81"/>
  <c r="BC242" i="81"/>
  <c r="BA242" i="81"/>
  <c r="AZ242" i="81"/>
  <c r="AR242" i="81"/>
  <c r="AF242" i="81"/>
  <c r="AE242" i="81"/>
  <c r="AD242" i="81"/>
  <c r="AC242" i="81"/>
  <c r="AB242" i="81"/>
  <c r="AA242" i="81"/>
  <c r="Z242" i="81"/>
  <c r="Y242" i="81"/>
  <c r="W242" i="81"/>
  <c r="S242" i="81"/>
  <c r="Q242" i="81"/>
  <c r="N242" i="81"/>
  <c r="M242" i="81"/>
  <c r="L242" i="81"/>
  <c r="BO241" i="81"/>
  <c r="BC241" i="81"/>
  <c r="BA241" i="81"/>
  <c r="AZ241" i="81"/>
  <c r="BB241" i="81" s="1"/>
  <c r="BD241" i="81" s="1"/>
  <c r="AR241" i="81"/>
  <c r="AF241" i="81"/>
  <c r="AE241" i="81"/>
  <c r="AD241" i="81"/>
  <c r="AC241" i="81"/>
  <c r="AB241" i="81"/>
  <c r="AA241" i="81"/>
  <c r="Z241" i="81"/>
  <c r="Y241" i="81"/>
  <c r="W241" i="81"/>
  <c r="S241" i="81"/>
  <c r="Q241" i="81"/>
  <c r="N241" i="81"/>
  <c r="X241" i="81" s="1"/>
  <c r="AP241" i="81" s="1"/>
  <c r="AQ241" i="81" s="1"/>
  <c r="M241" i="81"/>
  <c r="L241" i="81"/>
  <c r="BO240" i="81"/>
  <c r="BR240" i="81" s="1"/>
  <c r="BU240" i="81" s="1"/>
  <c r="BC240" i="81"/>
  <c r="BA240" i="81"/>
  <c r="AZ240" i="81"/>
  <c r="BB240" i="81" s="1"/>
  <c r="BD240" i="81" s="1"/>
  <c r="AR240" i="81"/>
  <c r="AF240" i="81"/>
  <c r="AE240" i="81"/>
  <c r="AD240" i="81"/>
  <c r="AC240" i="81"/>
  <c r="AB240" i="81"/>
  <c r="AA240" i="81"/>
  <c r="Z240" i="81"/>
  <c r="Y240" i="81"/>
  <c r="W240" i="81"/>
  <c r="S240" i="81"/>
  <c r="Q240" i="81"/>
  <c r="N240" i="81"/>
  <c r="M240" i="81"/>
  <c r="L240" i="81"/>
  <c r="BO239" i="81"/>
  <c r="BC239" i="81"/>
  <c r="BA239" i="81"/>
  <c r="AZ239" i="81"/>
  <c r="AR239" i="81"/>
  <c r="AF239" i="81"/>
  <c r="AE239" i="81"/>
  <c r="AD239" i="81"/>
  <c r="AC239" i="81"/>
  <c r="AB239" i="81"/>
  <c r="AA239" i="81"/>
  <c r="Z239" i="81"/>
  <c r="Y239" i="81"/>
  <c r="W239" i="81"/>
  <c r="S239" i="81"/>
  <c r="Q239" i="81"/>
  <c r="N239" i="81"/>
  <c r="M239" i="81"/>
  <c r="L239" i="81"/>
  <c r="BO238" i="81"/>
  <c r="BC238" i="81"/>
  <c r="BA238" i="81"/>
  <c r="AZ238" i="81"/>
  <c r="AR238" i="81"/>
  <c r="AF238" i="81"/>
  <c r="AE238" i="81"/>
  <c r="AD238" i="81"/>
  <c r="AC238" i="81"/>
  <c r="AB238" i="81"/>
  <c r="AA238" i="81"/>
  <c r="Z238" i="81"/>
  <c r="Y238" i="81"/>
  <c r="W238" i="81"/>
  <c r="S238" i="81"/>
  <c r="Q238" i="81"/>
  <c r="N238" i="81"/>
  <c r="M238" i="81"/>
  <c r="L238" i="81"/>
  <c r="BO237" i="81"/>
  <c r="BR237" i="81" s="1"/>
  <c r="BU237" i="81" s="1"/>
  <c r="BC237" i="81"/>
  <c r="BA237" i="81"/>
  <c r="AZ237" i="81"/>
  <c r="BB237" i="81" s="1"/>
  <c r="BD237" i="81" s="1"/>
  <c r="AR237" i="81"/>
  <c r="AF237" i="81"/>
  <c r="AE237" i="81"/>
  <c r="AD237" i="81"/>
  <c r="AC237" i="81"/>
  <c r="AB237" i="81"/>
  <c r="AA237" i="81"/>
  <c r="Z237" i="81"/>
  <c r="Y237" i="81"/>
  <c r="W237" i="81"/>
  <c r="S237" i="81"/>
  <c r="Q237" i="81"/>
  <c r="N237" i="81"/>
  <c r="M237" i="81"/>
  <c r="L237" i="81"/>
  <c r="BO236" i="81"/>
  <c r="BC236" i="81"/>
  <c r="BA236" i="81"/>
  <c r="AZ236" i="81"/>
  <c r="BB236" i="81" s="1"/>
  <c r="BD236" i="81" s="1"/>
  <c r="AR236" i="81"/>
  <c r="AF236" i="81"/>
  <c r="AE236" i="81"/>
  <c r="AD236" i="81"/>
  <c r="AC236" i="81"/>
  <c r="AB236" i="81"/>
  <c r="AA236" i="81"/>
  <c r="Z236" i="81"/>
  <c r="Y236" i="81"/>
  <c r="W236" i="81"/>
  <c r="S236" i="81"/>
  <c r="Q236" i="81"/>
  <c r="N236" i="81"/>
  <c r="M236" i="81"/>
  <c r="L236" i="81"/>
  <c r="BO235" i="81"/>
  <c r="BC235" i="81"/>
  <c r="BA235" i="81"/>
  <c r="AZ235" i="81"/>
  <c r="AF235" i="81"/>
  <c r="AE235" i="81"/>
  <c r="AD235" i="81"/>
  <c r="AC235" i="81"/>
  <c r="AB235" i="81"/>
  <c r="AA235" i="81"/>
  <c r="Z235" i="81"/>
  <c r="Y235" i="81"/>
  <c r="W235" i="81"/>
  <c r="S235" i="81"/>
  <c r="Q235" i="81"/>
  <c r="N235" i="81"/>
  <c r="X235" i="81" s="1"/>
  <c r="AP235" i="81" s="1"/>
  <c r="AQ235" i="81" s="1"/>
  <c r="AR235" i="81" s="1"/>
  <c r="M235" i="81"/>
  <c r="L235" i="81"/>
  <c r="BO234" i="81"/>
  <c r="BC234" i="81"/>
  <c r="BA234" i="81"/>
  <c r="AZ234" i="81"/>
  <c r="AR234" i="81"/>
  <c r="AF234" i="81"/>
  <c r="AE234" i="81"/>
  <c r="AD234" i="81"/>
  <c r="AC234" i="81"/>
  <c r="AB234" i="81"/>
  <c r="AA234" i="81"/>
  <c r="Z234" i="81"/>
  <c r="Y234" i="81"/>
  <c r="W234" i="81"/>
  <c r="S234" i="81"/>
  <c r="Q234" i="81"/>
  <c r="N234" i="81"/>
  <c r="M234" i="81"/>
  <c r="L234" i="81"/>
  <c r="BO233" i="81"/>
  <c r="BC233" i="81"/>
  <c r="BA233" i="81"/>
  <c r="AZ233" i="81"/>
  <c r="BB233" i="81" s="1"/>
  <c r="BD233" i="81" s="1"/>
  <c r="AR233" i="81"/>
  <c r="AF233" i="81"/>
  <c r="AE233" i="81"/>
  <c r="AD233" i="81"/>
  <c r="AC233" i="81"/>
  <c r="AB233" i="81"/>
  <c r="AA233" i="81"/>
  <c r="Z233" i="81"/>
  <c r="Y233" i="81"/>
  <c r="W233" i="81"/>
  <c r="S233" i="81"/>
  <c r="Q233" i="81"/>
  <c r="N233" i="81"/>
  <c r="X233" i="81" s="1"/>
  <c r="AP233" i="81" s="1"/>
  <c r="AQ233" i="81" s="1"/>
  <c r="M233" i="81"/>
  <c r="L233" i="81"/>
  <c r="BO232" i="81"/>
  <c r="BC232" i="81"/>
  <c r="BA232" i="81"/>
  <c r="AZ232" i="81"/>
  <c r="BB232" i="81" s="1"/>
  <c r="BD232" i="81" s="1"/>
  <c r="AR232" i="81"/>
  <c r="AF232" i="81"/>
  <c r="AE232" i="81"/>
  <c r="AD232" i="81"/>
  <c r="AC232" i="81"/>
  <c r="AB232" i="81"/>
  <c r="AA232" i="81"/>
  <c r="Z232" i="81"/>
  <c r="Y232" i="81"/>
  <c r="W232" i="81"/>
  <c r="S232" i="81"/>
  <c r="Q232" i="81"/>
  <c r="N232" i="81"/>
  <c r="M232" i="81"/>
  <c r="L232" i="81"/>
  <c r="BO231" i="81"/>
  <c r="BC231" i="81"/>
  <c r="BA231" i="81"/>
  <c r="AZ231" i="81"/>
  <c r="AF231" i="81"/>
  <c r="AE231" i="81"/>
  <c r="AD231" i="81"/>
  <c r="AC231" i="81"/>
  <c r="AB231" i="81"/>
  <c r="AA231" i="81"/>
  <c r="Z231" i="81"/>
  <c r="Y231" i="81"/>
  <c r="W231" i="81"/>
  <c r="S231" i="81"/>
  <c r="Q231" i="81"/>
  <c r="N231" i="81"/>
  <c r="X231" i="81" s="1"/>
  <c r="AP231" i="81" s="1"/>
  <c r="AQ231" i="81" s="1"/>
  <c r="M231" i="81"/>
  <c r="L231" i="81"/>
  <c r="BO230" i="81"/>
  <c r="BC230" i="81"/>
  <c r="BA230" i="81"/>
  <c r="BB230" i="81" s="1"/>
  <c r="BD230" i="81" s="1"/>
  <c r="BE230" i="81" s="1"/>
  <c r="AZ230" i="81"/>
  <c r="AR230" i="81"/>
  <c r="AF230" i="81"/>
  <c r="AE230" i="81"/>
  <c r="AD230" i="81"/>
  <c r="AC230" i="81"/>
  <c r="AB230" i="81"/>
  <c r="AA230" i="81"/>
  <c r="Z230" i="81"/>
  <c r="Y230" i="81"/>
  <c r="W230" i="81"/>
  <c r="S230" i="81"/>
  <c r="Q230" i="81"/>
  <c r="N230" i="81"/>
  <c r="X230" i="81" s="1"/>
  <c r="M230" i="81"/>
  <c r="L230" i="81"/>
  <c r="BO229" i="81"/>
  <c r="BC229" i="81"/>
  <c r="BA229" i="81"/>
  <c r="AZ229" i="81"/>
  <c r="BB229" i="81" s="1"/>
  <c r="BD229" i="81" s="1"/>
  <c r="AR229" i="81"/>
  <c r="AF229" i="81"/>
  <c r="AE229" i="81"/>
  <c r="AD229" i="81"/>
  <c r="AC229" i="81"/>
  <c r="AB229" i="81"/>
  <c r="AA229" i="81"/>
  <c r="Z229" i="81"/>
  <c r="Y229" i="81"/>
  <c r="W229" i="81"/>
  <c r="S229" i="81"/>
  <c r="Q229" i="81"/>
  <c r="N229" i="81"/>
  <c r="M229" i="81"/>
  <c r="L229" i="81"/>
  <c r="BO228" i="81"/>
  <c r="BR228" i="81" s="1"/>
  <c r="BU228" i="81" s="1"/>
  <c r="BX228" i="81" s="1"/>
  <c r="BC228" i="81"/>
  <c r="BA228" i="81"/>
  <c r="AZ228" i="81"/>
  <c r="BB228" i="81" s="1"/>
  <c r="BD228" i="81" s="1"/>
  <c r="BE228" i="81" s="1"/>
  <c r="AR228" i="81"/>
  <c r="AF228" i="81"/>
  <c r="AE228" i="81"/>
  <c r="AD228" i="81"/>
  <c r="AC228" i="81"/>
  <c r="AB228" i="81"/>
  <c r="AA228" i="81"/>
  <c r="Z228" i="81"/>
  <c r="Y228" i="81"/>
  <c r="W228" i="81"/>
  <c r="S228" i="81"/>
  <c r="Q228" i="81"/>
  <c r="N228" i="81"/>
  <c r="M228" i="81"/>
  <c r="L228" i="81"/>
  <c r="BO227" i="81"/>
  <c r="BC227" i="81"/>
  <c r="BA227" i="81"/>
  <c r="AZ227" i="81"/>
  <c r="AF227" i="81"/>
  <c r="AE227" i="81"/>
  <c r="AD227" i="81"/>
  <c r="AC227" i="81"/>
  <c r="AB227" i="81"/>
  <c r="AA227" i="81"/>
  <c r="Z227" i="81"/>
  <c r="Y227" i="81"/>
  <c r="W227" i="81"/>
  <c r="S227" i="81"/>
  <c r="Q227" i="81"/>
  <c r="N227" i="81"/>
  <c r="M227" i="81"/>
  <c r="L227" i="81"/>
  <c r="BO226" i="81"/>
  <c r="BC226" i="81"/>
  <c r="BA226" i="81"/>
  <c r="AZ226" i="81"/>
  <c r="AR226" i="81"/>
  <c r="AF226" i="81"/>
  <c r="AE226" i="81"/>
  <c r="AD226" i="81"/>
  <c r="AC226" i="81"/>
  <c r="AB226" i="81"/>
  <c r="AA226" i="81"/>
  <c r="Z226" i="81"/>
  <c r="Y226" i="81"/>
  <c r="W226" i="81"/>
  <c r="S226" i="81"/>
  <c r="Q226" i="81"/>
  <c r="N226" i="81"/>
  <c r="M226" i="81"/>
  <c r="L226" i="81"/>
  <c r="BO225" i="81"/>
  <c r="BR225" i="81" s="1"/>
  <c r="BC225" i="81"/>
  <c r="BA225" i="81"/>
  <c r="AZ225" i="81"/>
  <c r="BB225" i="81" s="1"/>
  <c r="BD225" i="81" s="1"/>
  <c r="AR225" i="81"/>
  <c r="AF225" i="81"/>
  <c r="AE225" i="81"/>
  <c r="AD225" i="81"/>
  <c r="AC225" i="81"/>
  <c r="AB225" i="81"/>
  <c r="AA225" i="81"/>
  <c r="Z225" i="81"/>
  <c r="Y225" i="81"/>
  <c r="W225" i="81"/>
  <c r="S225" i="81"/>
  <c r="Q225" i="81"/>
  <c r="N225" i="81"/>
  <c r="M225" i="81"/>
  <c r="L225" i="81"/>
  <c r="BO224" i="81"/>
  <c r="BR224" i="81" s="1"/>
  <c r="BU224" i="81" s="1"/>
  <c r="BX224" i="81" s="1"/>
  <c r="BC224" i="81"/>
  <c r="BA224" i="81"/>
  <c r="AZ224" i="81"/>
  <c r="BB224" i="81" s="1"/>
  <c r="BD224" i="81" s="1"/>
  <c r="BE224" i="81" s="1"/>
  <c r="AR224" i="81"/>
  <c r="AF224" i="81"/>
  <c r="AE224" i="81"/>
  <c r="AD224" i="81"/>
  <c r="AC224" i="81"/>
  <c r="AB224" i="81"/>
  <c r="AA224" i="81"/>
  <c r="Z224" i="81"/>
  <c r="Y224" i="81"/>
  <c r="W224" i="81"/>
  <c r="S224" i="81"/>
  <c r="Q224" i="81"/>
  <c r="N224" i="81"/>
  <c r="M224" i="81"/>
  <c r="L224" i="81"/>
  <c r="BO223" i="81"/>
  <c r="BC223" i="81"/>
  <c r="BA223" i="81"/>
  <c r="AZ223" i="81"/>
  <c r="AR223" i="81"/>
  <c r="AF223" i="81"/>
  <c r="AE223" i="81"/>
  <c r="AD223" i="81"/>
  <c r="AC223" i="81"/>
  <c r="AB223" i="81"/>
  <c r="AA223" i="81"/>
  <c r="Z223" i="81"/>
  <c r="Y223" i="81"/>
  <c r="W223" i="81"/>
  <c r="S223" i="81"/>
  <c r="Q223" i="81"/>
  <c r="N223" i="81"/>
  <c r="M223" i="81"/>
  <c r="L223" i="81"/>
  <c r="BO222" i="81"/>
  <c r="BC222" i="81"/>
  <c r="BA222" i="81"/>
  <c r="AZ222" i="81"/>
  <c r="AR222" i="81"/>
  <c r="AF222" i="81"/>
  <c r="AE222" i="81"/>
  <c r="AD222" i="81"/>
  <c r="AC222" i="81"/>
  <c r="AB222" i="81"/>
  <c r="AA222" i="81"/>
  <c r="Z222" i="81"/>
  <c r="Y222" i="81"/>
  <c r="W222" i="81"/>
  <c r="S222" i="81"/>
  <c r="Q222" i="81"/>
  <c r="N222" i="81"/>
  <c r="X222" i="81" s="1"/>
  <c r="AP222" i="81" s="1"/>
  <c r="AQ222" i="81" s="1"/>
  <c r="M222" i="81"/>
  <c r="L222" i="81"/>
  <c r="BO221" i="81"/>
  <c r="BR221" i="81" s="1"/>
  <c r="BC221" i="81"/>
  <c r="BA221" i="81"/>
  <c r="AZ221" i="81"/>
  <c r="BB221" i="81" s="1"/>
  <c r="BD221" i="81" s="1"/>
  <c r="AR221" i="81"/>
  <c r="AF221" i="81"/>
  <c r="AE221" i="81"/>
  <c r="AD221" i="81"/>
  <c r="AC221" i="81"/>
  <c r="AB221" i="81"/>
  <c r="AA221" i="81"/>
  <c r="Z221" i="81"/>
  <c r="Y221" i="81"/>
  <c r="W221" i="81"/>
  <c r="S221" i="81"/>
  <c r="Q221" i="81"/>
  <c r="N221" i="81"/>
  <c r="X221" i="81" s="1"/>
  <c r="M221" i="81"/>
  <c r="L221" i="81"/>
  <c r="BO220" i="81"/>
  <c r="BC220" i="81"/>
  <c r="BA220" i="81"/>
  <c r="AZ220" i="81"/>
  <c r="BB220" i="81" s="1"/>
  <c r="BD220" i="81" s="1"/>
  <c r="BE220" i="81" s="1"/>
  <c r="AR220" i="81"/>
  <c r="AF220" i="81"/>
  <c r="AE220" i="81"/>
  <c r="AD220" i="81"/>
  <c r="AC220" i="81"/>
  <c r="AB220" i="81"/>
  <c r="AA220" i="81"/>
  <c r="Z220" i="81"/>
  <c r="Y220" i="81"/>
  <c r="W220" i="81"/>
  <c r="S220" i="81"/>
  <c r="Q220" i="81"/>
  <c r="N220" i="81"/>
  <c r="X220" i="81" s="1"/>
  <c r="AP220" i="81" s="1"/>
  <c r="AQ220" i="81" s="1"/>
  <c r="M220" i="81"/>
  <c r="L220" i="81"/>
  <c r="BO219" i="81"/>
  <c r="BC219" i="81"/>
  <c r="BA219" i="81"/>
  <c r="AZ219" i="81"/>
  <c r="AF219" i="81"/>
  <c r="AE219" i="81"/>
  <c r="AD219" i="81"/>
  <c r="AC219" i="81"/>
  <c r="AB219" i="81"/>
  <c r="AA219" i="81"/>
  <c r="Z219" i="81"/>
  <c r="Y219" i="81"/>
  <c r="W219" i="81"/>
  <c r="S219" i="81"/>
  <c r="Q219" i="81"/>
  <c r="N219" i="81"/>
  <c r="M219" i="81"/>
  <c r="L219" i="81"/>
  <c r="BO218" i="81"/>
  <c r="BC218" i="81"/>
  <c r="BA218" i="81"/>
  <c r="AZ218" i="81"/>
  <c r="AR218" i="81"/>
  <c r="AF218" i="81"/>
  <c r="AE218" i="81"/>
  <c r="AD218" i="81"/>
  <c r="AC218" i="81"/>
  <c r="AB218" i="81"/>
  <c r="AA218" i="81"/>
  <c r="Z218" i="81"/>
  <c r="Y218" i="81"/>
  <c r="W218" i="81"/>
  <c r="S218" i="81"/>
  <c r="Q218" i="81"/>
  <c r="N218" i="81"/>
  <c r="M218" i="81"/>
  <c r="L218" i="81"/>
  <c r="BR217" i="81"/>
  <c r="BO217" i="81"/>
  <c r="BC217" i="81"/>
  <c r="BA217" i="81"/>
  <c r="AZ217" i="81"/>
  <c r="BB217" i="81" s="1"/>
  <c r="BD217" i="81" s="1"/>
  <c r="AR217" i="81"/>
  <c r="AF217" i="81"/>
  <c r="AE217" i="81"/>
  <c r="AD217" i="81"/>
  <c r="AC217" i="81"/>
  <c r="AB217" i="81"/>
  <c r="AA217" i="81"/>
  <c r="Z217" i="81"/>
  <c r="Y217" i="81"/>
  <c r="W217" i="81"/>
  <c r="S217" i="81"/>
  <c r="Q217" i="81"/>
  <c r="N217" i="81"/>
  <c r="M217" i="81"/>
  <c r="L217" i="81"/>
  <c r="BO216" i="81"/>
  <c r="BC216" i="81"/>
  <c r="BA216" i="81"/>
  <c r="AZ216" i="81"/>
  <c r="BB216" i="81" s="1"/>
  <c r="BD216" i="81" s="1"/>
  <c r="BE216" i="81" s="1"/>
  <c r="AR216" i="81"/>
  <c r="AF216" i="81"/>
  <c r="AE216" i="81"/>
  <c r="AD216" i="81"/>
  <c r="AC216" i="81"/>
  <c r="AB216" i="81"/>
  <c r="AA216" i="81"/>
  <c r="Z216" i="81"/>
  <c r="Y216" i="81"/>
  <c r="W216" i="81"/>
  <c r="S216" i="81"/>
  <c r="Q216" i="81"/>
  <c r="N216" i="81"/>
  <c r="M216" i="81"/>
  <c r="L216" i="81"/>
  <c r="BO215" i="81"/>
  <c r="BC215" i="81"/>
  <c r="BA215" i="81"/>
  <c r="AZ215" i="81"/>
  <c r="AF215" i="81"/>
  <c r="AE215" i="81"/>
  <c r="AD215" i="81"/>
  <c r="AC215" i="81"/>
  <c r="AB215" i="81"/>
  <c r="AA215" i="81"/>
  <c r="Z215" i="81"/>
  <c r="Y215" i="81"/>
  <c r="W215" i="81"/>
  <c r="S215" i="81"/>
  <c r="Q215" i="81"/>
  <c r="N215" i="81"/>
  <c r="M215" i="81"/>
  <c r="L215" i="81"/>
  <c r="BO214" i="81"/>
  <c r="BC214" i="81"/>
  <c r="BA214" i="81"/>
  <c r="AZ214" i="81"/>
  <c r="AR214" i="81"/>
  <c r="AF214" i="81"/>
  <c r="AE214" i="81"/>
  <c r="AD214" i="81"/>
  <c r="AC214" i="81"/>
  <c r="AB214" i="81"/>
  <c r="AA214" i="81"/>
  <c r="Z214" i="81"/>
  <c r="Y214" i="81"/>
  <c r="W214" i="81"/>
  <c r="S214" i="81"/>
  <c r="Q214" i="81"/>
  <c r="N214" i="81"/>
  <c r="M214" i="81"/>
  <c r="L214" i="81"/>
  <c r="BO213" i="81"/>
  <c r="BR213" i="81" s="1"/>
  <c r="BC213" i="81"/>
  <c r="BA213" i="81"/>
  <c r="AZ213" i="81"/>
  <c r="BB213" i="81" s="1"/>
  <c r="BD213" i="81" s="1"/>
  <c r="AR213" i="81"/>
  <c r="AF213" i="81"/>
  <c r="AE213" i="81"/>
  <c r="AD213" i="81"/>
  <c r="AC213" i="81"/>
  <c r="AB213" i="81"/>
  <c r="AA213" i="81"/>
  <c r="Z213" i="81"/>
  <c r="Y213" i="81"/>
  <c r="W213" i="81"/>
  <c r="S213" i="81"/>
  <c r="Q213" i="81"/>
  <c r="N213" i="81"/>
  <c r="M213" i="81"/>
  <c r="L213" i="81"/>
  <c r="BO212" i="81"/>
  <c r="BR212" i="81" s="1"/>
  <c r="BU212" i="81" s="1"/>
  <c r="BX212" i="81" s="1"/>
  <c r="BC212" i="81"/>
  <c r="BA212" i="81"/>
  <c r="AZ212" i="81"/>
  <c r="BB212" i="81" s="1"/>
  <c r="BD212" i="81" s="1"/>
  <c r="BE212" i="81" s="1"/>
  <c r="AR212" i="81"/>
  <c r="AF212" i="81"/>
  <c r="AE212" i="81"/>
  <c r="AD212" i="81"/>
  <c r="AC212" i="81"/>
  <c r="AB212" i="81"/>
  <c r="AA212" i="81"/>
  <c r="Z212" i="81"/>
  <c r="Y212" i="81"/>
  <c r="W212" i="81"/>
  <c r="S212" i="81"/>
  <c r="Q212" i="81"/>
  <c r="N212" i="81"/>
  <c r="M212" i="81"/>
  <c r="L212" i="81"/>
  <c r="BO211" i="81"/>
  <c r="BC211" i="81"/>
  <c r="BA211" i="81"/>
  <c r="AZ211" i="81"/>
  <c r="AF211" i="81"/>
  <c r="AE211" i="81"/>
  <c r="AD211" i="81"/>
  <c r="AC211" i="81"/>
  <c r="AB211" i="81"/>
  <c r="AA211" i="81"/>
  <c r="Z211" i="81"/>
  <c r="Y211" i="81"/>
  <c r="W211" i="81"/>
  <c r="S211" i="81"/>
  <c r="Q211" i="81"/>
  <c r="N211" i="81"/>
  <c r="M211" i="81"/>
  <c r="L211" i="81"/>
  <c r="BO210" i="81"/>
  <c r="BC210" i="81"/>
  <c r="BA210" i="81"/>
  <c r="AZ210" i="81"/>
  <c r="AR210" i="81"/>
  <c r="AF210" i="81"/>
  <c r="AE210" i="81"/>
  <c r="AD210" i="81"/>
  <c r="AC210" i="81"/>
  <c r="AB210" i="81"/>
  <c r="AA210" i="81"/>
  <c r="Z210" i="81"/>
  <c r="Y210" i="81"/>
  <c r="W210" i="81"/>
  <c r="S210" i="81"/>
  <c r="Q210" i="81"/>
  <c r="N210" i="81"/>
  <c r="M210" i="81"/>
  <c r="L210" i="81"/>
  <c r="BO209" i="81"/>
  <c r="BC209" i="81"/>
  <c r="BA209" i="81"/>
  <c r="AZ209" i="81"/>
  <c r="BB209" i="81" s="1"/>
  <c r="BD209" i="81" s="1"/>
  <c r="AR209" i="81"/>
  <c r="AF209" i="81"/>
  <c r="AE209" i="81"/>
  <c r="AD209" i="81"/>
  <c r="AC209" i="81"/>
  <c r="AB209" i="81"/>
  <c r="AA209" i="81"/>
  <c r="Z209" i="81"/>
  <c r="Y209" i="81"/>
  <c r="W209" i="81"/>
  <c r="S209" i="81"/>
  <c r="Q209" i="81"/>
  <c r="N209" i="81"/>
  <c r="M209" i="81"/>
  <c r="L209" i="81"/>
  <c r="BO208" i="81"/>
  <c r="BC208" i="81"/>
  <c r="BB208" i="81"/>
  <c r="BD208" i="81" s="1"/>
  <c r="BE208" i="81" s="1"/>
  <c r="BA208" i="81"/>
  <c r="AZ208" i="81"/>
  <c r="AR208" i="81"/>
  <c r="AF208" i="81"/>
  <c r="AE208" i="81"/>
  <c r="AD208" i="81"/>
  <c r="AC208" i="81"/>
  <c r="AB208" i="81"/>
  <c r="AA208" i="81"/>
  <c r="Z208" i="81"/>
  <c r="Y208" i="81"/>
  <c r="W208" i="81"/>
  <c r="S208" i="81"/>
  <c r="Q208" i="81"/>
  <c r="N208" i="81"/>
  <c r="M208" i="81"/>
  <c r="L208" i="81"/>
  <c r="BO207" i="81"/>
  <c r="BC207" i="81"/>
  <c r="BA207" i="81"/>
  <c r="BB207" i="81" s="1"/>
  <c r="BD207" i="81" s="1"/>
  <c r="BE207" i="81" s="1"/>
  <c r="AZ207" i="81"/>
  <c r="AR207" i="81"/>
  <c r="AF207" i="81"/>
  <c r="AE207" i="81"/>
  <c r="AD207" i="81"/>
  <c r="AC207" i="81"/>
  <c r="AB207" i="81"/>
  <c r="AA207" i="81"/>
  <c r="Z207" i="81"/>
  <c r="Y207" i="81"/>
  <c r="W207" i="81"/>
  <c r="S207" i="81"/>
  <c r="Q207" i="81"/>
  <c r="N207" i="81"/>
  <c r="M207" i="81"/>
  <c r="L207" i="81"/>
  <c r="BO206" i="81"/>
  <c r="BC206" i="81"/>
  <c r="BA206" i="81"/>
  <c r="AZ206" i="81"/>
  <c r="AR206" i="81"/>
  <c r="AF206" i="81"/>
  <c r="AE206" i="81"/>
  <c r="AD206" i="81"/>
  <c r="AC206" i="81"/>
  <c r="AB206" i="81"/>
  <c r="AA206" i="81"/>
  <c r="Z206" i="81"/>
  <c r="Y206" i="81"/>
  <c r="W206" i="81"/>
  <c r="S206" i="81"/>
  <c r="Q206" i="81"/>
  <c r="N206" i="81"/>
  <c r="M206" i="81"/>
  <c r="L206" i="81"/>
  <c r="BR205" i="81"/>
  <c r="BO205" i="81"/>
  <c r="BC205" i="81"/>
  <c r="BA205" i="81"/>
  <c r="AZ205" i="81"/>
  <c r="BB205" i="81" s="1"/>
  <c r="BD205" i="81" s="1"/>
  <c r="AR205" i="81"/>
  <c r="AF205" i="81"/>
  <c r="AE205" i="81"/>
  <c r="AD205" i="81"/>
  <c r="AC205" i="81"/>
  <c r="AB205" i="81"/>
  <c r="AA205" i="81"/>
  <c r="Z205" i="81"/>
  <c r="Y205" i="81"/>
  <c r="W205" i="81"/>
  <c r="S205" i="81"/>
  <c r="Q205" i="81"/>
  <c r="N205" i="81"/>
  <c r="M205" i="81"/>
  <c r="L205" i="81"/>
  <c r="BR204" i="81"/>
  <c r="BU204" i="81" s="1"/>
  <c r="BX204" i="81" s="1"/>
  <c r="BO204" i="81"/>
  <c r="BC204" i="81"/>
  <c r="BA204" i="81"/>
  <c r="AZ204" i="81"/>
  <c r="BB204" i="81" s="1"/>
  <c r="BD204" i="81" s="1"/>
  <c r="BE204" i="81" s="1"/>
  <c r="AR204" i="81"/>
  <c r="AF204" i="81"/>
  <c r="AE204" i="81"/>
  <c r="AD204" i="81"/>
  <c r="AC204" i="81"/>
  <c r="AB204" i="81"/>
  <c r="AA204" i="81"/>
  <c r="Z204" i="81"/>
  <c r="Y204" i="81"/>
  <c r="W204" i="81"/>
  <c r="S204" i="81"/>
  <c r="Q204" i="81"/>
  <c r="N204" i="81"/>
  <c r="M204" i="81"/>
  <c r="L204" i="81"/>
  <c r="BO203" i="81"/>
  <c r="BC203" i="81"/>
  <c r="BA203" i="81"/>
  <c r="AZ203" i="81"/>
  <c r="AR203" i="81"/>
  <c r="AF203" i="81"/>
  <c r="AE203" i="81"/>
  <c r="AD203" i="81"/>
  <c r="AC203" i="81"/>
  <c r="AB203" i="81"/>
  <c r="AA203" i="81"/>
  <c r="Z203" i="81"/>
  <c r="Y203" i="81"/>
  <c r="W203" i="81"/>
  <c r="S203" i="81"/>
  <c r="Q203" i="81"/>
  <c r="N203" i="81"/>
  <c r="M203" i="81"/>
  <c r="L203" i="81"/>
  <c r="BO202" i="81"/>
  <c r="BC202" i="81"/>
  <c r="BA202" i="81"/>
  <c r="AZ202" i="81"/>
  <c r="AR202" i="81"/>
  <c r="AF202" i="81"/>
  <c r="AE202" i="81"/>
  <c r="AD202" i="81"/>
  <c r="AC202" i="81"/>
  <c r="AB202" i="81"/>
  <c r="AA202" i="81"/>
  <c r="Z202" i="81"/>
  <c r="Y202" i="81"/>
  <c r="W202" i="81"/>
  <c r="S202" i="81"/>
  <c r="Q202" i="81"/>
  <c r="N202" i="81"/>
  <c r="X202" i="81" s="1"/>
  <c r="M202" i="81"/>
  <c r="L202" i="81"/>
  <c r="BO201" i="81"/>
  <c r="BC201" i="81"/>
  <c r="BA201" i="81"/>
  <c r="AZ201" i="81"/>
  <c r="BB201" i="81" s="1"/>
  <c r="BD201" i="81" s="1"/>
  <c r="AR201" i="81"/>
  <c r="AF201" i="81"/>
  <c r="AE201" i="81"/>
  <c r="AD201" i="81"/>
  <c r="AC201" i="81"/>
  <c r="AB201" i="81"/>
  <c r="AA201" i="81"/>
  <c r="Z201" i="81"/>
  <c r="Y201" i="81"/>
  <c r="W201" i="81"/>
  <c r="S201" i="81"/>
  <c r="Q201" i="81"/>
  <c r="N201" i="81"/>
  <c r="M201" i="81"/>
  <c r="L201" i="81"/>
  <c r="BO200" i="81"/>
  <c r="BC200" i="81"/>
  <c r="BA200" i="81"/>
  <c r="AZ200" i="81"/>
  <c r="BB200" i="81" s="1"/>
  <c r="BD200" i="81" s="1"/>
  <c r="BE200" i="81" s="1"/>
  <c r="AR200" i="81"/>
  <c r="AF200" i="81"/>
  <c r="AE200" i="81"/>
  <c r="AD200" i="81"/>
  <c r="AC200" i="81"/>
  <c r="AB200" i="81"/>
  <c r="AA200" i="81"/>
  <c r="Z200" i="81"/>
  <c r="Y200" i="81"/>
  <c r="W200" i="81"/>
  <c r="S200" i="81"/>
  <c r="Q200" i="81"/>
  <c r="N200" i="81"/>
  <c r="M200" i="81"/>
  <c r="L200" i="81"/>
  <c r="BO199" i="81"/>
  <c r="BC199" i="81"/>
  <c r="BA199" i="81"/>
  <c r="AR199" i="81" s="1"/>
  <c r="AZ199" i="81"/>
  <c r="BB199" i="81" s="1"/>
  <c r="BD199" i="81" s="1"/>
  <c r="BE199" i="81" s="1"/>
  <c r="AF199" i="81"/>
  <c r="AE199" i="81"/>
  <c r="AD199" i="81"/>
  <c r="AC199" i="81"/>
  <c r="AB199" i="81"/>
  <c r="AA199" i="81"/>
  <c r="Z199" i="81"/>
  <c r="Y199" i="81"/>
  <c r="W199" i="81"/>
  <c r="S199" i="81"/>
  <c r="Q199" i="81"/>
  <c r="N199" i="81"/>
  <c r="M199" i="81"/>
  <c r="L199" i="81"/>
  <c r="BO198" i="81"/>
  <c r="BC198" i="81"/>
  <c r="BA198" i="81"/>
  <c r="AZ198" i="81"/>
  <c r="AR198" i="81"/>
  <c r="AF198" i="81"/>
  <c r="AE198" i="81"/>
  <c r="AD198" i="81"/>
  <c r="AC198" i="81"/>
  <c r="AB198" i="81"/>
  <c r="AA198" i="81"/>
  <c r="Z198" i="81"/>
  <c r="Y198" i="81"/>
  <c r="W198" i="81"/>
  <c r="S198" i="81"/>
  <c r="Q198" i="81"/>
  <c r="N198" i="81"/>
  <c r="M198" i="81"/>
  <c r="L198" i="81"/>
  <c r="BO197" i="81"/>
  <c r="BR197" i="81" s="1"/>
  <c r="BU197" i="81" s="1"/>
  <c r="BC197" i="81"/>
  <c r="BA197" i="81"/>
  <c r="AZ197" i="81"/>
  <c r="BB197" i="81" s="1"/>
  <c r="BD197" i="81" s="1"/>
  <c r="AR197" i="81"/>
  <c r="AF197" i="81"/>
  <c r="AE197" i="81"/>
  <c r="AD197" i="81"/>
  <c r="AC197" i="81"/>
  <c r="AB197" i="81"/>
  <c r="AA197" i="81"/>
  <c r="Z197" i="81"/>
  <c r="Y197" i="81"/>
  <c r="W197" i="81"/>
  <c r="S197" i="81"/>
  <c r="Q197" i="81"/>
  <c r="N197" i="81"/>
  <c r="M197" i="81"/>
  <c r="L197" i="81"/>
  <c r="BO196" i="81"/>
  <c r="BC196" i="81"/>
  <c r="BA196" i="81"/>
  <c r="AZ196" i="81"/>
  <c r="BB196" i="81" s="1"/>
  <c r="BD196" i="81" s="1"/>
  <c r="BE196" i="81" s="1"/>
  <c r="AR196" i="81"/>
  <c r="AF196" i="81"/>
  <c r="AE196" i="81"/>
  <c r="AD196" i="81"/>
  <c r="AC196" i="81"/>
  <c r="AB196" i="81"/>
  <c r="AA196" i="81"/>
  <c r="Z196" i="81"/>
  <c r="Y196" i="81"/>
  <c r="W196" i="81"/>
  <c r="S196" i="81"/>
  <c r="Q196" i="81"/>
  <c r="N196" i="81"/>
  <c r="M196" i="81"/>
  <c r="L196" i="81"/>
  <c r="BR196" i="81" s="1"/>
  <c r="BO195" i="81"/>
  <c r="BC195" i="81"/>
  <c r="BB195" i="81"/>
  <c r="BD195" i="81" s="1"/>
  <c r="BE195" i="81" s="1"/>
  <c r="BA195" i="81"/>
  <c r="AR195" i="81" s="1"/>
  <c r="AZ195" i="81"/>
  <c r="AF195" i="81"/>
  <c r="AE195" i="81"/>
  <c r="AD195" i="81"/>
  <c r="AC195" i="81"/>
  <c r="AB195" i="81"/>
  <c r="AA195" i="81"/>
  <c r="Z195" i="81"/>
  <c r="Y195" i="81"/>
  <c r="W195" i="81"/>
  <c r="S195" i="81"/>
  <c r="Q195" i="81"/>
  <c r="N195" i="81"/>
  <c r="M195" i="81"/>
  <c r="L195" i="81"/>
  <c r="BO194" i="81"/>
  <c r="BC194" i="81"/>
  <c r="BA194" i="81"/>
  <c r="AZ194" i="81"/>
  <c r="AR194" i="81"/>
  <c r="AF194" i="81"/>
  <c r="AE194" i="81"/>
  <c r="AD194" i="81"/>
  <c r="AC194" i="81"/>
  <c r="AB194" i="81"/>
  <c r="AA194" i="81"/>
  <c r="Z194" i="81"/>
  <c r="Y194" i="81"/>
  <c r="W194" i="81"/>
  <c r="S194" i="81"/>
  <c r="Q194" i="81"/>
  <c r="N194" i="81"/>
  <c r="M194" i="81"/>
  <c r="L194" i="81"/>
  <c r="BO193" i="81"/>
  <c r="BR193" i="81" s="1"/>
  <c r="BU193" i="81" s="1"/>
  <c r="BC193" i="81"/>
  <c r="BA193" i="81"/>
  <c r="AZ193" i="81"/>
  <c r="BB193" i="81" s="1"/>
  <c r="BD193" i="81" s="1"/>
  <c r="AR193" i="81"/>
  <c r="AF193" i="81"/>
  <c r="AE193" i="81"/>
  <c r="AD193" i="81"/>
  <c r="AC193" i="81"/>
  <c r="AB193" i="81"/>
  <c r="AA193" i="81"/>
  <c r="Z193" i="81"/>
  <c r="Y193" i="81"/>
  <c r="W193" i="81"/>
  <c r="S193" i="81"/>
  <c r="Q193" i="81"/>
  <c r="N193" i="81"/>
  <c r="M193" i="81"/>
  <c r="L193" i="81"/>
  <c r="BO192" i="81"/>
  <c r="BR192" i="81" s="1"/>
  <c r="BC192" i="81"/>
  <c r="BA192" i="81"/>
  <c r="AZ192" i="81"/>
  <c r="BB192" i="81" s="1"/>
  <c r="BD192" i="81" s="1"/>
  <c r="BE192" i="81" s="1"/>
  <c r="AR192" i="81"/>
  <c r="AF192" i="81"/>
  <c r="AE192" i="81"/>
  <c r="AD192" i="81"/>
  <c r="AC192" i="81"/>
  <c r="AB192" i="81"/>
  <c r="AA192" i="81"/>
  <c r="Z192" i="81"/>
  <c r="Y192" i="81"/>
  <c r="W192" i="81"/>
  <c r="S192" i="81"/>
  <c r="Q192" i="81"/>
  <c r="N192" i="81"/>
  <c r="M192" i="81"/>
  <c r="L192" i="81"/>
  <c r="BO191" i="81"/>
  <c r="BC191" i="81"/>
  <c r="BA191" i="81"/>
  <c r="AR191" i="81" s="1"/>
  <c r="AZ191" i="81"/>
  <c r="AF191" i="81"/>
  <c r="AE191" i="81"/>
  <c r="AD191" i="81"/>
  <c r="AC191" i="81"/>
  <c r="AB191" i="81"/>
  <c r="AA191" i="81"/>
  <c r="Z191" i="81"/>
  <c r="Y191" i="81"/>
  <c r="W191" i="81"/>
  <c r="S191" i="81"/>
  <c r="Q191" i="81"/>
  <c r="N191" i="81"/>
  <c r="X191" i="81" s="1"/>
  <c r="M191" i="81"/>
  <c r="L191" i="81"/>
  <c r="BO190" i="81"/>
  <c r="BC190" i="81"/>
  <c r="BA190" i="81"/>
  <c r="AZ190" i="81"/>
  <c r="AR190" i="81"/>
  <c r="AF190" i="81"/>
  <c r="AE190" i="81"/>
  <c r="AD190" i="81"/>
  <c r="AC190" i="81"/>
  <c r="AB190" i="81"/>
  <c r="AA190" i="81"/>
  <c r="Z190" i="81"/>
  <c r="Y190" i="81"/>
  <c r="W190" i="81"/>
  <c r="S190" i="81"/>
  <c r="Q190" i="81"/>
  <c r="N190" i="81"/>
  <c r="M190" i="81"/>
  <c r="L190" i="81"/>
  <c r="BO189" i="81"/>
  <c r="BC189" i="81"/>
  <c r="BA189" i="81"/>
  <c r="AZ189" i="81"/>
  <c r="BB189" i="81" s="1"/>
  <c r="BD189" i="81" s="1"/>
  <c r="AR189" i="81"/>
  <c r="AF189" i="81"/>
  <c r="AE189" i="81"/>
  <c r="AD189" i="81"/>
  <c r="AC189" i="81"/>
  <c r="AB189" i="81"/>
  <c r="AA189" i="81"/>
  <c r="Z189" i="81"/>
  <c r="Y189" i="81"/>
  <c r="W189" i="81"/>
  <c r="S189" i="81"/>
  <c r="Q189" i="81"/>
  <c r="N189" i="81"/>
  <c r="X189" i="81" s="1"/>
  <c r="AP189" i="81" s="1"/>
  <c r="AQ189" i="81" s="1"/>
  <c r="M189" i="81"/>
  <c r="L189" i="81"/>
  <c r="BO188" i="81"/>
  <c r="BC188" i="81"/>
  <c r="BA188" i="81"/>
  <c r="AZ188" i="81"/>
  <c r="AF188" i="81"/>
  <c r="AE188" i="81"/>
  <c r="AD188" i="81"/>
  <c r="AC188" i="81"/>
  <c r="AB188" i="81"/>
  <c r="AA188" i="81"/>
  <c r="Z188" i="81"/>
  <c r="Y188" i="81"/>
  <c r="W188" i="81"/>
  <c r="S188" i="81"/>
  <c r="Q188" i="81"/>
  <c r="N188" i="81"/>
  <c r="X188" i="81" s="1"/>
  <c r="M188" i="81"/>
  <c r="L188" i="81"/>
  <c r="BO187" i="81"/>
  <c r="BC187" i="81"/>
  <c r="BA187" i="81"/>
  <c r="AR187" i="81" s="1"/>
  <c r="AZ187" i="81"/>
  <c r="AF187" i="81"/>
  <c r="AE187" i="81"/>
  <c r="AD187" i="81"/>
  <c r="AC187" i="81"/>
  <c r="AB187" i="81"/>
  <c r="AA187" i="81"/>
  <c r="Z187" i="81"/>
  <c r="Y187" i="81"/>
  <c r="W187" i="81"/>
  <c r="S187" i="81"/>
  <c r="Q187" i="81"/>
  <c r="N187" i="81"/>
  <c r="M187" i="81"/>
  <c r="L187" i="81"/>
  <c r="BO186" i="81"/>
  <c r="BC186" i="81"/>
  <c r="BA186" i="81"/>
  <c r="AZ186" i="81"/>
  <c r="AR186" i="81"/>
  <c r="AF186" i="81"/>
  <c r="AE186" i="81"/>
  <c r="AD186" i="81"/>
  <c r="AC186" i="81"/>
  <c r="AB186" i="81"/>
  <c r="AA186" i="81"/>
  <c r="Z186" i="81"/>
  <c r="Y186" i="81"/>
  <c r="W186" i="81"/>
  <c r="S186" i="81"/>
  <c r="Q186" i="81"/>
  <c r="N186" i="81"/>
  <c r="X186" i="81" s="1"/>
  <c r="M186" i="81"/>
  <c r="L186" i="81"/>
  <c r="BO185" i="81"/>
  <c r="BC185" i="81"/>
  <c r="BA185" i="81"/>
  <c r="AZ185" i="81"/>
  <c r="BB185" i="81" s="1"/>
  <c r="BD185" i="81" s="1"/>
  <c r="AR185" i="81"/>
  <c r="AF185" i="81"/>
  <c r="AE185" i="81"/>
  <c r="AD185" i="81"/>
  <c r="AC185" i="81"/>
  <c r="AB185" i="81"/>
  <c r="AA185" i="81"/>
  <c r="Z185" i="81"/>
  <c r="Y185" i="81"/>
  <c r="W185" i="81"/>
  <c r="S185" i="81"/>
  <c r="Q185" i="81"/>
  <c r="N185" i="81"/>
  <c r="X185" i="81" s="1"/>
  <c r="M185" i="81"/>
  <c r="L185" i="81"/>
  <c r="BR185" i="81" s="1"/>
  <c r="BO184" i="81"/>
  <c r="BC184" i="81"/>
  <c r="BB184" i="81"/>
  <c r="BD184" i="81" s="1"/>
  <c r="BA184" i="81"/>
  <c r="AZ184" i="81"/>
  <c r="AR184" i="81"/>
  <c r="AF184" i="81"/>
  <c r="AE184" i="81"/>
  <c r="AD184" i="81"/>
  <c r="AC184" i="81"/>
  <c r="AB184" i="81"/>
  <c r="AA184" i="81"/>
  <c r="Z184" i="81"/>
  <c r="Y184" i="81"/>
  <c r="W184" i="81"/>
  <c r="S184" i="81"/>
  <c r="Q184" i="81"/>
  <c r="N184" i="81"/>
  <c r="X184" i="81" s="1"/>
  <c r="M184" i="81"/>
  <c r="L184" i="81"/>
  <c r="BO183" i="81"/>
  <c r="BC183" i="81"/>
  <c r="BA183" i="81"/>
  <c r="AZ183" i="81"/>
  <c r="AR183" i="81"/>
  <c r="AF183" i="81"/>
  <c r="AE183" i="81"/>
  <c r="AD183" i="81"/>
  <c r="AC183" i="81"/>
  <c r="AB183" i="81"/>
  <c r="AA183" i="81"/>
  <c r="Z183" i="81"/>
  <c r="Y183" i="81"/>
  <c r="W183" i="81"/>
  <c r="S183" i="81"/>
  <c r="Q183" i="81"/>
  <c r="N183" i="81"/>
  <c r="M183" i="81"/>
  <c r="L183" i="81"/>
  <c r="BO182" i="81"/>
  <c r="BC182" i="81"/>
  <c r="BA182" i="81"/>
  <c r="AZ182" i="81"/>
  <c r="BB182" i="81" s="1"/>
  <c r="BD182" i="81" s="1"/>
  <c r="AR182" i="81"/>
  <c r="AF182" i="81"/>
  <c r="AE182" i="81"/>
  <c r="AD182" i="81"/>
  <c r="AC182" i="81"/>
  <c r="AB182" i="81"/>
  <c r="AA182" i="81"/>
  <c r="Z182" i="81"/>
  <c r="Y182" i="81"/>
  <c r="W182" i="81"/>
  <c r="S182" i="81"/>
  <c r="Q182" i="81"/>
  <c r="N182" i="81"/>
  <c r="X182" i="81" s="1"/>
  <c r="M182" i="81"/>
  <c r="L182" i="81"/>
  <c r="BO181" i="81"/>
  <c r="BC181" i="81"/>
  <c r="BA181" i="81"/>
  <c r="AZ181" i="81"/>
  <c r="AR181" i="81"/>
  <c r="AF181" i="81"/>
  <c r="AE181" i="81"/>
  <c r="AD181" i="81"/>
  <c r="AC181" i="81"/>
  <c r="AB181" i="81"/>
  <c r="AA181" i="81"/>
  <c r="Z181" i="81"/>
  <c r="Y181" i="81"/>
  <c r="W181" i="81"/>
  <c r="S181" i="81"/>
  <c r="Q181" i="81"/>
  <c r="N181" i="81"/>
  <c r="X181" i="81" s="1"/>
  <c r="M181" i="81"/>
  <c r="L181" i="81"/>
  <c r="BO180" i="81"/>
  <c r="BC180" i="81"/>
  <c r="BB180" i="81"/>
  <c r="BD180" i="81" s="1"/>
  <c r="BA180" i="81"/>
  <c r="AZ180" i="81"/>
  <c r="AR180" i="81"/>
  <c r="AF180" i="81"/>
  <c r="AE180" i="81"/>
  <c r="AD180" i="81"/>
  <c r="AC180" i="81"/>
  <c r="AB180" i="81"/>
  <c r="AA180" i="81"/>
  <c r="Z180" i="81"/>
  <c r="Y180" i="81"/>
  <c r="W180" i="81"/>
  <c r="S180" i="81"/>
  <c r="Q180" i="81"/>
  <c r="N180" i="81"/>
  <c r="X180" i="81" s="1"/>
  <c r="M180" i="81"/>
  <c r="L180" i="81"/>
  <c r="BO179" i="81"/>
  <c r="BC179" i="81"/>
  <c r="BA179" i="81"/>
  <c r="BB179" i="81" s="1"/>
  <c r="BD179" i="81" s="1"/>
  <c r="BE179" i="81" s="1"/>
  <c r="AZ179" i="81"/>
  <c r="AR179" i="81"/>
  <c r="AF179" i="81"/>
  <c r="AE179" i="81"/>
  <c r="AD179" i="81"/>
  <c r="AC179" i="81"/>
  <c r="AB179" i="81"/>
  <c r="AA179" i="81"/>
  <c r="Z179" i="81"/>
  <c r="Y179" i="81"/>
  <c r="W179" i="81"/>
  <c r="S179" i="81"/>
  <c r="Q179" i="81"/>
  <c r="N179" i="81"/>
  <c r="X179" i="81" s="1"/>
  <c r="M179" i="81"/>
  <c r="L179" i="81"/>
  <c r="BO178" i="81"/>
  <c r="BC178" i="81"/>
  <c r="BA178" i="81"/>
  <c r="AZ178" i="81"/>
  <c r="BB178" i="81" s="1"/>
  <c r="BD178" i="81" s="1"/>
  <c r="AR178" i="81"/>
  <c r="AF178" i="81"/>
  <c r="AE178" i="81"/>
  <c r="AD178" i="81"/>
  <c r="AC178" i="81"/>
  <c r="AB178" i="81"/>
  <c r="AA178" i="81"/>
  <c r="Z178" i="81"/>
  <c r="Y178" i="81"/>
  <c r="W178" i="81"/>
  <c r="S178" i="81"/>
  <c r="Q178" i="81"/>
  <c r="N178" i="81"/>
  <c r="M178" i="81"/>
  <c r="L178" i="81"/>
  <c r="BO177" i="81"/>
  <c r="BC177" i="81"/>
  <c r="BA177" i="81"/>
  <c r="AZ177" i="81"/>
  <c r="AR177" i="81"/>
  <c r="AF177" i="81"/>
  <c r="AE177" i="81"/>
  <c r="AD177" i="81"/>
  <c r="AC177" i="81"/>
  <c r="AB177" i="81"/>
  <c r="AA177" i="81"/>
  <c r="Z177" i="81"/>
  <c r="Y177" i="81"/>
  <c r="W177" i="81"/>
  <c r="S177" i="81"/>
  <c r="Q177" i="81"/>
  <c r="N177" i="81"/>
  <c r="M177" i="81"/>
  <c r="L177" i="81"/>
  <c r="BO176" i="81"/>
  <c r="BP176" i="81" s="1"/>
  <c r="BC176" i="81"/>
  <c r="BA176" i="81"/>
  <c r="AZ176" i="81"/>
  <c r="BB176" i="81" s="1"/>
  <c r="BD176" i="81" s="1"/>
  <c r="AR176" i="81"/>
  <c r="AF176" i="81"/>
  <c r="AE176" i="81"/>
  <c r="AD176" i="81"/>
  <c r="AC176" i="81"/>
  <c r="AB176" i="81"/>
  <c r="AA176" i="81"/>
  <c r="Z176" i="81"/>
  <c r="Y176" i="81"/>
  <c r="W176" i="81"/>
  <c r="S176" i="81"/>
  <c r="Q176" i="81"/>
  <c r="N176" i="81"/>
  <c r="M176" i="81"/>
  <c r="L176" i="81"/>
  <c r="BO175" i="81"/>
  <c r="BC175" i="81"/>
  <c r="BA175" i="81"/>
  <c r="AZ175" i="81"/>
  <c r="AR175" i="81"/>
  <c r="AF175" i="81"/>
  <c r="AE175" i="81"/>
  <c r="AD175" i="81"/>
  <c r="AC175" i="81"/>
  <c r="AB175" i="81"/>
  <c r="AA175" i="81"/>
  <c r="Z175" i="81"/>
  <c r="Y175" i="81"/>
  <c r="W175" i="81"/>
  <c r="S175" i="81"/>
  <c r="Q175" i="81"/>
  <c r="N175" i="81"/>
  <c r="M175" i="81"/>
  <c r="L175" i="81"/>
  <c r="BO174" i="81"/>
  <c r="BR174" i="81" s="1"/>
  <c r="BC174" i="81"/>
  <c r="BA174" i="81"/>
  <c r="AZ174" i="81"/>
  <c r="BB174" i="81" s="1"/>
  <c r="BD174" i="81" s="1"/>
  <c r="AR174" i="81"/>
  <c r="AF174" i="81"/>
  <c r="AE174" i="81"/>
  <c r="AD174" i="81"/>
  <c r="AC174" i="81"/>
  <c r="AB174" i="81"/>
  <c r="AA174" i="81"/>
  <c r="Z174" i="81"/>
  <c r="Y174" i="81"/>
  <c r="W174" i="81"/>
  <c r="S174" i="81"/>
  <c r="Q174" i="81"/>
  <c r="N174" i="81"/>
  <c r="M174" i="81"/>
  <c r="L174" i="81"/>
  <c r="BO173" i="81"/>
  <c r="BR173" i="81" s="1"/>
  <c r="BU173" i="81" s="1"/>
  <c r="BC173" i="81"/>
  <c r="BA173" i="81"/>
  <c r="AZ173" i="81"/>
  <c r="AR173" i="81"/>
  <c r="AF173" i="81"/>
  <c r="AE173" i="81"/>
  <c r="AD173" i="81"/>
  <c r="AC173" i="81"/>
  <c r="AB173" i="81"/>
  <c r="AA173" i="81"/>
  <c r="Z173" i="81"/>
  <c r="Y173" i="81"/>
  <c r="W173" i="81"/>
  <c r="S173" i="81"/>
  <c r="Q173" i="81"/>
  <c r="N173" i="81"/>
  <c r="M173" i="81"/>
  <c r="L173" i="81"/>
  <c r="BO172" i="81"/>
  <c r="BC172" i="81"/>
  <c r="BA172" i="81"/>
  <c r="AZ172" i="81"/>
  <c r="BB172" i="81" s="1"/>
  <c r="BD172" i="81" s="1"/>
  <c r="AR172" i="81"/>
  <c r="AF172" i="81"/>
  <c r="AE172" i="81"/>
  <c r="AD172" i="81"/>
  <c r="AC172" i="81"/>
  <c r="AB172" i="81"/>
  <c r="AA172" i="81"/>
  <c r="Z172" i="81"/>
  <c r="Y172" i="81"/>
  <c r="W172" i="81"/>
  <c r="S172" i="81"/>
  <c r="Q172" i="81"/>
  <c r="N172" i="81"/>
  <c r="M172" i="81"/>
  <c r="L172" i="81"/>
  <c r="BO171" i="81"/>
  <c r="BC171" i="81"/>
  <c r="BA171" i="81"/>
  <c r="AZ171" i="81"/>
  <c r="AR171" i="81"/>
  <c r="AF171" i="81"/>
  <c r="AE171" i="81"/>
  <c r="AD171" i="81"/>
  <c r="AC171" i="81"/>
  <c r="AB171" i="81"/>
  <c r="AA171" i="81"/>
  <c r="Z171" i="81"/>
  <c r="Y171" i="81"/>
  <c r="W171" i="81"/>
  <c r="S171" i="81"/>
  <c r="Q171" i="81"/>
  <c r="N171" i="81"/>
  <c r="M171" i="81"/>
  <c r="L171" i="81"/>
  <c r="BO170" i="81"/>
  <c r="BC170" i="81"/>
  <c r="BA170" i="81"/>
  <c r="AZ170" i="81"/>
  <c r="BB170" i="81" s="1"/>
  <c r="BD170" i="81" s="1"/>
  <c r="AR170" i="81"/>
  <c r="AF170" i="81"/>
  <c r="AE170" i="81"/>
  <c r="AD170" i="81"/>
  <c r="AC170" i="81"/>
  <c r="AB170" i="81"/>
  <c r="AA170" i="81"/>
  <c r="Z170" i="81"/>
  <c r="Y170" i="81"/>
  <c r="W170" i="81"/>
  <c r="S170" i="81"/>
  <c r="Q170" i="81"/>
  <c r="N170" i="81"/>
  <c r="X170" i="81" s="1"/>
  <c r="AP170" i="81" s="1"/>
  <c r="AQ170" i="81" s="1"/>
  <c r="M170" i="81"/>
  <c r="L170" i="81"/>
  <c r="BO169" i="81"/>
  <c r="BC169" i="81"/>
  <c r="BA169" i="81"/>
  <c r="AZ169" i="81"/>
  <c r="AR169" i="81"/>
  <c r="AF169" i="81"/>
  <c r="AE169" i="81"/>
  <c r="AD169" i="81"/>
  <c r="AC169" i="81"/>
  <c r="AB169" i="81"/>
  <c r="AA169" i="81"/>
  <c r="Z169" i="81"/>
  <c r="Y169" i="81"/>
  <c r="W169" i="81"/>
  <c r="S169" i="81"/>
  <c r="Q169" i="81"/>
  <c r="N169" i="81"/>
  <c r="X169" i="81" s="1"/>
  <c r="M169" i="81"/>
  <c r="L169" i="81"/>
  <c r="BO168" i="81"/>
  <c r="BC168" i="81"/>
  <c r="BB168" i="81"/>
  <c r="BD168" i="81" s="1"/>
  <c r="BA168" i="81"/>
  <c r="AZ168" i="81"/>
  <c r="AR168" i="81"/>
  <c r="AF168" i="81"/>
  <c r="AE168" i="81"/>
  <c r="AD168" i="81"/>
  <c r="AC168" i="81"/>
  <c r="AB168" i="81"/>
  <c r="AA168" i="81"/>
  <c r="Z168" i="81"/>
  <c r="Y168" i="81"/>
  <c r="W168" i="81"/>
  <c r="S168" i="81"/>
  <c r="Q168" i="81"/>
  <c r="N168" i="81"/>
  <c r="M168" i="81"/>
  <c r="L168" i="81"/>
  <c r="BO167" i="81"/>
  <c r="BC167" i="81"/>
  <c r="BA167" i="81"/>
  <c r="AZ167" i="81"/>
  <c r="AR167" i="81"/>
  <c r="AF167" i="81"/>
  <c r="AE167" i="81"/>
  <c r="AD167" i="81"/>
  <c r="AC167" i="81"/>
  <c r="AB167" i="81"/>
  <c r="AA167" i="81"/>
  <c r="Z167" i="81"/>
  <c r="Y167" i="81"/>
  <c r="W167" i="81"/>
  <c r="S167" i="81"/>
  <c r="Q167" i="81"/>
  <c r="N167" i="81"/>
  <c r="M167" i="81"/>
  <c r="L167" i="81"/>
  <c r="BO166" i="81"/>
  <c r="BC166" i="81"/>
  <c r="BA166" i="81"/>
  <c r="AZ166" i="81"/>
  <c r="BB166" i="81" s="1"/>
  <c r="BD166" i="81" s="1"/>
  <c r="AR166" i="81"/>
  <c r="AF166" i="81"/>
  <c r="AE166" i="81"/>
  <c r="AD166" i="81"/>
  <c r="AC166" i="81"/>
  <c r="AB166" i="81"/>
  <c r="AA166" i="81"/>
  <c r="Z166" i="81"/>
  <c r="Y166" i="81"/>
  <c r="W166" i="81"/>
  <c r="S166" i="81"/>
  <c r="Q166" i="81"/>
  <c r="N166" i="81"/>
  <c r="M166" i="81"/>
  <c r="L166" i="81"/>
  <c r="BO165" i="81"/>
  <c r="BR165" i="81" s="1"/>
  <c r="BU165" i="81" s="1"/>
  <c r="BC165" i="81"/>
  <c r="BA165" i="81"/>
  <c r="AZ165" i="81"/>
  <c r="AR165" i="81"/>
  <c r="AF165" i="81"/>
  <c r="AE165" i="81"/>
  <c r="AD165" i="81"/>
  <c r="AC165" i="81"/>
  <c r="AB165" i="81"/>
  <c r="AA165" i="81"/>
  <c r="Z165" i="81"/>
  <c r="Y165" i="81"/>
  <c r="W165" i="81"/>
  <c r="S165" i="81"/>
  <c r="Q165" i="81"/>
  <c r="N165" i="81"/>
  <c r="X165" i="81" s="1"/>
  <c r="M165" i="81"/>
  <c r="L165" i="81"/>
  <c r="BO164" i="81"/>
  <c r="BC164" i="81"/>
  <c r="BA164" i="81"/>
  <c r="AZ164" i="81"/>
  <c r="BB164" i="81" s="1"/>
  <c r="BD164" i="81" s="1"/>
  <c r="BE164" i="81" s="1"/>
  <c r="AG164" i="81"/>
  <c r="AR164" i="81" s="1"/>
  <c r="AF164" i="81"/>
  <c r="AE164" i="81"/>
  <c r="AD164" i="81"/>
  <c r="AC164" i="81"/>
  <c r="AB164" i="81"/>
  <c r="AA164" i="81"/>
  <c r="Y164" i="81"/>
  <c r="W164" i="81"/>
  <c r="S164" i="81"/>
  <c r="Q164" i="81"/>
  <c r="N164" i="81"/>
  <c r="M164" i="81"/>
  <c r="L164" i="81"/>
  <c r="BO163" i="81"/>
  <c r="BC163" i="81"/>
  <c r="BB163" i="81"/>
  <c r="BD163" i="81" s="1"/>
  <c r="BA163" i="81"/>
  <c r="AZ163" i="81"/>
  <c r="AR163" i="81"/>
  <c r="AF163" i="81"/>
  <c r="AE163" i="81"/>
  <c r="AD163" i="81"/>
  <c r="AC163" i="81"/>
  <c r="AB163" i="81"/>
  <c r="AA163" i="81"/>
  <c r="Z163" i="81"/>
  <c r="Y163" i="81"/>
  <c r="W163" i="81"/>
  <c r="S163" i="81"/>
  <c r="Q163" i="81"/>
  <c r="N163" i="81"/>
  <c r="X163" i="81" s="1"/>
  <c r="AP163" i="81" s="1"/>
  <c r="AQ163" i="81" s="1"/>
  <c r="M163" i="81"/>
  <c r="L163" i="81"/>
  <c r="BO162" i="81"/>
  <c r="BC162" i="81"/>
  <c r="BA162" i="81"/>
  <c r="AZ162" i="81"/>
  <c r="AR162" i="81"/>
  <c r="AF162" i="81"/>
  <c r="AE162" i="81"/>
  <c r="AD162" i="81"/>
  <c r="AC162" i="81"/>
  <c r="AB162" i="81"/>
  <c r="AA162" i="81"/>
  <c r="Z162" i="81"/>
  <c r="Y162" i="81"/>
  <c r="W162" i="81"/>
  <c r="S162" i="81"/>
  <c r="Q162" i="81"/>
  <c r="N162" i="81"/>
  <c r="M162" i="81"/>
  <c r="L162" i="81"/>
  <c r="BO161" i="81"/>
  <c r="BC161" i="81"/>
  <c r="BA161" i="81"/>
  <c r="AZ161" i="81"/>
  <c r="BB161" i="81" s="1"/>
  <c r="BD161" i="81" s="1"/>
  <c r="AR161" i="81"/>
  <c r="AF161" i="81"/>
  <c r="AE161" i="81"/>
  <c r="AD161" i="81"/>
  <c r="AC161" i="81"/>
  <c r="AB161" i="81"/>
  <c r="AA161" i="81"/>
  <c r="Z161" i="81"/>
  <c r="Y161" i="81"/>
  <c r="W161" i="81"/>
  <c r="S161" i="81"/>
  <c r="Q161" i="81"/>
  <c r="N161" i="81"/>
  <c r="M161" i="81"/>
  <c r="L161" i="81"/>
  <c r="BO160" i="81"/>
  <c r="BR160" i="81" s="1"/>
  <c r="BU160" i="81" s="1"/>
  <c r="BC160" i="81"/>
  <c r="BA160" i="81"/>
  <c r="AZ160" i="81"/>
  <c r="AR160" i="81"/>
  <c r="AF160" i="81"/>
  <c r="AE160" i="81"/>
  <c r="AD160" i="81"/>
  <c r="AC160" i="81"/>
  <c r="AB160" i="81"/>
  <c r="AA160" i="81"/>
  <c r="Z160" i="81"/>
  <c r="Y160" i="81"/>
  <c r="W160" i="81"/>
  <c r="S160" i="81"/>
  <c r="Q160" i="81"/>
  <c r="N160" i="81"/>
  <c r="M160" i="81"/>
  <c r="L160" i="81"/>
  <c r="BO159" i="81"/>
  <c r="BC159" i="81"/>
  <c r="BA159" i="81"/>
  <c r="AZ159" i="81"/>
  <c r="BB159" i="81" s="1"/>
  <c r="BD159" i="81" s="1"/>
  <c r="AR159" i="81"/>
  <c r="AF159" i="81"/>
  <c r="AE159" i="81"/>
  <c r="AD159" i="81"/>
  <c r="AC159" i="81"/>
  <c r="AB159" i="81"/>
  <c r="AA159" i="81"/>
  <c r="Z159" i="81"/>
  <c r="Y159" i="81"/>
  <c r="W159" i="81"/>
  <c r="S159" i="81"/>
  <c r="Q159" i="81"/>
  <c r="N159" i="81"/>
  <c r="M159" i="81"/>
  <c r="L159" i="81"/>
  <c r="BO158" i="81"/>
  <c r="BC158" i="81"/>
  <c r="BA158" i="81"/>
  <c r="AZ158" i="81"/>
  <c r="AR158" i="81"/>
  <c r="AF158" i="81"/>
  <c r="AE158" i="81"/>
  <c r="AD158" i="81"/>
  <c r="AC158" i="81"/>
  <c r="AB158" i="81"/>
  <c r="AA158" i="81"/>
  <c r="Z158" i="81"/>
  <c r="Y158" i="81"/>
  <c r="W158" i="81"/>
  <c r="S158" i="81"/>
  <c r="Q158" i="81"/>
  <c r="N158" i="81"/>
  <c r="M158" i="81"/>
  <c r="L158" i="81"/>
  <c r="BO157" i="81"/>
  <c r="BC157" i="81"/>
  <c r="BA157" i="81"/>
  <c r="AZ157" i="81"/>
  <c r="BB157" i="81" s="1"/>
  <c r="BD157" i="81" s="1"/>
  <c r="AR157" i="81"/>
  <c r="AF157" i="81"/>
  <c r="AE157" i="81"/>
  <c r="AD157" i="81"/>
  <c r="AC157" i="81"/>
  <c r="AB157" i="81"/>
  <c r="AA157" i="81"/>
  <c r="Z157" i="81"/>
  <c r="Y157" i="81"/>
  <c r="W157" i="81"/>
  <c r="S157" i="81"/>
  <c r="Q157" i="81"/>
  <c r="N157" i="81"/>
  <c r="M157" i="81"/>
  <c r="L157" i="81"/>
  <c r="BO156" i="81"/>
  <c r="BR156" i="81" s="1"/>
  <c r="BU156" i="81" s="1"/>
  <c r="BC156" i="81"/>
  <c r="BA156" i="81"/>
  <c r="AZ156" i="81"/>
  <c r="AR156" i="81"/>
  <c r="AF156" i="81"/>
  <c r="AE156" i="81"/>
  <c r="AD156" i="81"/>
  <c r="AC156" i="81"/>
  <c r="AB156" i="81"/>
  <c r="AA156" i="81"/>
  <c r="Z156" i="81"/>
  <c r="Y156" i="81"/>
  <c r="W156" i="81"/>
  <c r="S156" i="81"/>
  <c r="Q156" i="81"/>
  <c r="N156" i="81"/>
  <c r="X156" i="81" s="1"/>
  <c r="M156" i="81"/>
  <c r="L156" i="81"/>
  <c r="BO155" i="81"/>
  <c r="BC155" i="81"/>
  <c r="BA155" i="81"/>
  <c r="AZ155" i="81"/>
  <c r="BB155" i="81" s="1"/>
  <c r="BD155" i="81" s="1"/>
  <c r="AR155" i="81"/>
  <c r="AF155" i="81"/>
  <c r="AE155" i="81"/>
  <c r="AD155" i="81"/>
  <c r="AC155" i="81"/>
  <c r="AB155" i="81"/>
  <c r="AA155" i="81"/>
  <c r="Z155" i="81"/>
  <c r="Y155" i="81"/>
  <c r="W155" i="81"/>
  <c r="S155" i="81"/>
  <c r="Q155" i="81"/>
  <c r="N155" i="81"/>
  <c r="X155" i="81" s="1"/>
  <c r="M155" i="81"/>
  <c r="L155" i="81"/>
  <c r="BO154" i="81"/>
  <c r="BC154" i="81"/>
  <c r="BA154" i="81"/>
  <c r="AZ154" i="81"/>
  <c r="AR154" i="81"/>
  <c r="AF154" i="81"/>
  <c r="AE154" i="81"/>
  <c r="AD154" i="81"/>
  <c r="AC154" i="81"/>
  <c r="AB154" i="81"/>
  <c r="AA154" i="81"/>
  <c r="Z154" i="81"/>
  <c r="Y154" i="81"/>
  <c r="W154" i="81"/>
  <c r="S154" i="81"/>
  <c r="Q154" i="81"/>
  <c r="N154" i="81"/>
  <c r="X154" i="81" s="1"/>
  <c r="M154" i="81"/>
  <c r="L154" i="81"/>
  <c r="BO153" i="81"/>
  <c r="BC153" i="81"/>
  <c r="BA153" i="81"/>
  <c r="AZ153" i="81"/>
  <c r="BB153" i="81" s="1"/>
  <c r="BD153" i="81" s="1"/>
  <c r="AR153" i="81"/>
  <c r="AF153" i="81"/>
  <c r="AE153" i="81"/>
  <c r="AD153" i="81"/>
  <c r="AC153" i="81"/>
  <c r="AB153" i="81"/>
  <c r="AA153" i="81"/>
  <c r="Z153" i="81"/>
  <c r="Y153" i="81"/>
  <c r="W153" i="81"/>
  <c r="S153" i="81"/>
  <c r="Q153" i="81"/>
  <c r="N153" i="81"/>
  <c r="M153" i="81"/>
  <c r="L153" i="81"/>
  <c r="BO152" i="81"/>
  <c r="BC152" i="81"/>
  <c r="BA152" i="81"/>
  <c r="AZ152" i="81"/>
  <c r="AR152" i="81"/>
  <c r="AF152" i="81"/>
  <c r="AE152" i="81"/>
  <c r="AD152" i="81"/>
  <c r="AC152" i="81"/>
  <c r="AB152" i="81"/>
  <c r="AA152" i="81"/>
  <c r="Z152" i="81"/>
  <c r="Y152" i="81"/>
  <c r="W152" i="81"/>
  <c r="S152" i="81"/>
  <c r="Q152" i="81"/>
  <c r="N152" i="81"/>
  <c r="M152" i="81"/>
  <c r="L152" i="81"/>
  <c r="BR152" i="81" s="1"/>
  <c r="BU152" i="81" s="1"/>
  <c r="BO151" i="81"/>
  <c r="BC151" i="81"/>
  <c r="BA151" i="81"/>
  <c r="AZ151" i="81"/>
  <c r="BB151" i="81" s="1"/>
  <c r="BD151" i="81" s="1"/>
  <c r="AR151" i="81"/>
  <c r="AF151" i="81"/>
  <c r="AE151" i="81"/>
  <c r="AD151" i="81"/>
  <c r="AC151" i="81"/>
  <c r="AB151" i="81"/>
  <c r="AA151" i="81"/>
  <c r="Z151" i="81"/>
  <c r="Y151" i="81"/>
  <c r="W151" i="81"/>
  <c r="S151" i="81"/>
  <c r="Q151" i="81"/>
  <c r="N151" i="81"/>
  <c r="M151" i="81"/>
  <c r="L151" i="81"/>
  <c r="BO150" i="81"/>
  <c r="BR150" i="81" s="1"/>
  <c r="BC150" i="81"/>
  <c r="BA150" i="81"/>
  <c r="AZ150" i="81"/>
  <c r="AR150" i="81"/>
  <c r="AF150" i="81"/>
  <c r="AE150" i="81"/>
  <c r="AD150" i="81"/>
  <c r="AC150" i="81"/>
  <c r="AB150" i="81"/>
  <c r="AA150" i="81"/>
  <c r="Z150" i="81"/>
  <c r="Y150" i="81"/>
  <c r="W150" i="81"/>
  <c r="S150" i="81"/>
  <c r="Q150" i="81"/>
  <c r="N150" i="81"/>
  <c r="X150" i="81" s="1"/>
  <c r="M150" i="81"/>
  <c r="L150" i="81"/>
  <c r="BO149" i="81"/>
  <c r="BC149" i="81"/>
  <c r="BA149" i="81"/>
  <c r="AZ149" i="81"/>
  <c r="BB149" i="81" s="1"/>
  <c r="BD149" i="81" s="1"/>
  <c r="AR149" i="81"/>
  <c r="AF149" i="81"/>
  <c r="AE149" i="81"/>
  <c r="AD149" i="81"/>
  <c r="AC149" i="81"/>
  <c r="AB149" i="81"/>
  <c r="AA149" i="81"/>
  <c r="Z149" i="81"/>
  <c r="Y149" i="81"/>
  <c r="W149" i="81"/>
  <c r="S149" i="81"/>
  <c r="Q149" i="81"/>
  <c r="N149" i="81"/>
  <c r="X149" i="81" s="1"/>
  <c r="M149" i="81"/>
  <c r="L149" i="81"/>
  <c r="BO148" i="81"/>
  <c r="BC148" i="81"/>
  <c r="BA148" i="81"/>
  <c r="AZ148" i="81"/>
  <c r="AR148" i="81"/>
  <c r="AF148" i="81"/>
  <c r="AE148" i="81"/>
  <c r="AD148" i="81"/>
  <c r="AC148" i="81"/>
  <c r="AB148" i="81"/>
  <c r="AA148" i="81"/>
  <c r="Z148" i="81"/>
  <c r="Y148" i="81"/>
  <c r="W148" i="81"/>
  <c r="S148" i="81"/>
  <c r="Q148" i="81"/>
  <c r="N148" i="81"/>
  <c r="M148" i="81"/>
  <c r="L148" i="81"/>
  <c r="BO147" i="81"/>
  <c r="BC147" i="81"/>
  <c r="BA147" i="81"/>
  <c r="AZ147" i="81"/>
  <c r="BB147" i="81" s="1"/>
  <c r="BD147" i="81" s="1"/>
  <c r="AR147" i="81"/>
  <c r="AF147" i="81"/>
  <c r="AE147" i="81"/>
  <c r="AD147" i="81"/>
  <c r="AC147" i="81"/>
  <c r="AB147" i="81"/>
  <c r="AA147" i="81"/>
  <c r="Z147" i="81"/>
  <c r="Y147" i="81"/>
  <c r="W147" i="81"/>
  <c r="S147" i="81"/>
  <c r="Q147" i="81"/>
  <c r="N147" i="81"/>
  <c r="M147" i="81"/>
  <c r="L147" i="81"/>
  <c r="BO146" i="81"/>
  <c r="BC146" i="81"/>
  <c r="BA146" i="81"/>
  <c r="AZ146" i="81"/>
  <c r="AR146" i="81"/>
  <c r="AF146" i="81"/>
  <c r="AE146" i="81"/>
  <c r="AD146" i="81"/>
  <c r="AC146" i="81"/>
  <c r="AB146" i="81"/>
  <c r="AA146" i="81"/>
  <c r="Z146" i="81"/>
  <c r="Y146" i="81"/>
  <c r="W146" i="81"/>
  <c r="S146" i="81"/>
  <c r="Q146" i="81"/>
  <c r="N146" i="81"/>
  <c r="X146" i="81" s="1"/>
  <c r="AP146" i="81" s="1"/>
  <c r="AQ146" i="81" s="1"/>
  <c r="M146" i="81"/>
  <c r="L146" i="81"/>
  <c r="BO145" i="81"/>
  <c r="BC145" i="81"/>
  <c r="BA145" i="81"/>
  <c r="AZ145" i="81"/>
  <c r="BB145" i="81" s="1"/>
  <c r="BD145" i="81" s="1"/>
  <c r="AR145" i="81"/>
  <c r="AF145" i="81"/>
  <c r="AE145" i="81"/>
  <c r="AD145" i="81"/>
  <c r="AC145" i="81"/>
  <c r="AB145" i="81"/>
  <c r="AA145" i="81"/>
  <c r="Z145" i="81"/>
  <c r="Y145" i="81"/>
  <c r="W145" i="81"/>
  <c r="S145" i="81"/>
  <c r="Q145" i="81"/>
  <c r="N145" i="81"/>
  <c r="M145" i="81"/>
  <c r="L145" i="81"/>
  <c r="BO144" i="81"/>
  <c r="BR144" i="81" s="1"/>
  <c r="BC144" i="81"/>
  <c r="BA144" i="81"/>
  <c r="AZ144" i="81"/>
  <c r="AR144" i="81"/>
  <c r="AF144" i="81"/>
  <c r="AE144" i="81"/>
  <c r="AD144" i="81"/>
  <c r="AC144" i="81"/>
  <c r="AB144" i="81"/>
  <c r="AA144" i="81"/>
  <c r="Z144" i="81"/>
  <c r="Y144" i="81"/>
  <c r="W144" i="81"/>
  <c r="S144" i="81"/>
  <c r="Q144" i="81"/>
  <c r="N144" i="81"/>
  <c r="M144" i="81"/>
  <c r="L144" i="81"/>
  <c r="BO143" i="81"/>
  <c r="BC143" i="81"/>
  <c r="BA143" i="81"/>
  <c r="AZ143" i="81"/>
  <c r="BB143" i="81" s="1"/>
  <c r="BD143" i="81" s="1"/>
  <c r="BE143" i="81" s="1"/>
  <c r="AR143" i="81"/>
  <c r="AF143" i="81"/>
  <c r="AE143" i="81"/>
  <c r="AD143" i="81"/>
  <c r="AC143" i="81"/>
  <c r="AB143" i="81"/>
  <c r="AA143" i="81"/>
  <c r="Z143" i="81"/>
  <c r="Y143" i="81"/>
  <c r="W143" i="81"/>
  <c r="S143" i="81"/>
  <c r="Q143" i="81"/>
  <c r="N143" i="81"/>
  <c r="M143" i="81"/>
  <c r="L143" i="81"/>
  <c r="BR143" i="81" s="1"/>
  <c r="BO142" i="81"/>
  <c r="BC142" i="81"/>
  <c r="BA142" i="81"/>
  <c r="AZ142" i="81"/>
  <c r="AR142" i="81"/>
  <c r="AF142" i="81"/>
  <c r="AE142" i="81"/>
  <c r="AD142" i="81"/>
  <c r="AC142" i="81"/>
  <c r="AB142" i="81"/>
  <c r="AA142" i="81"/>
  <c r="Z142" i="81"/>
  <c r="Y142" i="81"/>
  <c r="W142" i="81"/>
  <c r="S142" i="81"/>
  <c r="Q142" i="81"/>
  <c r="N142" i="81"/>
  <c r="M142" i="81"/>
  <c r="L142" i="81"/>
  <c r="BO141" i="81"/>
  <c r="BC141" i="81"/>
  <c r="BA141" i="81"/>
  <c r="AZ141" i="81"/>
  <c r="BB141" i="81" s="1"/>
  <c r="BD141" i="81" s="1"/>
  <c r="AR141" i="81"/>
  <c r="AF141" i="81"/>
  <c r="AE141" i="81"/>
  <c r="AD141" i="81"/>
  <c r="AC141" i="81"/>
  <c r="AB141" i="81"/>
  <c r="AA141" i="81"/>
  <c r="Z141" i="81"/>
  <c r="Y141" i="81"/>
  <c r="W141" i="81"/>
  <c r="S141" i="81"/>
  <c r="Q141" i="81"/>
  <c r="N141" i="81"/>
  <c r="M141" i="81"/>
  <c r="L141" i="81"/>
  <c r="BO140" i="81"/>
  <c r="BR140" i="81" s="1"/>
  <c r="BC140" i="81"/>
  <c r="BA140" i="81"/>
  <c r="AZ140" i="81"/>
  <c r="AR140" i="81"/>
  <c r="AF140" i="81"/>
  <c r="AE140" i="81"/>
  <c r="AD140" i="81"/>
  <c r="AC140" i="81"/>
  <c r="AB140" i="81"/>
  <c r="AA140" i="81"/>
  <c r="Z140" i="81"/>
  <c r="Y140" i="81"/>
  <c r="W140" i="81"/>
  <c r="S140" i="81"/>
  <c r="Q140" i="81"/>
  <c r="N140" i="81"/>
  <c r="M140" i="81"/>
  <c r="L140" i="81"/>
  <c r="BO139" i="81"/>
  <c r="BC139" i="81"/>
  <c r="BA139" i="81"/>
  <c r="AZ139" i="81"/>
  <c r="BB139" i="81" s="1"/>
  <c r="BD139" i="81" s="1"/>
  <c r="BE139" i="81" s="1"/>
  <c r="AR139" i="81"/>
  <c r="AF139" i="81"/>
  <c r="AE139" i="81"/>
  <c r="AD139" i="81"/>
  <c r="AC139" i="81"/>
  <c r="AB139" i="81"/>
  <c r="AA139" i="81"/>
  <c r="Z139" i="81"/>
  <c r="Y139" i="81"/>
  <c r="W139" i="81"/>
  <c r="S139" i="81"/>
  <c r="Q139" i="81"/>
  <c r="N139" i="81"/>
  <c r="X139" i="81" s="1"/>
  <c r="M139" i="81"/>
  <c r="L139" i="81"/>
  <c r="BO138" i="81"/>
  <c r="BC138" i="81"/>
  <c r="BA138" i="81"/>
  <c r="AZ138" i="81"/>
  <c r="AR138" i="81"/>
  <c r="AF138" i="81"/>
  <c r="AE138" i="81"/>
  <c r="AD138" i="81"/>
  <c r="AC138" i="81"/>
  <c r="AB138" i="81"/>
  <c r="AA138" i="81"/>
  <c r="Z138" i="81"/>
  <c r="Y138" i="81"/>
  <c r="W138" i="81"/>
  <c r="S138" i="81"/>
  <c r="Q138" i="81"/>
  <c r="N138" i="81"/>
  <c r="M138" i="81"/>
  <c r="L138" i="81"/>
  <c r="BO137" i="81"/>
  <c r="BC137" i="81"/>
  <c r="BA137" i="81"/>
  <c r="AZ137" i="81"/>
  <c r="BB137" i="81" s="1"/>
  <c r="BD137" i="81" s="1"/>
  <c r="AR137" i="81"/>
  <c r="AF137" i="81"/>
  <c r="AE137" i="81"/>
  <c r="AD137" i="81"/>
  <c r="AC137" i="81"/>
  <c r="AB137" i="81"/>
  <c r="AA137" i="81"/>
  <c r="Z137" i="81"/>
  <c r="Y137" i="81"/>
  <c r="W137" i="81"/>
  <c r="S137" i="81"/>
  <c r="Q137" i="81"/>
  <c r="N137" i="81"/>
  <c r="M137" i="81"/>
  <c r="L137" i="81"/>
  <c r="BO136" i="81"/>
  <c r="BR136" i="81" s="1"/>
  <c r="BC136" i="81"/>
  <c r="BA136" i="81"/>
  <c r="AZ136" i="81"/>
  <c r="AR136" i="81"/>
  <c r="AF136" i="81"/>
  <c r="AE136" i="81"/>
  <c r="AD136" i="81"/>
  <c r="AC136" i="81"/>
  <c r="AB136" i="81"/>
  <c r="AA136" i="81"/>
  <c r="Z136" i="81"/>
  <c r="Y136" i="81"/>
  <c r="W136" i="81"/>
  <c r="S136" i="81"/>
  <c r="Q136" i="81"/>
  <c r="N136" i="81"/>
  <c r="M136" i="81"/>
  <c r="L136" i="81"/>
  <c r="BO135" i="81"/>
  <c r="BC135" i="81"/>
  <c r="BA135" i="81"/>
  <c r="AZ135" i="81"/>
  <c r="BB135" i="81" s="1"/>
  <c r="BD135" i="81" s="1"/>
  <c r="BE135" i="81" s="1"/>
  <c r="AR135" i="81"/>
  <c r="AF135" i="81"/>
  <c r="AE135" i="81"/>
  <c r="AD135" i="81"/>
  <c r="AC135" i="81"/>
  <c r="AB135" i="81"/>
  <c r="AA135" i="81"/>
  <c r="Z135" i="81"/>
  <c r="Y135" i="81"/>
  <c r="W135" i="81"/>
  <c r="S135" i="81"/>
  <c r="Q135" i="81"/>
  <c r="N135" i="81"/>
  <c r="X135" i="81" s="1"/>
  <c r="AP135" i="81" s="1"/>
  <c r="AQ135" i="81" s="1"/>
  <c r="M135" i="81"/>
  <c r="L135" i="81"/>
  <c r="BO134" i="81"/>
  <c r="BC134" i="81"/>
  <c r="BA134" i="81"/>
  <c r="AZ134" i="81"/>
  <c r="AF134" i="81"/>
  <c r="AE134" i="81"/>
  <c r="AD134" i="81"/>
  <c r="AC134" i="81"/>
  <c r="AB134" i="81"/>
  <c r="AA134" i="81"/>
  <c r="Z134" i="81"/>
  <c r="Y134" i="81"/>
  <c r="W134" i="81"/>
  <c r="S134" i="81"/>
  <c r="Q134" i="81"/>
  <c r="N134" i="81"/>
  <c r="X134" i="81" s="1"/>
  <c r="AP134" i="81" s="1"/>
  <c r="AQ134" i="81" s="1"/>
  <c r="M134" i="81"/>
  <c r="L134" i="81"/>
  <c r="BO133" i="81"/>
  <c r="BC133" i="81"/>
  <c r="BA133" i="81"/>
  <c r="AZ133" i="81"/>
  <c r="BB133" i="81" s="1"/>
  <c r="BD133" i="81" s="1"/>
  <c r="AR133" i="81"/>
  <c r="AF133" i="81"/>
  <c r="AE133" i="81"/>
  <c r="AD133" i="81"/>
  <c r="AC133" i="81"/>
  <c r="AB133" i="81"/>
  <c r="AA133" i="81"/>
  <c r="Z133" i="81"/>
  <c r="Y133" i="81"/>
  <c r="W133" i="81"/>
  <c r="S133" i="81"/>
  <c r="Q133" i="81"/>
  <c r="N133" i="81"/>
  <c r="M133" i="81"/>
  <c r="L133" i="81"/>
  <c r="BR132" i="81"/>
  <c r="BO132" i="81"/>
  <c r="BC132" i="81"/>
  <c r="BA132" i="81"/>
  <c r="AZ132" i="81"/>
  <c r="AR132" i="81"/>
  <c r="AF132" i="81"/>
  <c r="AE132" i="81"/>
  <c r="AD132" i="81"/>
  <c r="AC132" i="81"/>
  <c r="AB132" i="81"/>
  <c r="AA132" i="81"/>
  <c r="Z132" i="81"/>
  <c r="Y132" i="81"/>
  <c r="W132" i="81"/>
  <c r="S132" i="81"/>
  <c r="Q132" i="81"/>
  <c r="N132" i="81"/>
  <c r="M132" i="81"/>
  <c r="L132" i="81"/>
  <c r="BP131" i="81"/>
  <c r="BO131" i="81"/>
  <c r="BC131" i="81"/>
  <c r="BB131" i="81"/>
  <c r="BD131" i="81" s="1"/>
  <c r="BE131" i="81" s="1"/>
  <c r="BA131" i="81"/>
  <c r="AZ131" i="81"/>
  <c r="AR131" i="81"/>
  <c r="AF131" i="81"/>
  <c r="AE131" i="81"/>
  <c r="AD131" i="81"/>
  <c r="AC131" i="81"/>
  <c r="AB131" i="81"/>
  <c r="AA131" i="81"/>
  <c r="Z131" i="81"/>
  <c r="Y131" i="81"/>
  <c r="W131" i="81"/>
  <c r="S131" i="81"/>
  <c r="Q131" i="81"/>
  <c r="N131" i="81"/>
  <c r="X131" i="81" s="1"/>
  <c r="M131" i="81"/>
  <c r="L131" i="81"/>
  <c r="BR131" i="81" s="1"/>
  <c r="BO130" i="81"/>
  <c r="BC130" i="81"/>
  <c r="BA130" i="81"/>
  <c r="AZ130" i="81"/>
  <c r="AF130" i="81"/>
  <c r="AE130" i="81"/>
  <c r="AD130" i="81"/>
  <c r="AC130" i="81"/>
  <c r="AB130" i="81"/>
  <c r="AA130" i="81"/>
  <c r="Z130" i="81"/>
  <c r="Y130" i="81"/>
  <c r="W130" i="81"/>
  <c r="S130" i="81"/>
  <c r="Q130" i="81"/>
  <c r="N130" i="81"/>
  <c r="M130" i="81"/>
  <c r="L130" i="81"/>
  <c r="BO129" i="81"/>
  <c r="BP129" i="81" s="1"/>
  <c r="BC129" i="81"/>
  <c r="BA129" i="81"/>
  <c r="AZ129" i="81"/>
  <c r="BB129" i="81" s="1"/>
  <c r="BD129" i="81" s="1"/>
  <c r="AR129" i="81"/>
  <c r="AF129" i="81"/>
  <c r="AE129" i="81"/>
  <c r="AD129" i="81"/>
  <c r="AC129" i="81"/>
  <c r="AB129" i="81"/>
  <c r="AA129" i="81"/>
  <c r="Z129" i="81"/>
  <c r="Y129" i="81"/>
  <c r="W129" i="81"/>
  <c r="S129" i="81"/>
  <c r="Q129" i="81"/>
  <c r="N129" i="81"/>
  <c r="M129" i="81"/>
  <c r="L129" i="81"/>
  <c r="BO128" i="81"/>
  <c r="BC128" i="81"/>
  <c r="BA128" i="81"/>
  <c r="AZ128" i="81"/>
  <c r="AR128" i="81"/>
  <c r="AF128" i="81"/>
  <c r="AE128" i="81"/>
  <c r="AD128" i="81"/>
  <c r="AC128" i="81"/>
  <c r="AB128" i="81"/>
  <c r="AA128" i="81"/>
  <c r="Z128" i="81"/>
  <c r="Y128" i="81"/>
  <c r="W128" i="81"/>
  <c r="S128" i="81"/>
  <c r="Q128" i="81"/>
  <c r="N128" i="81"/>
  <c r="X128" i="81" s="1"/>
  <c r="AP128" i="81" s="1"/>
  <c r="AQ128" i="81" s="1"/>
  <c r="M128" i="81"/>
  <c r="L128" i="81"/>
  <c r="BO127" i="81"/>
  <c r="BC127" i="81"/>
  <c r="BA127" i="81"/>
  <c r="AZ127" i="81"/>
  <c r="BB127" i="81" s="1"/>
  <c r="BD127" i="81" s="1"/>
  <c r="BE127" i="81" s="1"/>
  <c r="AR127" i="81"/>
  <c r="AF127" i="81"/>
  <c r="AE127" i="81"/>
  <c r="AD127" i="81"/>
  <c r="AC127" i="81"/>
  <c r="AB127" i="81"/>
  <c r="AA127" i="81"/>
  <c r="Z127" i="81"/>
  <c r="Y127" i="81"/>
  <c r="W127" i="81"/>
  <c r="S127" i="81"/>
  <c r="Q127" i="81"/>
  <c r="N127" i="81"/>
  <c r="X127" i="81" s="1"/>
  <c r="M127" i="81"/>
  <c r="L127" i="81"/>
  <c r="BO126" i="81"/>
  <c r="BC126" i="81"/>
  <c r="BA126" i="81"/>
  <c r="AZ126" i="81"/>
  <c r="AR126" i="81"/>
  <c r="AF126" i="81"/>
  <c r="AE126" i="81"/>
  <c r="AD126" i="81"/>
  <c r="AC126" i="81"/>
  <c r="AB126" i="81"/>
  <c r="AA126" i="81"/>
  <c r="Z126" i="81"/>
  <c r="Y126" i="81"/>
  <c r="W126" i="81"/>
  <c r="S126" i="81"/>
  <c r="Q126" i="81"/>
  <c r="N126" i="81"/>
  <c r="M126" i="81"/>
  <c r="L126" i="81"/>
  <c r="BO125" i="81"/>
  <c r="BC125" i="81"/>
  <c r="BA125" i="81"/>
  <c r="AZ125" i="81"/>
  <c r="BB125" i="81" s="1"/>
  <c r="BD125" i="81" s="1"/>
  <c r="AR125" i="81"/>
  <c r="AF125" i="81"/>
  <c r="AE125" i="81"/>
  <c r="AD125" i="81"/>
  <c r="AC125" i="81"/>
  <c r="AB125" i="81"/>
  <c r="AA125" i="81"/>
  <c r="Z125" i="81"/>
  <c r="Y125" i="81"/>
  <c r="W125" i="81"/>
  <c r="S125" i="81"/>
  <c r="Q125" i="81"/>
  <c r="N125" i="81"/>
  <c r="M125" i="81"/>
  <c r="L125" i="81"/>
  <c r="BO124" i="81"/>
  <c r="BC124" i="81"/>
  <c r="BA124" i="81"/>
  <c r="AZ124" i="81"/>
  <c r="AR124" i="81"/>
  <c r="AF124" i="81"/>
  <c r="AE124" i="81"/>
  <c r="AD124" i="81"/>
  <c r="AC124" i="81"/>
  <c r="AB124" i="81"/>
  <c r="AA124" i="81"/>
  <c r="Z124" i="81"/>
  <c r="Y124" i="81"/>
  <c r="W124" i="81"/>
  <c r="S124" i="81"/>
  <c r="Q124" i="81"/>
  <c r="N124" i="81"/>
  <c r="M124" i="81"/>
  <c r="L124" i="81"/>
  <c r="BO123" i="81"/>
  <c r="BR123" i="81" s="1"/>
  <c r="BC123" i="81"/>
  <c r="BA123" i="81"/>
  <c r="AZ123" i="81"/>
  <c r="BB123" i="81" s="1"/>
  <c r="BD123" i="81" s="1"/>
  <c r="BE123" i="81" s="1"/>
  <c r="AR123" i="81"/>
  <c r="AF123" i="81"/>
  <c r="AE123" i="81"/>
  <c r="AD123" i="81"/>
  <c r="AC123" i="81"/>
  <c r="AB123" i="81"/>
  <c r="AA123" i="81"/>
  <c r="Z123" i="81"/>
  <c r="Y123" i="81"/>
  <c r="W123" i="81"/>
  <c r="S123" i="81"/>
  <c r="Q123" i="81"/>
  <c r="N123" i="81"/>
  <c r="M123" i="81"/>
  <c r="L123" i="81"/>
  <c r="BO122" i="81"/>
  <c r="BC122" i="81"/>
  <c r="BA122" i="81"/>
  <c r="AZ122" i="81"/>
  <c r="AF122" i="81"/>
  <c r="AE122" i="81"/>
  <c r="AD122" i="81"/>
  <c r="AC122" i="81"/>
  <c r="AB122" i="81"/>
  <c r="AA122" i="81"/>
  <c r="Z122" i="81"/>
  <c r="Y122" i="81"/>
  <c r="W122" i="81"/>
  <c r="S122" i="81"/>
  <c r="Q122" i="81"/>
  <c r="N122" i="81"/>
  <c r="M122" i="81"/>
  <c r="L122" i="81"/>
  <c r="BO121" i="81"/>
  <c r="BD121" i="81"/>
  <c r="BC121" i="81"/>
  <c r="BA121" i="81"/>
  <c r="AZ121" i="81"/>
  <c r="BB121" i="81" s="1"/>
  <c r="AR121" i="81"/>
  <c r="AF121" i="81"/>
  <c r="AE121" i="81"/>
  <c r="AD121" i="81"/>
  <c r="AC121" i="81"/>
  <c r="AB121" i="81"/>
  <c r="AA121" i="81"/>
  <c r="Z121" i="81"/>
  <c r="Y121" i="81"/>
  <c r="W121" i="81"/>
  <c r="S121" i="81"/>
  <c r="Q121" i="81"/>
  <c r="N121" i="81"/>
  <c r="X121" i="81" s="1"/>
  <c r="AP121" i="81" s="1"/>
  <c r="AQ121" i="81" s="1"/>
  <c r="M121" i="81"/>
  <c r="L121" i="81"/>
  <c r="BO120" i="81"/>
  <c r="BC120" i="81"/>
  <c r="BA120" i="81"/>
  <c r="AZ120" i="81"/>
  <c r="AR120" i="81"/>
  <c r="AF120" i="81"/>
  <c r="AE120" i="81"/>
  <c r="AD120" i="81"/>
  <c r="AC120" i="81"/>
  <c r="AB120" i="81"/>
  <c r="AA120" i="81"/>
  <c r="Z120" i="81"/>
  <c r="Y120" i="81"/>
  <c r="W120" i="81"/>
  <c r="S120" i="81"/>
  <c r="Q120" i="81"/>
  <c r="N120" i="81"/>
  <c r="X120" i="81" s="1"/>
  <c r="M120" i="81"/>
  <c r="L120" i="81"/>
  <c r="BO119" i="81"/>
  <c r="BC119" i="81"/>
  <c r="BB119" i="81"/>
  <c r="BD119" i="81" s="1"/>
  <c r="BE119" i="81" s="1"/>
  <c r="BA119" i="81"/>
  <c r="AZ119" i="81"/>
  <c r="AR119" i="81"/>
  <c r="AF119" i="81"/>
  <c r="AE119" i="81"/>
  <c r="AD119" i="81"/>
  <c r="AC119" i="81"/>
  <c r="AB119" i="81"/>
  <c r="AA119" i="81"/>
  <c r="Z119" i="81"/>
  <c r="Y119" i="81"/>
  <c r="W119" i="81"/>
  <c r="S119" i="81"/>
  <c r="Q119" i="81"/>
  <c r="N119" i="81"/>
  <c r="X119" i="81" s="1"/>
  <c r="M119" i="81"/>
  <c r="L119" i="81"/>
  <c r="BO118" i="81"/>
  <c r="BC118" i="81"/>
  <c r="BA118" i="81"/>
  <c r="AZ118" i="81"/>
  <c r="AR118" i="81"/>
  <c r="AF118" i="81"/>
  <c r="AE118" i="81"/>
  <c r="AD118" i="81"/>
  <c r="AC118" i="81"/>
  <c r="AB118" i="81"/>
  <c r="AA118" i="81"/>
  <c r="Z118" i="81"/>
  <c r="Y118" i="81"/>
  <c r="W118" i="81"/>
  <c r="S118" i="81"/>
  <c r="Q118" i="81"/>
  <c r="N118" i="81"/>
  <c r="M118" i="81"/>
  <c r="L118" i="81"/>
  <c r="BO117" i="81"/>
  <c r="BD117" i="81"/>
  <c r="BC117" i="81"/>
  <c r="BA117" i="81"/>
  <c r="AZ117" i="81"/>
  <c r="BB117" i="81" s="1"/>
  <c r="AR117" i="81"/>
  <c r="AF117" i="81"/>
  <c r="AE117" i="81"/>
  <c r="AD117" i="81"/>
  <c r="AC117" i="81"/>
  <c r="AB117" i="81"/>
  <c r="AA117" i="81"/>
  <c r="Z117" i="81"/>
  <c r="Y117" i="81"/>
  <c r="W117" i="81"/>
  <c r="S117" i="81"/>
  <c r="Q117" i="81"/>
  <c r="N117" i="81"/>
  <c r="X117" i="81" s="1"/>
  <c r="M117" i="81"/>
  <c r="L117" i="81"/>
  <c r="BO116" i="81"/>
  <c r="BC116" i="81"/>
  <c r="BA116" i="81"/>
  <c r="AZ116" i="81"/>
  <c r="AR116" i="81"/>
  <c r="AF116" i="81"/>
  <c r="AE116" i="81"/>
  <c r="AD116" i="81"/>
  <c r="AC116" i="81"/>
  <c r="AB116" i="81"/>
  <c r="AA116" i="81"/>
  <c r="Z116" i="81"/>
  <c r="Y116" i="81"/>
  <c r="W116" i="81"/>
  <c r="S116" i="81"/>
  <c r="Q116" i="81"/>
  <c r="N116" i="81"/>
  <c r="X116" i="81" s="1"/>
  <c r="M116" i="81"/>
  <c r="L116" i="81"/>
  <c r="BO115" i="81"/>
  <c r="BC115" i="81"/>
  <c r="BB115" i="81"/>
  <c r="BD115" i="81" s="1"/>
  <c r="BE115" i="81" s="1"/>
  <c r="BA115" i="81"/>
  <c r="AZ115" i="81"/>
  <c r="AR115" i="81"/>
  <c r="AF115" i="81"/>
  <c r="AE115" i="81"/>
  <c r="AD115" i="81"/>
  <c r="AC115" i="81"/>
  <c r="AB115" i="81"/>
  <c r="AA115" i="81"/>
  <c r="Z115" i="81"/>
  <c r="Y115" i="81"/>
  <c r="W115" i="81"/>
  <c r="S115" i="81"/>
  <c r="Q115" i="81"/>
  <c r="N115" i="81"/>
  <c r="X115" i="81" s="1"/>
  <c r="M115" i="81"/>
  <c r="L115" i="81"/>
  <c r="BO114" i="81"/>
  <c r="BC114" i="81"/>
  <c r="BA114" i="81"/>
  <c r="AZ114" i="81"/>
  <c r="AR114" i="81"/>
  <c r="AF114" i="81"/>
  <c r="AE114" i="81"/>
  <c r="AD114" i="81"/>
  <c r="AC114" i="81"/>
  <c r="AB114" i="81"/>
  <c r="AA114" i="81"/>
  <c r="Z114" i="81"/>
  <c r="Y114" i="81"/>
  <c r="W114" i="81"/>
  <c r="S114" i="81"/>
  <c r="Q114" i="81"/>
  <c r="N114" i="81"/>
  <c r="M114" i="81"/>
  <c r="L114" i="81"/>
  <c r="BO113" i="81"/>
  <c r="BC113" i="81"/>
  <c r="BA113" i="81"/>
  <c r="AZ113" i="81"/>
  <c r="BB113" i="81" s="1"/>
  <c r="BD113" i="81" s="1"/>
  <c r="AR113" i="81"/>
  <c r="AF113" i="81"/>
  <c r="AE113" i="81"/>
  <c r="AD113" i="81"/>
  <c r="AC113" i="81"/>
  <c r="AB113" i="81"/>
  <c r="AA113" i="81"/>
  <c r="Z113" i="81"/>
  <c r="Y113" i="81"/>
  <c r="W113" i="81"/>
  <c r="S113" i="81"/>
  <c r="Q113" i="81"/>
  <c r="N113" i="81"/>
  <c r="X113" i="81" s="1"/>
  <c r="M113" i="81"/>
  <c r="L113" i="81"/>
  <c r="BO112" i="81"/>
  <c r="BR112" i="81" s="1"/>
  <c r="BC112" i="81"/>
  <c r="BA112" i="81"/>
  <c r="AZ112" i="81"/>
  <c r="AR112" i="81"/>
  <c r="AF112" i="81"/>
  <c r="AE112" i="81"/>
  <c r="AD112" i="81"/>
  <c r="AC112" i="81"/>
  <c r="AB112" i="81"/>
  <c r="AA112" i="81"/>
  <c r="Z112" i="81"/>
  <c r="Y112" i="81"/>
  <c r="W112" i="81"/>
  <c r="S112" i="81"/>
  <c r="Q112" i="81"/>
  <c r="N112" i="81"/>
  <c r="M112" i="81"/>
  <c r="L112" i="81"/>
  <c r="BO111" i="81"/>
  <c r="BR111" i="81" s="1"/>
  <c r="BC111" i="81"/>
  <c r="BB111" i="81"/>
  <c r="BD111" i="81" s="1"/>
  <c r="BE111" i="81" s="1"/>
  <c r="BA111" i="81"/>
  <c r="AZ111" i="81"/>
  <c r="AR111" i="81"/>
  <c r="AF111" i="81"/>
  <c r="AE111" i="81"/>
  <c r="AD111" i="81"/>
  <c r="AC111" i="81"/>
  <c r="AB111" i="81"/>
  <c r="AA111" i="81"/>
  <c r="Z111" i="81"/>
  <c r="Y111" i="81"/>
  <c r="W111" i="81"/>
  <c r="S111" i="81"/>
  <c r="Q111" i="81"/>
  <c r="N111" i="81"/>
  <c r="X111" i="81" s="1"/>
  <c r="M111" i="81"/>
  <c r="L111" i="81"/>
  <c r="BO110" i="81"/>
  <c r="BC110" i="81"/>
  <c r="BA110" i="81"/>
  <c r="BB110" i="81" s="1"/>
  <c r="BD110" i="81" s="1"/>
  <c r="BE110" i="81" s="1"/>
  <c r="AZ110" i="81"/>
  <c r="AF110" i="81"/>
  <c r="AE110" i="81"/>
  <c r="AD110" i="81"/>
  <c r="AC110" i="81"/>
  <c r="AB110" i="81"/>
  <c r="AA110" i="81"/>
  <c r="Z110" i="81"/>
  <c r="Y110" i="81"/>
  <c r="W110" i="81"/>
  <c r="S110" i="81"/>
  <c r="Q110" i="81"/>
  <c r="N110" i="81"/>
  <c r="M110" i="81"/>
  <c r="L110" i="81"/>
  <c r="BO109" i="81"/>
  <c r="BC109" i="81"/>
  <c r="BA109" i="81"/>
  <c r="AZ109" i="81"/>
  <c r="BB109" i="81" s="1"/>
  <c r="BD109" i="81" s="1"/>
  <c r="AR109" i="81"/>
  <c r="AF109" i="81"/>
  <c r="AE109" i="81"/>
  <c r="AD109" i="81"/>
  <c r="AC109" i="81"/>
  <c r="AB109" i="81"/>
  <c r="AA109" i="81"/>
  <c r="Z109" i="81"/>
  <c r="Y109" i="81"/>
  <c r="W109" i="81"/>
  <c r="S109" i="81"/>
  <c r="Q109" i="81"/>
  <c r="N109" i="81"/>
  <c r="X109" i="81" s="1"/>
  <c r="M109" i="81"/>
  <c r="L109" i="81"/>
  <c r="BO108" i="81"/>
  <c r="BR108" i="81" s="1"/>
  <c r="BC108" i="81"/>
  <c r="BA108" i="81"/>
  <c r="AZ108" i="81"/>
  <c r="AR108" i="81"/>
  <c r="AF108" i="81"/>
  <c r="AE108" i="81"/>
  <c r="AD108" i="81"/>
  <c r="AC108" i="81"/>
  <c r="AB108" i="81"/>
  <c r="AA108" i="81"/>
  <c r="Z108" i="81"/>
  <c r="Y108" i="81"/>
  <c r="W108" i="81"/>
  <c r="S108" i="81"/>
  <c r="Q108" i="81"/>
  <c r="N108" i="81"/>
  <c r="M108" i="81"/>
  <c r="L108" i="81"/>
  <c r="BO107" i="81"/>
  <c r="BC107" i="81"/>
  <c r="BA107" i="81"/>
  <c r="AZ107" i="81"/>
  <c r="BB107" i="81" s="1"/>
  <c r="BD107" i="81" s="1"/>
  <c r="AR107" i="81"/>
  <c r="AF107" i="81"/>
  <c r="AE107" i="81"/>
  <c r="AD107" i="81"/>
  <c r="AC107" i="81"/>
  <c r="AB107" i="81"/>
  <c r="AA107" i="81"/>
  <c r="Z107" i="81"/>
  <c r="Y107" i="81"/>
  <c r="W107" i="81"/>
  <c r="S107" i="81"/>
  <c r="Q107" i="81"/>
  <c r="N107" i="81"/>
  <c r="M107" i="81"/>
  <c r="L107" i="81"/>
  <c r="BO106" i="81"/>
  <c r="BR106" i="81" s="1"/>
  <c r="BC106" i="81"/>
  <c r="BA106" i="81"/>
  <c r="BB106" i="81" s="1"/>
  <c r="BD106" i="81" s="1"/>
  <c r="BE106" i="81" s="1"/>
  <c r="AZ106" i="81"/>
  <c r="AF106" i="81"/>
  <c r="AE106" i="81"/>
  <c r="AD106" i="81"/>
  <c r="AC106" i="81"/>
  <c r="AB106" i="81"/>
  <c r="AA106" i="81"/>
  <c r="Z106" i="81"/>
  <c r="Y106" i="81"/>
  <c r="W106" i="81"/>
  <c r="S106" i="81"/>
  <c r="Q106" i="81"/>
  <c r="N106" i="81"/>
  <c r="M106" i="81"/>
  <c r="L106" i="81"/>
  <c r="BO105" i="81"/>
  <c r="BC105" i="81"/>
  <c r="BA105" i="81"/>
  <c r="AZ105" i="81"/>
  <c r="BB105" i="81" s="1"/>
  <c r="BD105" i="81" s="1"/>
  <c r="AR105" i="81"/>
  <c r="AF105" i="81"/>
  <c r="AE105" i="81"/>
  <c r="AD105" i="81"/>
  <c r="AC105" i="81"/>
  <c r="AB105" i="81"/>
  <c r="AA105" i="81"/>
  <c r="Z105" i="81"/>
  <c r="Y105" i="81"/>
  <c r="W105" i="81"/>
  <c r="S105" i="81"/>
  <c r="Q105" i="81"/>
  <c r="N105" i="81"/>
  <c r="X105" i="81" s="1"/>
  <c r="M105" i="81"/>
  <c r="L105" i="81"/>
  <c r="BO104" i="81"/>
  <c r="BR104" i="81" s="1"/>
  <c r="BC104" i="81"/>
  <c r="BA104" i="81"/>
  <c r="AZ104" i="81"/>
  <c r="AR104" i="81"/>
  <c r="AF104" i="81"/>
  <c r="AE104" i="81"/>
  <c r="AD104" i="81"/>
  <c r="AC104" i="81"/>
  <c r="AB104" i="81"/>
  <c r="AA104" i="81"/>
  <c r="Z104" i="81"/>
  <c r="Y104" i="81"/>
  <c r="W104" i="81"/>
  <c r="S104" i="81"/>
  <c r="Q104" i="81"/>
  <c r="N104" i="81"/>
  <c r="X104" i="81" s="1"/>
  <c r="M104" i="81"/>
  <c r="L104" i="81"/>
  <c r="BO103" i="81"/>
  <c r="BR103" i="81" s="1"/>
  <c r="BC103" i="81"/>
  <c r="BB103" i="81"/>
  <c r="BD103" i="81" s="1"/>
  <c r="BA103" i="81"/>
  <c r="AZ103" i="81"/>
  <c r="AR103" i="81"/>
  <c r="AF103" i="81"/>
  <c r="AE103" i="81"/>
  <c r="AD103" i="81"/>
  <c r="AC103" i="81"/>
  <c r="AB103" i="81"/>
  <c r="AA103" i="81"/>
  <c r="Z103" i="81"/>
  <c r="Y103" i="81"/>
  <c r="W103" i="81"/>
  <c r="S103" i="81"/>
  <c r="Q103" i="81"/>
  <c r="N103" i="81"/>
  <c r="X103" i="81" s="1"/>
  <c r="M103" i="81"/>
  <c r="L103" i="81"/>
  <c r="BO102" i="81"/>
  <c r="BC102" i="81"/>
  <c r="BA102" i="81"/>
  <c r="BB102" i="81" s="1"/>
  <c r="BD102" i="81" s="1"/>
  <c r="BE102" i="81" s="1"/>
  <c r="AZ102" i="81"/>
  <c r="AR102" i="81"/>
  <c r="AF102" i="81"/>
  <c r="AE102" i="81"/>
  <c r="AD102" i="81"/>
  <c r="AC102" i="81"/>
  <c r="AB102" i="81"/>
  <c r="AA102" i="81"/>
  <c r="Z102" i="81"/>
  <c r="Y102" i="81"/>
  <c r="W102" i="81"/>
  <c r="S102" i="81"/>
  <c r="Q102" i="81"/>
  <c r="N102" i="81"/>
  <c r="M102" i="81"/>
  <c r="L102" i="81"/>
  <c r="BO101" i="81"/>
  <c r="BC101" i="81"/>
  <c r="BA101" i="81"/>
  <c r="AZ101" i="81"/>
  <c r="BB101" i="81" s="1"/>
  <c r="BD101" i="81" s="1"/>
  <c r="AR101" i="81"/>
  <c r="AF101" i="81"/>
  <c r="AE101" i="81"/>
  <c r="AD101" i="81"/>
  <c r="AC101" i="81"/>
  <c r="AB101" i="81"/>
  <c r="AA101" i="81"/>
  <c r="Z101" i="81"/>
  <c r="Y101" i="81"/>
  <c r="W101" i="81"/>
  <c r="S101" i="81"/>
  <c r="Q101" i="81"/>
  <c r="N101" i="81"/>
  <c r="M101" i="81"/>
  <c r="L101" i="81"/>
  <c r="BR101" i="81" s="1"/>
  <c r="BO100" i="81"/>
  <c r="BC100" i="81"/>
  <c r="BA100" i="81"/>
  <c r="AZ100" i="81"/>
  <c r="AR100" i="81"/>
  <c r="AF100" i="81"/>
  <c r="AE100" i="81"/>
  <c r="AD100" i="81"/>
  <c r="AC100" i="81"/>
  <c r="AB100" i="81"/>
  <c r="AA100" i="81"/>
  <c r="Z100" i="81"/>
  <c r="Y100" i="81"/>
  <c r="W100" i="81"/>
  <c r="S100" i="81"/>
  <c r="Q100" i="81"/>
  <c r="N100" i="81"/>
  <c r="M100" i="81"/>
  <c r="L100" i="81"/>
  <c r="BO99" i="81"/>
  <c r="BC99" i="81"/>
  <c r="BA99" i="81"/>
  <c r="AZ99" i="81"/>
  <c r="BB99" i="81" s="1"/>
  <c r="BD99" i="81" s="1"/>
  <c r="AR99" i="81"/>
  <c r="AF99" i="81"/>
  <c r="AE99" i="81"/>
  <c r="AD99" i="81"/>
  <c r="AC99" i="81"/>
  <c r="AB99" i="81"/>
  <c r="AA99" i="81"/>
  <c r="Z99" i="81"/>
  <c r="Y99" i="81"/>
  <c r="W99" i="81"/>
  <c r="S99" i="81"/>
  <c r="Q99" i="81"/>
  <c r="N99" i="81"/>
  <c r="M99" i="81"/>
  <c r="L99" i="81"/>
  <c r="BO98" i="81"/>
  <c r="BC98" i="81"/>
  <c r="BA98" i="81"/>
  <c r="AZ98" i="81"/>
  <c r="AR98" i="81"/>
  <c r="AF98" i="81"/>
  <c r="AE98" i="81"/>
  <c r="AD98" i="81"/>
  <c r="AC98" i="81"/>
  <c r="AB98" i="81"/>
  <c r="AA98" i="81"/>
  <c r="Z98" i="81"/>
  <c r="Y98" i="81"/>
  <c r="W98" i="81"/>
  <c r="S98" i="81"/>
  <c r="Q98" i="81"/>
  <c r="N98" i="81"/>
  <c r="X98" i="81" s="1"/>
  <c r="M98" i="81"/>
  <c r="L98" i="81"/>
  <c r="BO97" i="81"/>
  <c r="BC97" i="81"/>
  <c r="BA97" i="81"/>
  <c r="AZ97" i="81"/>
  <c r="BB97" i="81" s="1"/>
  <c r="BD97" i="81" s="1"/>
  <c r="AR97" i="81"/>
  <c r="AF97" i="81"/>
  <c r="AE97" i="81"/>
  <c r="AD97" i="81"/>
  <c r="AC97" i="81"/>
  <c r="AB97" i="81"/>
  <c r="AA97" i="81"/>
  <c r="Z97" i="81"/>
  <c r="Y97" i="81"/>
  <c r="W97" i="81"/>
  <c r="S97" i="81"/>
  <c r="Q97" i="81"/>
  <c r="N97" i="81"/>
  <c r="M97" i="81"/>
  <c r="L97" i="81"/>
  <c r="BO96" i="81"/>
  <c r="BR96" i="81" s="1"/>
  <c r="BC96" i="81"/>
  <c r="BA96" i="81"/>
  <c r="AZ96" i="81"/>
  <c r="AR96" i="81"/>
  <c r="AF96" i="81"/>
  <c r="AE96" i="81"/>
  <c r="AD96" i="81"/>
  <c r="AC96" i="81"/>
  <c r="AB96" i="81"/>
  <c r="AA96" i="81"/>
  <c r="Z96" i="81"/>
  <c r="Y96" i="81"/>
  <c r="W96" i="81"/>
  <c r="S96" i="81"/>
  <c r="Q96" i="81"/>
  <c r="N96" i="81"/>
  <c r="X96" i="81" s="1"/>
  <c r="M96" i="81"/>
  <c r="L96" i="81"/>
  <c r="BO95" i="81"/>
  <c r="BR95" i="81" s="1"/>
  <c r="BC95" i="81"/>
  <c r="BA95" i="81"/>
  <c r="AZ95" i="81"/>
  <c r="BB95" i="81" s="1"/>
  <c r="BD95" i="81" s="1"/>
  <c r="AR95" i="81"/>
  <c r="AF95" i="81"/>
  <c r="AE95" i="81"/>
  <c r="AD95" i="81"/>
  <c r="AC95" i="81"/>
  <c r="AB95" i="81"/>
  <c r="AA95" i="81"/>
  <c r="Z95" i="81"/>
  <c r="Y95" i="81"/>
  <c r="W95" i="81"/>
  <c r="S95" i="81"/>
  <c r="Q95" i="81"/>
  <c r="N95" i="81"/>
  <c r="M95" i="81"/>
  <c r="L95" i="81"/>
  <c r="BO94" i="81"/>
  <c r="BC94" i="81"/>
  <c r="BA94" i="81"/>
  <c r="AZ94" i="81"/>
  <c r="AR94" i="81"/>
  <c r="AF94" i="81"/>
  <c r="AE94" i="81"/>
  <c r="AD94" i="81"/>
  <c r="AC94" i="81"/>
  <c r="AB94" i="81"/>
  <c r="AA94" i="81"/>
  <c r="Z94" i="81"/>
  <c r="Y94" i="81"/>
  <c r="W94" i="81"/>
  <c r="S94" i="81"/>
  <c r="Q94" i="81"/>
  <c r="N94" i="81"/>
  <c r="M94" i="81"/>
  <c r="L94" i="81"/>
  <c r="BO93" i="81"/>
  <c r="BC93" i="81"/>
  <c r="BA93" i="81"/>
  <c r="AZ93" i="81"/>
  <c r="BB93" i="81" s="1"/>
  <c r="BD93" i="81" s="1"/>
  <c r="AR93" i="81"/>
  <c r="AF93" i="81"/>
  <c r="AE93" i="81"/>
  <c r="AD93" i="81"/>
  <c r="AC93" i="81"/>
  <c r="AB93" i="81"/>
  <c r="AA93" i="81"/>
  <c r="Z93" i="81"/>
  <c r="Y93" i="81"/>
  <c r="W93" i="81"/>
  <c r="S93" i="81"/>
  <c r="Q93" i="81"/>
  <c r="N93" i="81"/>
  <c r="M93" i="81"/>
  <c r="L93" i="81"/>
  <c r="BO92" i="81"/>
  <c r="BR92" i="81" s="1"/>
  <c r="BC92" i="81"/>
  <c r="BA92" i="81"/>
  <c r="AZ92" i="81"/>
  <c r="AR92" i="81"/>
  <c r="AF92" i="81"/>
  <c r="AE92" i="81"/>
  <c r="AD92" i="81"/>
  <c r="AC92" i="81"/>
  <c r="AB92" i="81"/>
  <c r="AA92" i="81"/>
  <c r="Z92" i="81"/>
  <c r="Y92" i="81"/>
  <c r="W92" i="81"/>
  <c r="S92" i="81"/>
  <c r="Q92" i="81"/>
  <c r="N92" i="81"/>
  <c r="X92" i="81" s="1"/>
  <c r="M92" i="81"/>
  <c r="L92" i="81"/>
  <c r="BO91" i="81"/>
  <c r="BC91" i="81"/>
  <c r="BA91" i="81"/>
  <c r="AZ91" i="81"/>
  <c r="BB91" i="81" s="1"/>
  <c r="BD91" i="81" s="1"/>
  <c r="AR91" i="81"/>
  <c r="AF91" i="81"/>
  <c r="AE91" i="81"/>
  <c r="AD91" i="81"/>
  <c r="AC91" i="81"/>
  <c r="AB91" i="81"/>
  <c r="AA91" i="81"/>
  <c r="Z91" i="81"/>
  <c r="Y91" i="81"/>
  <c r="W91" i="81"/>
  <c r="S91" i="81"/>
  <c r="Q91" i="81"/>
  <c r="N91" i="81"/>
  <c r="X91" i="81" s="1"/>
  <c r="M91" i="81"/>
  <c r="L91" i="81"/>
  <c r="BO90" i="81"/>
  <c r="BC90" i="81"/>
  <c r="BA90" i="81"/>
  <c r="AZ90" i="81"/>
  <c r="AR90" i="81"/>
  <c r="AF90" i="81"/>
  <c r="AE90" i="81"/>
  <c r="AD90" i="81"/>
  <c r="AC90" i="81"/>
  <c r="AB90" i="81"/>
  <c r="AA90" i="81"/>
  <c r="Z90" i="81"/>
  <c r="Y90" i="81"/>
  <c r="W90" i="81"/>
  <c r="S90" i="81"/>
  <c r="Q90" i="81"/>
  <c r="N90" i="81"/>
  <c r="X90" i="81" s="1"/>
  <c r="M90" i="81"/>
  <c r="L90" i="81"/>
  <c r="BO89" i="81"/>
  <c r="BC89" i="81"/>
  <c r="BA89" i="81"/>
  <c r="AZ89" i="81"/>
  <c r="BB89" i="81" s="1"/>
  <c r="BD89" i="81" s="1"/>
  <c r="AR89" i="81"/>
  <c r="AF89" i="81"/>
  <c r="AE89" i="81"/>
  <c r="AD89" i="81"/>
  <c r="AC89" i="81"/>
  <c r="AB89" i="81"/>
  <c r="AA89" i="81"/>
  <c r="Z89" i="81"/>
  <c r="Y89" i="81"/>
  <c r="W89" i="81"/>
  <c r="S89" i="81"/>
  <c r="Q89" i="81"/>
  <c r="N89" i="81"/>
  <c r="M89" i="81"/>
  <c r="L89" i="81"/>
  <c r="BR89" i="81" s="1"/>
  <c r="BO88" i="81"/>
  <c r="BC88" i="81"/>
  <c r="BA88" i="81"/>
  <c r="AZ88" i="81"/>
  <c r="AR88" i="81"/>
  <c r="AF88" i="81"/>
  <c r="AE88" i="81"/>
  <c r="AD88" i="81"/>
  <c r="AC88" i="81"/>
  <c r="AB88" i="81"/>
  <c r="AA88" i="81"/>
  <c r="Z88" i="81"/>
  <c r="Y88" i="81"/>
  <c r="W88" i="81"/>
  <c r="S88" i="81"/>
  <c r="Q88" i="81"/>
  <c r="N88" i="81"/>
  <c r="X88" i="81" s="1"/>
  <c r="M88" i="81"/>
  <c r="L88" i="81"/>
  <c r="BO87" i="81"/>
  <c r="BR87" i="81" s="1"/>
  <c r="BC87" i="81"/>
  <c r="BA87" i="81"/>
  <c r="AZ87" i="81"/>
  <c r="BB87" i="81" s="1"/>
  <c r="BD87" i="81" s="1"/>
  <c r="AR87" i="81"/>
  <c r="AF87" i="81"/>
  <c r="AE87" i="81"/>
  <c r="AD87" i="81"/>
  <c r="AC87" i="81"/>
  <c r="AB87" i="81"/>
  <c r="AA87" i="81"/>
  <c r="Z87" i="81"/>
  <c r="Y87" i="81"/>
  <c r="W87" i="81"/>
  <c r="S87" i="81"/>
  <c r="Q87" i="81"/>
  <c r="N87" i="81"/>
  <c r="X87" i="81" s="1"/>
  <c r="AP87" i="81" s="1"/>
  <c r="AQ87" i="81" s="1"/>
  <c r="M87" i="81"/>
  <c r="L87" i="81"/>
  <c r="BO86" i="81"/>
  <c r="BC86" i="81"/>
  <c r="BA86" i="81"/>
  <c r="AZ86" i="81"/>
  <c r="AR86" i="81"/>
  <c r="AF86" i="81"/>
  <c r="AE86" i="81"/>
  <c r="AD86" i="81"/>
  <c r="AC86" i="81"/>
  <c r="AB86" i="81"/>
  <c r="AA86" i="81"/>
  <c r="Z86" i="81"/>
  <c r="Y86" i="81"/>
  <c r="W86" i="81"/>
  <c r="S86" i="81"/>
  <c r="Q86" i="81"/>
  <c r="N86" i="81"/>
  <c r="X86" i="81" s="1"/>
  <c r="M86" i="81"/>
  <c r="L86" i="81"/>
  <c r="BO85" i="81"/>
  <c r="BC85" i="81"/>
  <c r="BA85" i="81"/>
  <c r="AZ85" i="81"/>
  <c r="BB85" i="81" s="1"/>
  <c r="BD85" i="81" s="1"/>
  <c r="AR85" i="81"/>
  <c r="AF85" i="81"/>
  <c r="AE85" i="81"/>
  <c r="AD85" i="81"/>
  <c r="AC85" i="81"/>
  <c r="AB85" i="81"/>
  <c r="AA85" i="81"/>
  <c r="Z85" i="81"/>
  <c r="Y85" i="81"/>
  <c r="W85" i="81"/>
  <c r="S85" i="81"/>
  <c r="Q85" i="81"/>
  <c r="N85" i="81"/>
  <c r="M85" i="81"/>
  <c r="L85" i="81"/>
  <c r="BR85" i="81" s="1"/>
  <c r="BO84" i="81"/>
  <c r="BC84" i="81"/>
  <c r="BA84" i="81"/>
  <c r="AZ84" i="81"/>
  <c r="AR84" i="81"/>
  <c r="AF84" i="81"/>
  <c r="AE84" i="81"/>
  <c r="AD84" i="81"/>
  <c r="AC84" i="81"/>
  <c r="AB84" i="81"/>
  <c r="AA84" i="81"/>
  <c r="Z84" i="81"/>
  <c r="Y84" i="81"/>
  <c r="W84" i="81"/>
  <c r="S84" i="81"/>
  <c r="Q84" i="81"/>
  <c r="N84" i="81"/>
  <c r="M84" i="81"/>
  <c r="L84" i="81"/>
  <c r="BR84" i="81" s="1"/>
  <c r="BO83" i="81"/>
  <c r="BC83" i="81"/>
  <c r="BA83" i="81"/>
  <c r="AZ83" i="81"/>
  <c r="BB83" i="81" s="1"/>
  <c r="BD83" i="81" s="1"/>
  <c r="AR83" i="81"/>
  <c r="AF83" i="81"/>
  <c r="AE83" i="81"/>
  <c r="AD83" i="81"/>
  <c r="AC83" i="81"/>
  <c r="AB83" i="81"/>
  <c r="AA83" i="81"/>
  <c r="Z83" i="81"/>
  <c r="Y83" i="81"/>
  <c r="W83" i="81"/>
  <c r="S83" i="81"/>
  <c r="Q83" i="81"/>
  <c r="N83" i="81"/>
  <c r="M83" i="81"/>
  <c r="L83" i="81"/>
  <c r="BO82" i="81"/>
  <c r="BC82" i="81"/>
  <c r="BA82" i="81"/>
  <c r="AZ82" i="81"/>
  <c r="AR82" i="81"/>
  <c r="AF82" i="81"/>
  <c r="AE82" i="81"/>
  <c r="AD82" i="81"/>
  <c r="AC82" i="81"/>
  <c r="AB82" i="81"/>
  <c r="AA82" i="81"/>
  <c r="Z82" i="81"/>
  <c r="Y82" i="81"/>
  <c r="W82" i="81"/>
  <c r="S82" i="81"/>
  <c r="Q82" i="81"/>
  <c r="N82" i="81"/>
  <c r="M82" i="81"/>
  <c r="L82" i="81"/>
  <c r="BO81" i="81"/>
  <c r="BC81" i="81"/>
  <c r="BA81" i="81"/>
  <c r="AZ81" i="81"/>
  <c r="BB81" i="81" s="1"/>
  <c r="BD81" i="81" s="1"/>
  <c r="AR81" i="81"/>
  <c r="AF81" i="81"/>
  <c r="AE81" i="81"/>
  <c r="AD81" i="81"/>
  <c r="AC81" i="81"/>
  <c r="AB81" i="81"/>
  <c r="AA81" i="81"/>
  <c r="Z81" i="81"/>
  <c r="Y81" i="81"/>
  <c r="W81" i="81"/>
  <c r="S81" i="81"/>
  <c r="Q81" i="81"/>
  <c r="N81" i="81"/>
  <c r="X81" i="81" s="1"/>
  <c r="M81" i="81"/>
  <c r="L81" i="81"/>
  <c r="BO80" i="81"/>
  <c r="BC80" i="81"/>
  <c r="BA80" i="81"/>
  <c r="AZ80" i="81"/>
  <c r="AR80" i="81"/>
  <c r="AF80" i="81"/>
  <c r="AE80" i="81"/>
  <c r="AD80" i="81"/>
  <c r="AC80" i="81"/>
  <c r="AB80" i="81"/>
  <c r="AA80" i="81"/>
  <c r="Z80" i="81"/>
  <c r="Y80" i="81"/>
  <c r="X80" i="81"/>
  <c r="W80" i="81"/>
  <c r="S80" i="81"/>
  <c r="Q80" i="81"/>
  <c r="N80" i="81"/>
  <c r="M80" i="81"/>
  <c r="L80" i="81"/>
  <c r="BO79" i="81"/>
  <c r="BC79" i="81"/>
  <c r="BA79" i="81"/>
  <c r="AZ79" i="81"/>
  <c r="BB79" i="81" s="1"/>
  <c r="BD79" i="81" s="1"/>
  <c r="AR79" i="81"/>
  <c r="AF79" i="81"/>
  <c r="AE79" i="81"/>
  <c r="AD79" i="81"/>
  <c r="AC79" i="81"/>
  <c r="AB79" i="81"/>
  <c r="AA79" i="81"/>
  <c r="Z79" i="81"/>
  <c r="Y79" i="81"/>
  <c r="W79" i="81"/>
  <c r="S79" i="81"/>
  <c r="Q79" i="81"/>
  <c r="N79" i="81"/>
  <c r="M79" i="81"/>
  <c r="L79" i="81"/>
  <c r="BO78" i="81"/>
  <c r="BC78" i="81"/>
  <c r="BA78" i="81"/>
  <c r="AZ78" i="81"/>
  <c r="AR78" i="81"/>
  <c r="AF78" i="81"/>
  <c r="AE78" i="81"/>
  <c r="AD78" i="81"/>
  <c r="AC78" i="81"/>
  <c r="AB78" i="81"/>
  <c r="AA78" i="81"/>
  <c r="Z78" i="81"/>
  <c r="Y78" i="81"/>
  <c r="W78" i="81"/>
  <c r="S78" i="81"/>
  <c r="Q78" i="81"/>
  <c r="N78" i="81"/>
  <c r="X78" i="81" s="1"/>
  <c r="AP78" i="81" s="1"/>
  <c r="AQ78" i="81" s="1"/>
  <c r="M78" i="81"/>
  <c r="L78" i="81"/>
  <c r="BO77" i="81"/>
  <c r="BC77" i="81"/>
  <c r="BA77" i="81"/>
  <c r="AZ77" i="81"/>
  <c r="BB77" i="81" s="1"/>
  <c r="BD77" i="81" s="1"/>
  <c r="AR77" i="81"/>
  <c r="AF77" i="81"/>
  <c r="AE77" i="81"/>
  <c r="AD77" i="81"/>
  <c r="AC77" i="81"/>
  <c r="AB77" i="81"/>
  <c r="AA77" i="81"/>
  <c r="Z77" i="81"/>
  <c r="Y77" i="81"/>
  <c r="W77" i="81"/>
  <c r="S77" i="81"/>
  <c r="Q77" i="81"/>
  <c r="N77" i="81"/>
  <c r="X77" i="81" s="1"/>
  <c r="M77" i="81"/>
  <c r="L77" i="81"/>
  <c r="BO76" i="81"/>
  <c r="BR76" i="81" s="1"/>
  <c r="BC76" i="81"/>
  <c r="BA76" i="81"/>
  <c r="AZ76" i="81"/>
  <c r="AR76" i="81"/>
  <c r="AF76" i="81"/>
  <c r="AE76" i="81"/>
  <c r="AD76" i="81"/>
  <c r="AC76" i="81"/>
  <c r="AB76" i="81"/>
  <c r="AA76" i="81"/>
  <c r="Z76" i="81"/>
  <c r="Y76" i="81"/>
  <c r="W76" i="81"/>
  <c r="S76" i="81"/>
  <c r="Q76" i="81"/>
  <c r="N76" i="81"/>
  <c r="M76" i="81"/>
  <c r="L76" i="81"/>
  <c r="BO75" i="81"/>
  <c r="BC75" i="81"/>
  <c r="BA75" i="81"/>
  <c r="AZ75" i="81"/>
  <c r="BB75" i="81" s="1"/>
  <c r="BD75" i="81" s="1"/>
  <c r="BE75" i="81" s="1"/>
  <c r="AR75" i="81"/>
  <c r="AF75" i="81"/>
  <c r="AE75" i="81"/>
  <c r="AD75" i="81"/>
  <c r="AC75" i="81"/>
  <c r="AB75" i="81"/>
  <c r="AA75" i="81"/>
  <c r="Z75" i="81"/>
  <c r="Y75" i="81"/>
  <c r="W75" i="81"/>
  <c r="S75" i="81"/>
  <c r="Q75" i="81"/>
  <c r="N75" i="81"/>
  <c r="M75" i="81"/>
  <c r="L75" i="81"/>
  <c r="BO74" i="81"/>
  <c r="BC74" i="81"/>
  <c r="BA74" i="81"/>
  <c r="AZ74" i="81"/>
  <c r="AR74" i="81"/>
  <c r="AF74" i="81"/>
  <c r="AE74" i="81"/>
  <c r="AD74" i="81"/>
  <c r="AC74" i="81"/>
  <c r="AB74" i="81"/>
  <c r="AA74" i="81"/>
  <c r="Z74" i="81"/>
  <c r="Y74" i="81"/>
  <c r="W74" i="81"/>
  <c r="S74" i="81"/>
  <c r="Q74" i="81"/>
  <c r="N74" i="81"/>
  <c r="M74" i="81"/>
  <c r="L74" i="81"/>
  <c r="BO73" i="81"/>
  <c r="BC73" i="81"/>
  <c r="BA73" i="81"/>
  <c r="AZ73" i="81"/>
  <c r="BB73" i="81" s="1"/>
  <c r="BD73" i="81" s="1"/>
  <c r="AR73" i="81"/>
  <c r="AF73" i="81"/>
  <c r="AE73" i="81"/>
  <c r="AD73" i="81"/>
  <c r="AC73" i="81"/>
  <c r="AB73" i="81"/>
  <c r="AA73" i="81"/>
  <c r="Z73" i="81"/>
  <c r="Y73" i="81"/>
  <c r="W73" i="81"/>
  <c r="S73" i="81"/>
  <c r="Q73" i="81"/>
  <c r="N73" i="81"/>
  <c r="X73" i="81" s="1"/>
  <c r="M73" i="81"/>
  <c r="L73" i="81"/>
  <c r="BO72" i="81"/>
  <c r="BR72" i="81" s="1"/>
  <c r="BC72" i="81"/>
  <c r="BA72" i="81"/>
  <c r="AZ72" i="81"/>
  <c r="AR72" i="81"/>
  <c r="AF72" i="81"/>
  <c r="AE72" i="81"/>
  <c r="AD72" i="81"/>
  <c r="AC72" i="81"/>
  <c r="AB72" i="81"/>
  <c r="AA72" i="81"/>
  <c r="Z72" i="81"/>
  <c r="Y72" i="81"/>
  <c r="W72" i="81"/>
  <c r="S72" i="81"/>
  <c r="Q72" i="81"/>
  <c r="N72" i="81"/>
  <c r="M72" i="81"/>
  <c r="L72" i="81"/>
  <c r="BO71" i="81"/>
  <c r="BC71" i="81"/>
  <c r="BB71" i="81"/>
  <c r="BD71" i="81" s="1"/>
  <c r="BE71" i="81" s="1"/>
  <c r="BA71" i="81"/>
  <c r="AZ71" i="81"/>
  <c r="AR71" i="81"/>
  <c r="AF71" i="81"/>
  <c r="AE71" i="81"/>
  <c r="AD71" i="81"/>
  <c r="AC71" i="81"/>
  <c r="AB71" i="81"/>
  <c r="AA71" i="81"/>
  <c r="Z71" i="81"/>
  <c r="Y71" i="81"/>
  <c r="W71" i="81"/>
  <c r="S71" i="81"/>
  <c r="Q71" i="81"/>
  <c r="N71" i="81"/>
  <c r="X71" i="81" s="1"/>
  <c r="AP71" i="81" s="1"/>
  <c r="AQ71" i="81" s="1"/>
  <c r="M71" i="81"/>
  <c r="L71" i="81"/>
  <c r="BO70" i="81"/>
  <c r="BC70" i="81"/>
  <c r="BA70" i="81"/>
  <c r="AZ70" i="81"/>
  <c r="AR70" i="81"/>
  <c r="AF70" i="81"/>
  <c r="AE70" i="81"/>
  <c r="AD70" i="81"/>
  <c r="AC70" i="81"/>
  <c r="AB70" i="81"/>
  <c r="AA70" i="81"/>
  <c r="Z70" i="81"/>
  <c r="Y70" i="81"/>
  <c r="W70" i="81"/>
  <c r="S70" i="81"/>
  <c r="Q70" i="81"/>
  <c r="N70" i="81"/>
  <c r="X70" i="81" s="1"/>
  <c r="M70" i="81"/>
  <c r="L70" i="81"/>
  <c r="BO69" i="81"/>
  <c r="BC69" i="81"/>
  <c r="BA69" i="81"/>
  <c r="AZ69" i="81"/>
  <c r="BB69" i="81" s="1"/>
  <c r="BD69" i="81" s="1"/>
  <c r="AR69" i="81"/>
  <c r="AF69" i="81"/>
  <c r="AE69" i="81"/>
  <c r="AD69" i="81"/>
  <c r="AC69" i="81"/>
  <c r="AB69" i="81"/>
  <c r="AA69" i="81"/>
  <c r="Z69" i="81"/>
  <c r="Y69" i="81"/>
  <c r="W69" i="81"/>
  <c r="S69" i="81"/>
  <c r="Q69" i="81"/>
  <c r="N69" i="81"/>
  <c r="M69" i="81"/>
  <c r="L69" i="81"/>
  <c r="BR69" i="81" s="1"/>
  <c r="BU69" i="81" s="1"/>
  <c r="BO68" i="81"/>
  <c r="BC68" i="81"/>
  <c r="BA68" i="81"/>
  <c r="AZ68" i="81"/>
  <c r="AR68" i="81"/>
  <c r="AF68" i="81"/>
  <c r="AE68" i="81"/>
  <c r="AD68" i="81"/>
  <c r="AC68" i="81"/>
  <c r="AB68" i="81"/>
  <c r="AA68" i="81"/>
  <c r="Z68" i="81"/>
  <c r="Y68" i="81"/>
  <c r="W68" i="81"/>
  <c r="S68" i="81"/>
  <c r="Q68" i="81"/>
  <c r="N68" i="81"/>
  <c r="M68" i="81"/>
  <c r="L68" i="81"/>
  <c r="BR68" i="81" s="1"/>
  <c r="BO67" i="81"/>
  <c r="BC67" i="81"/>
  <c r="BA67" i="81"/>
  <c r="AZ67" i="81"/>
  <c r="BB67" i="81" s="1"/>
  <c r="BD67" i="81" s="1"/>
  <c r="BE67" i="81" s="1"/>
  <c r="AR67" i="81"/>
  <c r="AF67" i="81"/>
  <c r="AE67" i="81"/>
  <c r="AD67" i="81"/>
  <c r="AC67" i="81"/>
  <c r="AB67" i="81"/>
  <c r="AA67" i="81"/>
  <c r="Z67" i="81"/>
  <c r="Y67" i="81"/>
  <c r="W67" i="81"/>
  <c r="S67" i="81"/>
  <c r="Q67" i="81"/>
  <c r="N67" i="81"/>
  <c r="M67" i="81"/>
  <c r="L67" i="81"/>
  <c r="BO66" i="81"/>
  <c r="BC66" i="81"/>
  <c r="BA66" i="81"/>
  <c r="AZ66" i="81"/>
  <c r="AR66" i="81"/>
  <c r="AF66" i="81"/>
  <c r="AE66" i="81"/>
  <c r="AD66" i="81"/>
  <c r="AC66" i="81"/>
  <c r="AB66" i="81"/>
  <c r="AA66" i="81"/>
  <c r="Z66" i="81"/>
  <c r="Y66" i="81"/>
  <c r="W66" i="81"/>
  <c r="S66" i="81"/>
  <c r="Q66" i="81"/>
  <c r="N66" i="81"/>
  <c r="M66" i="81"/>
  <c r="L66" i="81"/>
  <c r="BO65" i="81"/>
  <c r="BC65" i="81"/>
  <c r="BA65" i="81"/>
  <c r="AZ65" i="81"/>
  <c r="BB65" i="81" s="1"/>
  <c r="BD65" i="81" s="1"/>
  <c r="AR65" i="81"/>
  <c r="AF65" i="81"/>
  <c r="AE65" i="81"/>
  <c r="AD65" i="81"/>
  <c r="AC65" i="81"/>
  <c r="AB65" i="81"/>
  <c r="AA65" i="81"/>
  <c r="Z65" i="81"/>
  <c r="Y65" i="81"/>
  <c r="W65" i="81"/>
  <c r="S65" i="81"/>
  <c r="Q65" i="81"/>
  <c r="N65" i="81"/>
  <c r="M65" i="81"/>
  <c r="L65" i="81"/>
  <c r="BO64" i="81"/>
  <c r="BC64" i="81"/>
  <c r="BA64" i="81"/>
  <c r="AZ64" i="81"/>
  <c r="AR64" i="81"/>
  <c r="AF64" i="81"/>
  <c r="AE64" i="81"/>
  <c r="AD64" i="81"/>
  <c r="AC64" i="81"/>
  <c r="AB64" i="81"/>
  <c r="AA64" i="81"/>
  <c r="Z64" i="81"/>
  <c r="Y64" i="81"/>
  <c r="W64" i="81"/>
  <c r="S64" i="81"/>
  <c r="Q64" i="81"/>
  <c r="N64" i="81"/>
  <c r="M64" i="81"/>
  <c r="L64" i="81"/>
  <c r="BO63" i="81"/>
  <c r="BC63" i="81"/>
  <c r="BB63" i="81"/>
  <c r="BD63" i="81" s="1"/>
  <c r="BE63" i="81" s="1"/>
  <c r="BA63" i="81"/>
  <c r="AZ63" i="81"/>
  <c r="AR63" i="81"/>
  <c r="BP63" i="81" s="1"/>
  <c r="AF63" i="81"/>
  <c r="AE63" i="81"/>
  <c r="AD63" i="81"/>
  <c r="AC63" i="81"/>
  <c r="AB63" i="81"/>
  <c r="AA63" i="81"/>
  <c r="Z63" i="81"/>
  <c r="Y63" i="81"/>
  <c r="W63" i="81"/>
  <c r="S63" i="81"/>
  <c r="Q63" i="81"/>
  <c r="N63" i="81"/>
  <c r="X63" i="81" s="1"/>
  <c r="AP63" i="81" s="1"/>
  <c r="AQ63" i="81" s="1"/>
  <c r="M63" i="81"/>
  <c r="L63" i="81"/>
  <c r="BO62" i="81"/>
  <c r="BC62" i="81"/>
  <c r="BA62" i="81"/>
  <c r="AZ62" i="81"/>
  <c r="AR62" i="81"/>
  <c r="AF62" i="81"/>
  <c r="AE62" i="81"/>
  <c r="AD62" i="81"/>
  <c r="AC62" i="81"/>
  <c r="AB62" i="81"/>
  <c r="AA62" i="81"/>
  <c r="Z62" i="81"/>
  <c r="Y62" i="81"/>
  <c r="W62" i="81"/>
  <c r="S62" i="81"/>
  <c r="Q62" i="81"/>
  <c r="N62" i="81"/>
  <c r="X62" i="81" s="1"/>
  <c r="M62" i="81"/>
  <c r="L62" i="81"/>
  <c r="BO61" i="81"/>
  <c r="BC61" i="81"/>
  <c r="BA61" i="81"/>
  <c r="AZ61" i="81"/>
  <c r="BB61" i="81" s="1"/>
  <c r="BD61" i="81" s="1"/>
  <c r="AR61" i="81"/>
  <c r="AF61" i="81"/>
  <c r="AE61" i="81"/>
  <c r="AD61" i="81"/>
  <c r="AC61" i="81"/>
  <c r="AB61" i="81"/>
  <c r="AA61" i="81"/>
  <c r="Z61" i="81"/>
  <c r="Y61" i="81"/>
  <c r="W61" i="81"/>
  <c r="S61" i="81"/>
  <c r="Q61" i="81"/>
  <c r="N61" i="81"/>
  <c r="M61" i="81"/>
  <c r="L61" i="81"/>
  <c r="BR61" i="81" s="1"/>
  <c r="BU61" i="81" s="1"/>
  <c r="BO60" i="81"/>
  <c r="BC60" i="81"/>
  <c r="BA60" i="81"/>
  <c r="AZ60" i="81"/>
  <c r="AR60" i="81"/>
  <c r="AF60" i="81"/>
  <c r="AE60" i="81"/>
  <c r="AD60" i="81"/>
  <c r="AC60" i="81"/>
  <c r="AB60" i="81"/>
  <c r="AA60" i="81"/>
  <c r="Z60" i="81"/>
  <c r="Y60" i="81"/>
  <c r="W60" i="81"/>
  <c r="S60" i="81"/>
  <c r="Q60" i="81"/>
  <c r="N60" i="81"/>
  <c r="M60" i="81"/>
  <c r="L60" i="81"/>
  <c r="BR60" i="81" s="1"/>
  <c r="BO59" i="81"/>
  <c r="BC59" i="81"/>
  <c r="BA59" i="81"/>
  <c r="AZ59" i="81"/>
  <c r="BB59" i="81" s="1"/>
  <c r="BD59" i="81" s="1"/>
  <c r="BE59" i="81" s="1"/>
  <c r="AR59" i="81"/>
  <c r="AF59" i="81"/>
  <c r="AE59" i="81"/>
  <c r="AD59" i="81"/>
  <c r="AC59" i="81"/>
  <c r="AB59" i="81"/>
  <c r="AA59" i="81"/>
  <c r="Z59" i="81"/>
  <c r="Y59" i="81"/>
  <c r="W59" i="81"/>
  <c r="S59" i="81"/>
  <c r="Q59" i="81"/>
  <c r="N59" i="81"/>
  <c r="M59" i="81"/>
  <c r="L59" i="81"/>
  <c r="BO58" i="81"/>
  <c r="BC58" i="81"/>
  <c r="BA58" i="81"/>
  <c r="AZ58" i="81"/>
  <c r="AR58" i="81"/>
  <c r="AF58" i="81"/>
  <c r="AE58" i="81"/>
  <c r="AD58" i="81"/>
  <c r="AC58" i="81"/>
  <c r="AB58" i="81"/>
  <c r="AA58" i="81"/>
  <c r="Z58" i="81"/>
  <c r="Y58" i="81"/>
  <c r="W58" i="81"/>
  <c r="S58" i="81"/>
  <c r="Q58" i="81"/>
  <c r="N58" i="81"/>
  <c r="M58" i="81"/>
  <c r="L58" i="81"/>
  <c r="BO57" i="81"/>
  <c r="BC57" i="81"/>
  <c r="BA57" i="81"/>
  <c r="AZ57" i="81"/>
  <c r="BB57" i="81" s="1"/>
  <c r="BD57" i="81" s="1"/>
  <c r="AR57" i="81"/>
  <c r="AF57" i="81"/>
  <c r="AE57" i="81"/>
  <c r="AD57" i="81"/>
  <c r="AC57" i="81"/>
  <c r="AB57" i="81"/>
  <c r="AA57" i="81"/>
  <c r="Z57" i="81"/>
  <c r="Y57" i="81"/>
  <c r="W57" i="81"/>
  <c r="S57" i="81"/>
  <c r="Q57" i="81"/>
  <c r="N57" i="81"/>
  <c r="M57" i="81"/>
  <c r="L57" i="81"/>
  <c r="BO56" i="81"/>
  <c r="BC56" i="81"/>
  <c r="BA56" i="81"/>
  <c r="AZ56" i="81"/>
  <c r="AR56" i="81"/>
  <c r="AF56" i="81"/>
  <c r="AE56" i="81"/>
  <c r="AD56" i="81"/>
  <c r="AC56" i="81"/>
  <c r="AB56" i="81"/>
  <c r="AA56" i="81"/>
  <c r="Z56" i="81"/>
  <c r="Y56" i="81"/>
  <c r="W56" i="81"/>
  <c r="S56" i="81"/>
  <c r="Q56" i="81"/>
  <c r="N56" i="81"/>
  <c r="M56" i="81"/>
  <c r="L56" i="81"/>
  <c r="BO55" i="81"/>
  <c r="BC55" i="81"/>
  <c r="BB55" i="81"/>
  <c r="BD55" i="81" s="1"/>
  <c r="BE55" i="81" s="1"/>
  <c r="BA55" i="81"/>
  <c r="AZ55" i="81"/>
  <c r="AR55" i="81"/>
  <c r="AF55" i="81"/>
  <c r="AE55" i="81"/>
  <c r="AD55" i="81"/>
  <c r="AC55" i="81"/>
  <c r="AB55" i="81"/>
  <c r="AA55" i="81"/>
  <c r="Z55" i="81"/>
  <c r="Y55" i="81"/>
  <c r="W55" i="81"/>
  <c r="S55" i="81"/>
  <c r="Q55" i="81"/>
  <c r="N55" i="81"/>
  <c r="M55" i="81"/>
  <c r="L55" i="81"/>
  <c r="BO54" i="81"/>
  <c r="BC54" i="81"/>
  <c r="BA54" i="81"/>
  <c r="AZ54" i="81"/>
  <c r="AR54" i="81"/>
  <c r="AF54" i="81"/>
  <c r="AE54" i="81"/>
  <c r="AD54" i="81"/>
  <c r="AC54" i="81"/>
  <c r="AB54" i="81"/>
  <c r="AA54" i="81"/>
  <c r="Z54" i="81"/>
  <c r="Y54" i="81"/>
  <c r="W54" i="81"/>
  <c r="S54" i="81"/>
  <c r="Q54" i="81"/>
  <c r="N54" i="81"/>
  <c r="M54" i="81"/>
  <c r="L54" i="81"/>
  <c r="BO53" i="81"/>
  <c r="BC53" i="81"/>
  <c r="BA53" i="81"/>
  <c r="AZ53" i="81"/>
  <c r="BB53" i="81" s="1"/>
  <c r="BD53" i="81" s="1"/>
  <c r="AR53" i="81"/>
  <c r="AF53" i="81"/>
  <c r="AE53" i="81"/>
  <c r="AD53" i="81"/>
  <c r="AC53" i="81"/>
  <c r="AB53" i="81"/>
  <c r="AA53" i="81"/>
  <c r="Z53" i="81"/>
  <c r="Y53" i="81"/>
  <c r="W53" i="81"/>
  <c r="S53" i="81"/>
  <c r="Q53" i="81"/>
  <c r="N53" i="81"/>
  <c r="M53" i="81"/>
  <c r="L53" i="81"/>
  <c r="BO52" i="81"/>
  <c r="BR52" i="81" s="1"/>
  <c r="BC52" i="81"/>
  <c r="BA52" i="81"/>
  <c r="AZ52" i="81"/>
  <c r="AR52" i="81"/>
  <c r="AF52" i="81"/>
  <c r="AE52" i="81"/>
  <c r="AD52" i="81"/>
  <c r="AC52" i="81"/>
  <c r="AB52" i="81"/>
  <c r="AA52" i="81"/>
  <c r="Z52" i="81"/>
  <c r="Y52" i="81"/>
  <c r="W52" i="81"/>
  <c r="S52" i="81"/>
  <c r="Q52" i="81"/>
  <c r="N52" i="81"/>
  <c r="M52" i="81"/>
  <c r="L52" i="81"/>
  <c r="BO51" i="81"/>
  <c r="BR51" i="81" s="1"/>
  <c r="BC51" i="81"/>
  <c r="BA51" i="81"/>
  <c r="AZ51" i="81"/>
  <c r="BB51" i="81" s="1"/>
  <c r="BD51" i="81" s="1"/>
  <c r="BE51" i="81" s="1"/>
  <c r="AR51" i="81"/>
  <c r="AF51" i="81"/>
  <c r="AE51" i="81"/>
  <c r="AD51" i="81"/>
  <c r="AC51" i="81"/>
  <c r="AB51" i="81"/>
  <c r="AA51" i="81"/>
  <c r="Z51" i="81"/>
  <c r="Y51" i="81"/>
  <c r="W51" i="81"/>
  <c r="S51" i="81"/>
  <c r="Q51" i="81"/>
  <c r="N51" i="81"/>
  <c r="X51" i="81" s="1"/>
  <c r="M51" i="81"/>
  <c r="L51" i="81"/>
  <c r="BO50" i="81"/>
  <c r="BC50" i="81"/>
  <c r="BA50" i="81"/>
  <c r="AZ50" i="81"/>
  <c r="AR50" i="81"/>
  <c r="AF50" i="81"/>
  <c r="AE50" i="81"/>
  <c r="AD50" i="81"/>
  <c r="AC50" i="81"/>
  <c r="AB50" i="81"/>
  <c r="AA50" i="81"/>
  <c r="Z50" i="81"/>
  <c r="Y50" i="81"/>
  <c r="W50" i="81"/>
  <c r="S50" i="81"/>
  <c r="Q50" i="81"/>
  <c r="N50" i="81"/>
  <c r="X50" i="81" s="1"/>
  <c r="M50" i="81"/>
  <c r="L50" i="81"/>
  <c r="BO49" i="81"/>
  <c r="BP49" i="81" s="1"/>
  <c r="BC49" i="81"/>
  <c r="BA49" i="81"/>
  <c r="AZ49" i="81"/>
  <c r="BB49" i="81" s="1"/>
  <c r="BD49" i="81" s="1"/>
  <c r="AR49" i="81"/>
  <c r="AF49" i="81"/>
  <c r="AE49" i="81"/>
  <c r="AD49" i="81"/>
  <c r="AC49" i="81"/>
  <c r="AB49" i="81"/>
  <c r="AA49" i="81"/>
  <c r="Z49" i="81"/>
  <c r="Y49" i="81"/>
  <c r="W49" i="81"/>
  <c r="S49" i="81"/>
  <c r="Q49" i="81"/>
  <c r="N49" i="81"/>
  <c r="M49" i="81"/>
  <c r="L49" i="81"/>
  <c r="BO48" i="81"/>
  <c r="BC48" i="81"/>
  <c r="BA48" i="81"/>
  <c r="AZ48" i="81"/>
  <c r="AR48" i="81"/>
  <c r="AF48" i="81"/>
  <c r="AE48" i="81"/>
  <c r="AD48" i="81"/>
  <c r="AC48" i="81"/>
  <c r="AB48" i="81"/>
  <c r="AA48" i="81"/>
  <c r="Z48" i="81"/>
  <c r="Y48" i="81"/>
  <c r="W48" i="81"/>
  <c r="S48" i="81"/>
  <c r="Q48" i="81"/>
  <c r="N48" i="81"/>
  <c r="M48" i="81"/>
  <c r="L48" i="81"/>
  <c r="BO47" i="81"/>
  <c r="BC47" i="81"/>
  <c r="BA47" i="81"/>
  <c r="AZ47" i="81"/>
  <c r="BB47" i="81" s="1"/>
  <c r="BD47" i="81" s="1"/>
  <c r="BE47" i="81" s="1"/>
  <c r="AR47" i="81"/>
  <c r="AF47" i="81"/>
  <c r="AE47" i="81"/>
  <c r="AD47" i="81"/>
  <c r="AC47" i="81"/>
  <c r="AB47" i="81"/>
  <c r="AA47" i="81"/>
  <c r="Z47" i="81"/>
  <c r="Y47" i="81"/>
  <c r="W47" i="81"/>
  <c r="S47" i="81"/>
  <c r="Q47" i="81"/>
  <c r="N47" i="81"/>
  <c r="M47" i="81"/>
  <c r="L47" i="81"/>
  <c r="BO46" i="81"/>
  <c r="BC46" i="81"/>
  <c r="BA46" i="81"/>
  <c r="AZ46" i="81"/>
  <c r="AF46" i="81"/>
  <c r="AE46" i="81"/>
  <c r="AD46" i="81"/>
  <c r="AC46" i="81"/>
  <c r="AB46" i="81"/>
  <c r="AA46" i="81"/>
  <c r="Z46" i="81"/>
  <c r="Y46" i="81"/>
  <c r="W46" i="81"/>
  <c r="S46" i="81"/>
  <c r="Q46" i="81"/>
  <c r="N46" i="81"/>
  <c r="X46" i="81" s="1"/>
  <c r="M46" i="81"/>
  <c r="L46" i="81"/>
  <c r="BO45" i="81"/>
  <c r="BC45" i="81"/>
  <c r="BA45" i="81"/>
  <c r="AZ45" i="81"/>
  <c r="BB45" i="81" s="1"/>
  <c r="BD45" i="81" s="1"/>
  <c r="AR45" i="81"/>
  <c r="AF45" i="81"/>
  <c r="AE45" i="81"/>
  <c r="AD45" i="81"/>
  <c r="AC45" i="81"/>
  <c r="AB45" i="81"/>
  <c r="AA45" i="81"/>
  <c r="Z45" i="81"/>
  <c r="Y45" i="81"/>
  <c r="W45" i="81"/>
  <c r="S45" i="81"/>
  <c r="Q45" i="81"/>
  <c r="N45" i="81"/>
  <c r="M45" i="81"/>
  <c r="L45" i="81"/>
  <c r="BR45" i="81" s="1"/>
  <c r="BU45" i="81" s="1"/>
  <c r="BO44" i="81"/>
  <c r="BC44" i="81"/>
  <c r="BA44" i="81"/>
  <c r="AZ44" i="81"/>
  <c r="AR44" i="81"/>
  <c r="AF44" i="81"/>
  <c r="AE44" i="81"/>
  <c r="AD44" i="81"/>
  <c r="AC44" i="81"/>
  <c r="AB44" i="81"/>
  <c r="AA44" i="81"/>
  <c r="Z44" i="81"/>
  <c r="Y44" i="81"/>
  <c r="W44" i="81"/>
  <c r="S44" i="81"/>
  <c r="Q44" i="81"/>
  <c r="N44" i="81"/>
  <c r="M44" i="81"/>
  <c r="L44" i="81"/>
  <c r="BO43" i="81"/>
  <c r="BC43" i="81"/>
  <c r="BA43" i="81"/>
  <c r="AZ43" i="81"/>
  <c r="BB43" i="81" s="1"/>
  <c r="BD43" i="81" s="1"/>
  <c r="BE43" i="81" s="1"/>
  <c r="AR43" i="81"/>
  <c r="AF43" i="81"/>
  <c r="AE43" i="81"/>
  <c r="AD43" i="81"/>
  <c r="AC43" i="81"/>
  <c r="AB43" i="81"/>
  <c r="AA43" i="81"/>
  <c r="Z43" i="81"/>
  <c r="Y43" i="81"/>
  <c r="W43" i="81"/>
  <c r="S43" i="81"/>
  <c r="Q43" i="81"/>
  <c r="N43" i="81"/>
  <c r="M43" i="81"/>
  <c r="L43" i="81"/>
  <c r="BO42" i="81"/>
  <c r="BC42" i="81"/>
  <c r="BA42" i="81"/>
  <c r="AZ42" i="81"/>
  <c r="AF42" i="81"/>
  <c r="AE42" i="81"/>
  <c r="AD42" i="81"/>
  <c r="AC42" i="81"/>
  <c r="AB42" i="81"/>
  <c r="AA42" i="81"/>
  <c r="Z42" i="81"/>
  <c r="Y42" i="81"/>
  <c r="W42" i="81"/>
  <c r="S42" i="81"/>
  <c r="Q42" i="81"/>
  <c r="N42" i="81"/>
  <c r="M42" i="81"/>
  <c r="L42" i="81"/>
  <c r="BO41" i="81"/>
  <c r="BC41" i="81"/>
  <c r="BA41" i="81"/>
  <c r="AZ41" i="81"/>
  <c r="BB41" i="81" s="1"/>
  <c r="BD41" i="81" s="1"/>
  <c r="AR41" i="81"/>
  <c r="AF41" i="81"/>
  <c r="AE41" i="81"/>
  <c r="AD41" i="81"/>
  <c r="AC41" i="81"/>
  <c r="AB41" i="81"/>
  <c r="AA41" i="81"/>
  <c r="Z41" i="81"/>
  <c r="Y41" i="81"/>
  <c r="W41" i="81"/>
  <c r="S41" i="81"/>
  <c r="Q41" i="81"/>
  <c r="N41" i="81"/>
  <c r="M41" i="81"/>
  <c r="L41" i="81"/>
  <c r="BO40" i="81"/>
  <c r="BR40" i="81" s="1"/>
  <c r="BC40" i="81"/>
  <c r="BA40" i="81"/>
  <c r="AZ40" i="81"/>
  <c r="AR40" i="81"/>
  <c r="AF40" i="81"/>
  <c r="AE40" i="81"/>
  <c r="AD40" i="81"/>
  <c r="AC40" i="81"/>
  <c r="AB40" i="81"/>
  <c r="AA40" i="81"/>
  <c r="Z40" i="81"/>
  <c r="Y40" i="81"/>
  <c r="W40" i="81"/>
  <c r="S40" i="81"/>
  <c r="Q40" i="81"/>
  <c r="N40" i="81"/>
  <c r="M40" i="81"/>
  <c r="L40" i="81"/>
  <c r="BO39" i="81"/>
  <c r="BC39" i="81"/>
  <c r="BA39" i="81"/>
  <c r="AZ39" i="81"/>
  <c r="AR39" i="81"/>
  <c r="AF39" i="81"/>
  <c r="AE39" i="81"/>
  <c r="AD39" i="81"/>
  <c r="AC39" i="81"/>
  <c r="AB39" i="81"/>
  <c r="AA39" i="81"/>
  <c r="Z39" i="81"/>
  <c r="Y39" i="81"/>
  <c r="W39" i="81"/>
  <c r="S39" i="81"/>
  <c r="Q39" i="81"/>
  <c r="N39" i="81"/>
  <c r="M39" i="81"/>
  <c r="L39" i="81"/>
  <c r="BO38" i="81"/>
  <c r="BC38" i="81"/>
  <c r="BA38" i="81"/>
  <c r="AZ38" i="81"/>
  <c r="BB38" i="81" s="1"/>
  <c r="BD38" i="81" s="1"/>
  <c r="AR38" i="81"/>
  <c r="AF38" i="81"/>
  <c r="AE38" i="81"/>
  <c r="AD38" i="81"/>
  <c r="AC38" i="81"/>
  <c r="AB38" i="81"/>
  <c r="AA38" i="81"/>
  <c r="Z38" i="81"/>
  <c r="Y38" i="81"/>
  <c r="W38" i="81"/>
  <c r="S38" i="81"/>
  <c r="Q38" i="81"/>
  <c r="N38" i="81"/>
  <c r="M38" i="81"/>
  <c r="L38" i="81"/>
  <c r="BO37" i="81"/>
  <c r="BC37" i="81"/>
  <c r="BA37" i="81"/>
  <c r="AZ37" i="81"/>
  <c r="AF37" i="81"/>
  <c r="AE37" i="81"/>
  <c r="AD37" i="81"/>
  <c r="AC37" i="81"/>
  <c r="AB37" i="81"/>
  <c r="AA37" i="81"/>
  <c r="Z37" i="81"/>
  <c r="Y37" i="81"/>
  <c r="W37" i="81"/>
  <c r="S37" i="81"/>
  <c r="Q37" i="81"/>
  <c r="N37" i="81"/>
  <c r="M37" i="81"/>
  <c r="L37" i="81"/>
  <c r="BR37" i="81" s="1"/>
  <c r="BU37" i="81" s="1"/>
  <c r="BO36" i="81"/>
  <c r="BC36" i="81"/>
  <c r="BA36" i="81"/>
  <c r="AZ36" i="81"/>
  <c r="BB36" i="81" s="1"/>
  <c r="BD36" i="81" s="1"/>
  <c r="AR36" i="81"/>
  <c r="AF36" i="81"/>
  <c r="AE36" i="81"/>
  <c r="AD36" i="81"/>
  <c r="AC36" i="81"/>
  <c r="AB36" i="81"/>
  <c r="AA36" i="81"/>
  <c r="Z36" i="81"/>
  <c r="Y36" i="81"/>
  <c r="W36" i="81"/>
  <c r="S36" i="81"/>
  <c r="Q36" i="81"/>
  <c r="N36" i="81"/>
  <c r="X36" i="81" s="1"/>
  <c r="M36" i="81"/>
  <c r="L36" i="81"/>
  <c r="BO35" i="81"/>
  <c r="BC35" i="81"/>
  <c r="BA35" i="81"/>
  <c r="AZ35" i="81"/>
  <c r="AF35" i="81"/>
  <c r="AE35" i="81"/>
  <c r="AD35" i="81"/>
  <c r="AC35" i="81"/>
  <c r="AB35" i="81"/>
  <c r="AA35" i="81"/>
  <c r="Z35" i="81"/>
  <c r="Y35" i="81"/>
  <c r="W35" i="81"/>
  <c r="S35" i="81"/>
  <c r="Q35" i="81"/>
  <c r="N35" i="81"/>
  <c r="M35" i="81"/>
  <c r="L35" i="81"/>
  <c r="BO34" i="81"/>
  <c r="BC34" i="81"/>
  <c r="BA34" i="81"/>
  <c r="AZ34" i="81"/>
  <c r="BB34" i="81" s="1"/>
  <c r="BD34" i="81" s="1"/>
  <c r="AR34" i="81"/>
  <c r="AF34" i="81"/>
  <c r="AE34" i="81"/>
  <c r="AD34" i="81"/>
  <c r="AC34" i="81"/>
  <c r="AB34" i="81"/>
  <c r="AA34" i="81"/>
  <c r="Z34" i="81"/>
  <c r="Y34" i="81"/>
  <c r="W34" i="81"/>
  <c r="S34" i="81"/>
  <c r="Q34" i="81"/>
  <c r="N34" i="81"/>
  <c r="X34" i="81" s="1"/>
  <c r="AP34" i="81" s="1"/>
  <c r="AQ34" i="81" s="1"/>
  <c r="AS34" i="81" s="1"/>
  <c r="M34" i="81"/>
  <c r="L34" i="81"/>
  <c r="BO33" i="81"/>
  <c r="BC33" i="81"/>
  <c r="BA33" i="81"/>
  <c r="AZ33" i="81"/>
  <c r="AF33" i="81"/>
  <c r="AE33" i="81"/>
  <c r="AD33" i="81"/>
  <c r="AC33" i="81"/>
  <c r="AB33" i="81"/>
  <c r="AA33" i="81"/>
  <c r="Z33" i="81"/>
  <c r="Y33" i="81"/>
  <c r="W33" i="81"/>
  <c r="S33" i="81"/>
  <c r="Q33" i="81"/>
  <c r="N33" i="81"/>
  <c r="M33" i="81"/>
  <c r="L33" i="81"/>
  <c r="BR33" i="81" s="1"/>
  <c r="BU33" i="81" s="1"/>
  <c r="BO32" i="81"/>
  <c r="BC32" i="81"/>
  <c r="BB32" i="81"/>
  <c r="BD32" i="81" s="1"/>
  <c r="BA32" i="81"/>
  <c r="AZ32" i="81"/>
  <c r="AR32" i="81"/>
  <c r="AF32" i="81"/>
  <c r="AE32" i="81"/>
  <c r="AD32" i="81"/>
  <c r="AC32" i="81"/>
  <c r="AB32" i="81"/>
  <c r="AA32" i="81"/>
  <c r="Z32" i="81"/>
  <c r="Y32" i="81"/>
  <c r="W32" i="81"/>
  <c r="S32" i="81"/>
  <c r="Q32" i="81"/>
  <c r="N32" i="81"/>
  <c r="X32" i="81" s="1"/>
  <c r="M32" i="81"/>
  <c r="L32" i="81"/>
  <c r="BR32" i="81" s="1"/>
  <c r="BU32" i="81" s="1"/>
  <c r="BX32" i="81" s="1"/>
  <c r="CA32" i="81" s="1"/>
  <c r="BO31" i="81"/>
  <c r="BC31" i="81"/>
  <c r="BA31" i="81"/>
  <c r="AZ31" i="81"/>
  <c r="AF31" i="81"/>
  <c r="AE31" i="81"/>
  <c r="AD31" i="81"/>
  <c r="AC31" i="81"/>
  <c r="AB31" i="81"/>
  <c r="AA31" i="81"/>
  <c r="Z31" i="81"/>
  <c r="Y31" i="81"/>
  <c r="W31" i="81"/>
  <c r="S31" i="81"/>
  <c r="Q31" i="81"/>
  <c r="N31" i="81"/>
  <c r="M31" i="81"/>
  <c r="L31" i="81"/>
  <c r="BO30" i="81"/>
  <c r="BC30" i="81"/>
  <c r="BA30" i="81"/>
  <c r="AZ30" i="81"/>
  <c r="BB30" i="81" s="1"/>
  <c r="BD30" i="81" s="1"/>
  <c r="AR30" i="81"/>
  <c r="AF30" i="81"/>
  <c r="AE30" i="81"/>
  <c r="AD30" i="81"/>
  <c r="AC30" i="81"/>
  <c r="AB30" i="81"/>
  <c r="AA30" i="81"/>
  <c r="Z30" i="81"/>
  <c r="Y30" i="81"/>
  <c r="W30" i="81"/>
  <c r="S30" i="81"/>
  <c r="Q30" i="81"/>
  <c r="N30" i="81"/>
  <c r="M30" i="81"/>
  <c r="L30" i="81"/>
  <c r="BO29" i="81"/>
  <c r="BC29" i="81"/>
  <c r="BA29" i="81"/>
  <c r="AZ29" i="81"/>
  <c r="AF29" i="81"/>
  <c r="AE29" i="81"/>
  <c r="AD29" i="81"/>
  <c r="AC29" i="81"/>
  <c r="AB29" i="81"/>
  <c r="AA29" i="81"/>
  <c r="Z29" i="81"/>
  <c r="Y29" i="81"/>
  <c r="W29" i="81"/>
  <c r="S29" i="81"/>
  <c r="Q29" i="81"/>
  <c r="N29" i="81"/>
  <c r="M29" i="81"/>
  <c r="L29" i="81"/>
  <c r="BR29" i="81" s="1"/>
  <c r="BU29" i="81" s="1"/>
  <c r="BO28" i="81"/>
  <c r="BC28" i="81"/>
  <c r="BA28" i="81"/>
  <c r="AZ28" i="81"/>
  <c r="BB28" i="81" s="1"/>
  <c r="BD28" i="81" s="1"/>
  <c r="AR28" i="81"/>
  <c r="AF28" i="81"/>
  <c r="AE28" i="81"/>
  <c r="AD28" i="81"/>
  <c r="AC28" i="81"/>
  <c r="AB28" i="81"/>
  <c r="AA28" i="81"/>
  <c r="Z28" i="81"/>
  <c r="Y28" i="81"/>
  <c r="W28" i="81"/>
  <c r="S28" i="81"/>
  <c r="Q28" i="81"/>
  <c r="N28" i="81"/>
  <c r="M28" i="81"/>
  <c r="L28" i="81"/>
  <c r="BO27" i="81"/>
  <c r="BC27" i="81"/>
  <c r="BA27" i="81"/>
  <c r="AZ27" i="81"/>
  <c r="AF27" i="81"/>
  <c r="AE27" i="81"/>
  <c r="AD27" i="81"/>
  <c r="AC27" i="81"/>
  <c r="AB27" i="81"/>
  <c r="AA27" i="81"/>
  <c r="Z27" i="81"/>
  <c r="Y27" i="81"/>
  <c r="W27" i="81"/>
  <c r="S27" i="81"/>
  <c r="Q27" i="81"/>
  <c r="N27" i="81"/>
  <c r="M27" i="81"/>
  <c r="L27" i="81"/>
  <c r="BO26" i="81"/>
  <c r="BC26" i="81"/>
  <c r="BA26" i="81"/>
  <c r="AZ26" i="81"/>
  <c r="BB26" i="81" s="1"/>
  <c r="BD26" i="81" s="1"/>
  <c r="AR26" i="81"/>
  <c r="AF26" i="81"/>
  <c r="AE26" i="81"/>
  <c r="AD26" i="81"/>
  <c r="AC26" i="81"/>
  <c r="AB26" i="81"/>
  <c r="AA26" i="81"/>
  <c r="Z26" i="81"/>
  <c r="Y26" i="81"/>
  <c r="W26" i="81"/>
  <c r="S26" i="81"/>
  <c r="Q26" i="81"/>
  <c r="N26" i="81"/>
  <c r="M26" i="81"/>
  <c r="L26" i="81"/>
  <c r="BO25" i="81"/>
  <c r="BR25" i="81" s="1"/>
  <c r="BU25" i="81" s="1"/>
  <c r="BC25" i="81"/>
  <c r="BA25" i="81"/>
  <c r="AZ25" i="81"/>
  <c r="AG25" i="81"/>
  <c r="Z25" i="81" s="1"/>
  <c r="AF25" i="81"/>
  <c r="AE25" i="81"/>
  <c r="AD25" i="81"/>
  <c r="AC25" i="81"/>
  <c r="AB25" i="81"/>
  <c r="AA25" i="81"/>
  <c r="Y25" i="81"/>
  <c r="W25" i="81"/>
  <c r="S25" i="81"/>
  <c r="Q25" i="81"/>
  <c r="N25" i="81"/>
  <c r="X25" i="81" s="1"/>
  <c r="M25" i="81"/>
  <c r="L25" i="81"/>
  <c r="BO24" i="81"/>
  <c r="BR24" i="81" s="1"/>
  <c r="BU24" i="81" s="1"/>
  <c r="BX24" i="81" s="1"/>
  <c r="BC24" i="81"/>
  <c r="BA24" i="81"/>
  <c r="AZ24" i="81"/>
  <c r="AF24" i="81"/>
  <c r="AE24" i="81"/>
  <c r="AD24" i="81"/>
  <c r="AC24" i="81"/>
  <c r="AB24" i="81"/>
  <c r="AA24" i="81"/>
  <c r="Z24" i="81"/>
  <c r="Y24" i="81"/>
  <c r="W24" i="81"/>
  <c r="S24" i="81"/>
  <c r="Q24" i="81"/>
  <c r="N24" i="81"/>
  <c r="M24" i="81"/>
  <c r="L24" i="81"/>
  <c r="BO23" i="81"/>
  <c r="BC23" i="81"/>
  <c r="BA23" i="81"/>
  <c r="AZ23" i="81"/>
  <c r="BB23" i="81" s="1"/>
  <c r="BD23" i="81" s="1"/>
  <c r="AR23" i="81"/>
  <c r="AF23" i="81"/>
  <c r="AE23" i="81"/>
  <c r="AD23" i="81"/>
  <c r="AC23" i="81"/>
  <c r="AB23" i="81"/>
  <c r="AA23" i="81"/>
  <c r="Z23" i="81"/>
  <c r="Y23" i="81"/>
  <c r="W23" i="81"/>
  <c r="S23" i="81"/>
  <c r="Q23" i="81"/>
  <c r="N23" i="81"/>
  <c r="X23" i="81" s="1"/>
  <c r="M23" i="81"/>
  <c r="L23" i="81"/>
  <c r="BO22" i="81"/>
  <c r="BC22" i="81"/>
  <c r="BB22" i="81"/>
  <c r="BD22" i="81" s="1"/>
  <c r="BE22" i="81" s="1"/>
  <c r="BA22" i="81"/>
  <c r="AZ22" i="81"/>
  <c r="AR22" i="81"/>
  <c r="AF22" i="81"/>
  <c r="AE22" i="81"/>
  <c r="AD22" i="81"/>
  <c r="AC22" i="81"/>
  <c r="AB22" i="81"/>
  <c r="AA22" i="81"/>
  <c r="Z22" i="81"/>
  <c r="Y22" i="81"/>
  <c r="W22" i="81"/>
  <c r="S22" i="81"/>
  <c r="Q22" i="81"/>
  <c r="N22" i="81"/>
  <c r="X22" i="81" s="1"/>
  <c r="M22" i="81"/>
  <c r="L22" i="81"/>
  <c r="BO21" i="81"/>
  <c r="BC21" i="81"/>
  <c r="BA21" i="81"/>
  <c r="AZ21" i="81"/>
  <c r="BB21" i="81" s="1"/>
  <c r="BD21" i="81" s="1"/>
  <c r="AR21" i="81"/>
  <c r="AF21" i="81"/>
  <c r="AE21" i="81"/>
  <c r="AD21" i="81"/>
  <c r="AC21" i="81"/>
  <c r="AB21" i="81"/>
  <c r="AA21" i="81"/>
  <c r="Z21" i="81"/>
  <c r="Y21" i="81"/>
  <c r="W21" i="81"/>
  <c r="S21" i="81"/>
  <c r="Q21" i="81"/>
  <c r="N21" i="81"/>
  <c r="M21" i="81"/>
  <c r="L21" i="81"/>
  <c r="BO20" i="81"/>
  <c r="BR20" i="81" s="1"/>
  <c r="BC20" i="81"/>
  <c r="BA20" i="81"/>
  <c r="AZ20" i="81"/>
  <c r="BB20" i="81" s="1"/>
  <c r="BD20" i="81" s="1"/>
  <c r="AR20" i="81"/>
  <c r="AF20" i="81"/>
  <c r="AE20" i="81"/>
  <c r="AD20" i="81"/>
  <c r="AC20" i="81"/>
  <c r="AB20" i="81"/>
  <c r="AA20" i="81"/>
  <c r="Z20" i="81"/>
  <c r="Y20" i="81"/>
  <c r="W20" i="81"/>
  <c r="S20" i="81"/>
  <c r="Q20" i="81"/>
  <c r="N20" i="81"/>
  <c r="M20" i="81"/>
  <c r="L20" i="81"/>
  <c r="BO19" i="81"/>
  <c r="BR19" i="81" s="1"/>
  <c r="BC19" i="81"/>
  <c r="BA19" i="81"/>
  <c r="AZ19" i="81"/>
  <c r="AR19" i="81"/>
  <c r="AF19" i="81"/>
  <c r="AE19" i="81"/>
  <c r="AD19" i="81"/>
  <c r="AC19" i="81"/>
  <c r="AB19" i="81"/>
  <c r="AA19" i="81"/>
  <c r="Z19" i="81"/>
  <c r="Y19" i="81"/>
  <c r="W19" i="81"/>
  <c r="S19" i="81"/>
  <c r="Q19" i="81"/>
  <c r="N19" i="81"/>
  <c r="X19" i="81" s="1"/>
  <c r="M19" i="81"/>
  <c r="L19" i="81"/>
  <c r="BO18" i="81"/>
  <c r="BC18" i="81"/>
  <c r="BA18" i="81"/>
  <c r="AZ18" i="81"/>
  <c r="BB18" i="81" s="1"/>
  <c r="BD18" i="81" s="1"/>
  <c r="AR18" i="81"/>
  <c r="AF18" i="81"/>
  <c r="AE18" i="81"/>
  <c r="AD18" i="81"/>
  <c r="AC18" i="81"/>
  <c r="AB18" i="81"/>
  <c r="AA18" i="81"/>
  <c r="Z18" i="81"/>
  <c r="Y18" i="81"/>
  <c r="W18" i="81"/>
  <c r="S18" i="81"/>
  <c r="Q18" i="81"/>
  <c r="N18" i="81"/>
  <c r="X18" i="81" s="1"/>
  <c r="M18" i="81"/>
  <c r="L18" i="81"/>
  <c r="BO17" i="81"/>
  <c r="BC17" i="81"/>
  <c r="BA17" i="81"/>
  <c r="AZ17" i="81"/>
  <c r="BB17" i="81" s="1"/>
  <c r="BD17" i="81" s="1"/>
  <c r="AR17" i="81"/>
  <c r="AF17" i="81"/>
  <c r="AE17" i="81"/>
  <c r="AD17" i="81"/>
  <c r="AC17" i="81"/>
  <c r="AB17" i="81"/>
  <c r="AA17" i="81"/>
  <c r="Z17" i="81"/>
  <c r="Y17" i="81"/>
  <c r="W17" i="81"/>
  <c r="S17" i="81"/>
  <c r="Q17" i="81"/>
  <c r="N17" i="81"/>
  <c r="M17" i="81"/>
  <c r="L17" i="81"/>
  <c r="BO16" i="81"/>
  <c r="BC16" i="81"/>
  <c r="BA16" i="81"/>
  <c r="AZ16" i="81"/>
  <c r="BB16" i="81" s="1"/>
  <c r="BD16" i="81" s="1"/>
  <c r="BE16" i="81" s="1"/>
  <c r="AR16" i="81"/>
  <c r="AF16" i="81"/>
  <c r="AE16" i="81"/>
  <c r="AD16" i="81"/>
  <c r="AC16" i="81"/>
  <c r="AB16" i="81"/>
  <c r="AA16" i="81"/>
  <c r="Z16" i="81"/>
  <c r="Y16" i="81"/>
  <c r="W16" i="81"/>
  <c r="S16" i="81"/>
  <c r="Q16" i="81"/>
  <c r="N16" i="81"/>
  <c r="M16" i="81"/>
  <c r="L16" i="81"/>
  <c r="BO15" i="81"/>
  <c r="BR15" i="81" s="1"/>
  <c r="BC15" i="81"/>
  <c r="BA15" i="81"/>
  <c r="AZ15" i="81"/>
  <c r="BB15" i="81" s="1"/>
  <c r="BD15" i="81" s="1"/>
  <c r="AR15" i="81"/>
  <c r="AF15" i="81"/>
  <c r="AE15" i="81"/>
  <c r="AD15" i="81"/>
  <c r="AC15" i="81"/>
  <c r="AB15" i="81"/>
  <c r="AA15" i="81"/>
  <c r="Z15" i="81"/>
  <c r="Y15" i="81"/>
  <c r="W15" i="81"/>
  <c r="S15" i="81"/>
  <c r="Q15" i="81"/>
  <c r="N15" i="81"/>
  <c r="M15" i="81"/>
  <c r="L15" i="81"/>
  <c r="BO14" i="81"/>
  <c r="BC14" i="81"/>
  <c r="BA14" i="81"/>
  <c r="AZ14" i="81"/>
  <c r="AR14" i="81"/>
  <c r="AF14" i="81"/>
  <c r="AE14" i="81"/>
  <c r="AD14" i="81"/>
  <c r="AC14" i="81"/>
  <c r="AB14" i="81"/>
  <c r="AA14" i="81"/>
  <c r="Z14" i="81"/>
  <c r="Y14" i="81"/>
  <c r="W14" i="81"/>
  <c r="S14" i="81"/>
  <c r="Q14" i="81"/>
  <c r="N14" i="81"/>
  <c r="X14" i="81" s="1"/>
  <c r="M14" i="81"/>
  <c r="L14" i="81"/>
  <c r="BO13" i="81"/>
  <c r="BC13" i="81"/>
  <c r="BA13" i="81"/>
  <c r="AZ13" i="81"/>
  <c r="AR13" i="81"/>
  <c r="AF13" i="81"/>
  <c r="AE13" i="81"/>
  <c r="AD13" i="81"/>
  <c r="AC13" i="81"/>
  <c r="AB13" i="81"/>
  <c r="AA13" i="81"/>
  <c r="Z13" i="81"/>
  <c r="Y13" i="81"/>
  <c r="W13" i="81"/>
  <c r="S13" i="81"/>
  <c r="Q13" i="81"/>
  <c r="N13" i="81"/>
  <c r="M13" i="81"/>
  <c r="L13" i="81"/>
  <c r="BR13" i="81" s="1"/>
  <c r="BO12" i="81"/>
  <c r="BC12" i="81"/>
  <c r="BA12" i="81"/>
  <c r="AZ12" i="81"/>
  <c r="AR12" i="81"/>
  <c r="AF12" i="81"/>
  <c r="AE12" i="81"/>
  <c r="AD12" i="81"/>
  <c r="AC12" i="81"/>
  <c r="AB12" i="81"/>
  <c r="AA12" i="81"/>
  <c r="Z12" i="81"/>
  <c r="Y12" i="81"/>
  <c r="W12" i="81"/>
  <c r="S12" i="81"/>
  <c r="Q12" i="81"/>
  <c r="L12" i="81"/>
  <c r="BR12" i="81" s="1"/>
  <c r="BO11" i="81"/>
  <c r="BC11" i="81"/>
  <c r="BA11" i="81"/>
  <c r="AZ11" i="81"/>
  <c r="BB11" i="81" s="1"/>
  <c r="BD11" i="81" s="1"/>
  <c r="AR11" i="81"/>
  <c r="AF11" i="81"/>
  <c r="AE11" i="81"/>
  <c r="AD11" i="81"/>
  <c r="AC11" i="81"/>
  <c r="AB11" i="81"/>
  <c r="AA11" i="81"/>
  <c r="Z11" i="81"/>
  <c r="Y11" i="81"/>
  <c r="W11" i="81"/>
  <c r="S11" i="81"/>
  <c r="Q11" i="81"/>
  <c r="N11" i="81"/>
  <c r="M11" i="81"/>
  <c r="L11" i="81"/>
  <c r="BO10" i="81"/>
  <c r="BC10" i="81"/>
  <c r="BA10" i="81"/>
  <c r="AZ10" i="81"/>
  <c r="BB10" i="81" s="1"/>
  <c r="BD10" i="81" s="1"/>
  <c r="AR10" i="81"/>
  <c r="AF10" i="81"/>
  <c r="AE10" i="81"/>
  <c r="AD10" i="81"/>
  <c r="AC10" i="81"/>
  <c r="AB10" i="81"/>
  <c r="AA10" i="81"/>
  <c r="Z10" i="81"/>
  <c r="Y10" i="81"/>
  <c r="W10" i="81"/>
  <c r="S10" i="81"/>
  <c r="Q10" i="81"/>
  <c r="N10" i="81"/>
  <c r="M10" i="81"/>
  <c r="L10" i="81"/>
  <c r="BO9" i="81"/>
  <c r="BC9" i="81"/>
  <c r="BA9" i="81"/>
  <c r="AZ9" i="81"/>
  <c r="BB9" i="81" s="1"/>
  <c r="BD9" i="81" s="1"/>
  <c r="AR9" i="81"/>
  <c r="AF9" i="81"/>
  <c r="AE9" i="81"/>
  <c r="AD9" i="81"/>
  <c r="AC9" i="81"/>
  <c r="AB9" i="81"/>
  <c r="AA9" i="81"/>
  <c r="Z9" i="81"/>
  <c r="Y9" i="81"/>
  <c r="W9" i="81"/>
  <c r="S9" i="81"/>
  <c r="Q9" i="81"/>
  <c r="N9" i="81"/>
  <c r="M9" i="81"/>
  <c r="L9" i="81"/>
  <c r="BO8" i="81"/>
  <c r="BC8" i="81"/>
  <c r="BA8" i="81"/>
  <c r="AZ8" i="81"/>
  <c r="AR8" i="81"/>
  <c r="AF8" i="81"/>
  <c r="AE8" i="81"/>
  <c r="AD8" i="81"/>
  <c r="AC8" i="81"/>
  <c r="AB8" i="81"/>
  <c r="AA8" i="81"/>
  <c r="Z8" i="81"/>
  <c r="Y8" i="81"/>
  <c r="W8" i="81"/>
  <c r="S8" i="81"/>
  <c r="Q8" i="81"/>
  <c r="N8" i="81"/>
  <c r="M8" i="81"/>
  <c r="L8" i="81"/>
  <c r="BO7" i="81"/>
  <c r="BC7" i="81"/>
  <c r="BA7" i="81"/>
  <c r="AZ7" i="81"/>
  <c r="BB7" i="81" s="1"/>
  <c r="BD7" i="81" s="1"/>
  <c r="AR7" i="81"/>
  <c r="AS7" i="81" s="1"/>
  <c r="AT7" i="81" s="1"/>
  <c r="AU7" i="81" s="1"/>
  <c r="AF7" i="81"/>
  <c r="AE7" i="81"/>
  <c r="AD7" i="81"/>
  <c r="AC7" i="81"/>
  <c r="AB7" i="81"/>
  <c r="AA7" i="81"/>
  <c r="Z7" i="81"/>
  <c r="Y7" i="81"/>
  <c r="W7" i="81"/>
  <c r="S7" i="81"/>
  <c r="Q7" i="81"/>
  <c r="N7" i="81"/>
  <c r="X7" i="81" s="1"/>
  <c r="M7" i="81"/>
  <c r="L7" i="81"/>
  <c r="BO6" i="81"/>
  <c r="BC6" i="81"/>
  <c r="BB6" i="81"/>
  <c r="BD6" i="81" s="1"/>
  <c r="BA6" i="81"/>
  <c r="AZ6" i="81"/>
  <c r="AR6" i="81"/>
  <c r="AS6" i="81" s="1"/>
  <c r="AF6" i="81"/>
  <c r="AE6" i="81"/>
  <c r="AD6" i="81"/>
  <c r="AC6" i="81"/>
  <c r="AB6" i="81"/>
  <c r="AA6" i="81"/>
  <c r="Z6" i="81"/>
  <c r="Y6" i="81"/>
  <c r="W6" i="81"/>
  <c r="S6" i="81"/>
  <c r="Q6" i="81"/>
  <c r="N6" i="81"/>
  <c r="M6" i="81"/>
  <c r="L6" i="81"/>
  <c r="BO5" i="81"/>
  <c r="BR5" i="81" s="1"/>
  <c r="BU5" i="81" s="1"/>
  <c r="BC5" i="81"/>
  <c r="BA5" i="81"/>
  <c r="AZ5" i="81"/>
  <c r="BB5" i="81" s="1"/>
  <c r="BD5" i="81" s="1"/>
  <c r="AR5" i="81"/>
  <c r="AS5" i="81" s="1"/>
  <c r="AT5" i="81" s="1"/>
  <c r="AU5" i="81" s="1"/>
  <c r="AF5" i="81"/>
  <c r="AE5" i="81"/>
  <c r="AD5" i="81"/>
  <c r="AC5" i="81"/>
  <c r="AB5" i="81"/>
  <c r="AA5" i="81"/>
  <c r="Z5" i="81"/>
  <c r="Y5" i="81"/>
  <c r="W5" i="81"/>
  <c r="S5" i="81"/>
  <c r="Q5" i="81"/>
  <c r="N5" i="81"/>
  <c r="X5" i="81" s="1"/>
  <c r="M5" i="81"/>
  <c r="L5" i="81"/>
  <c r="BO4" i="81"/>
  <c r="BC4" i="81"/>
  <c r="BB4" i="81"/>
  <c r="BD4" i="81" s="1"/>
  <c r="BA4" i="81"/>
  <c r="AZ4" i="81"/>
  <c r="AR4" i="81"/>
  <c r="AS4" i="81" s="1"/>
  <c r="AF4" i="81"/>
  <c r="AE4" i="81"/>
  <c r="AD4" i="81"/>
  <c r="AC4" i="81"/>
  <c r="AB4" i="81"/>
  <c r="AA4" i="81"/>
  <c r="Z4" i="81"/>
  <c r="Y4" i="81"/>
  <c r="W4" i="81"/>
  <c r="S4" i="81"/>
  <c r="Q4" i="81"/>
  <c r="N4" i="81"/>
  <c r="M4" i="81"/>
  <c r="L4" i="81"/>
  <c r="AV2" i="81"/>
  <c r="AU2" i="81"/>
  <c r="AT2" i="81"/>
  <c r="AS2" i="81"/>
  <c r="P74" i="15"/>
  <c r="Q72" i="15"/>
  <c r="F61" i="15"/>
  <c r="Q59" i="15"/>
  <c r="K59" i="15"/>
  <c r="P61" i="15" s="1"/>
  <c r="F59" i="15"/>
  <c r="Q58" i="15"/>
  <c r="J52" i="15"/>
  <c r="Q51" i="15" s="1"/>
  <c r="J50" i="15"/>
  <c r="M47" i="15"/>
  <c r="D46" i="15"/>
  <c r="F33" i="15"/>
  <c r="F31" i="15"/>
  <c r="F23" i="15"/>
  <c r="D24" i="15" s="1"/>
  <c r="D23" i="15"/>
  <c r="D22" i="15"/>
  <c r="F21" i="15"/>
  <c r="F20" i="15"/>
  <c r="M19" i="15"/>
  <c r="F18" i="15"/>
  <c r="M17" i="15"/>
  <c r="F17" i="15"/>
  <c r="F15" i="1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c r="D100" i="43"/>
  <c r="N99" i="43"/>
  <c r="M99" i="43"/>
  <c r="K99" i="43"/>
  <c r="J99" i="43" s="1"/>
  <c r="H99" i="43"/>
  <c r="D99" i="43"/>
  <c r="M98" i="43"/>
  <c r="N98" i="43" s="1"/>
  <c r="K98" i="43"/>
  <c r="J98" i="43" s="1"/>
  <c r="D98" i="43"/>
  <c r="N97" i="43"/>
  <c r="M97" i="43"/>
  <c r="K97" i="43"/>
  <c r="J97" i="43"/>
  <c r="D97" i="43"/>
  <c r="N96" i="43"/>
  <c r="M96" i="43"/>
  <c r="K96" i="43"/>
  <c r="J96" i="43" s="1"/>
  <c r="H96" i="43"/>
  <c r="D96" i="43"/>
  <c r="E93" i="43" s="1"/>
  <c r="B91" i="43" s="1"/>
  <c r="N95" i="43"/>
  <c r="M95" i="43"/>
  <c r="K95" i="43"/>
  <c r="J95" i="43" s="1"/>
  <c r="D95" i="43"/>
  <c r="B95" i="43"/>
  <c r="N94" i="43"/>
  <c r="M94" i="43"/>
  <c r="K94" i="43"/>
  <c r="J94" i="43"/>
  <c r="D94" i="43"/>
  <c r="N93" i="43"/>
  <c r="M93" i="43"/>
  <c r="K93" i="43"/>
  <c r="J93" i="43" s="1"/>
  <c r="H93" i="43"/>
  <c r="F93" i="43"/>
  <c r="H101" i="43" s="1"/>
  <c r="D93" i="43"/>
  <c r="N90" i="43"/>
  <c r="M90" i="43"/>
  <c r="K90" i="43"/>
  <c r="J90" i="43"/>
  <c r="D90" i="43"/>
  <c r="N89" i="43"/>
  <c r="M89" i="43"/>
  <c r="K89" i="43"/>
  <c r="J89" i="43" s="1"/>
  <c r="H89" i="43"/>
  <c r="D89" i="43"/>
  <c r="N88" i="43"/>
  <c r="M88" i="43"/>
  <c r="K88" i="43"/>
  <c r="J88" i="43"/>
  <c r="D88" i="43"/>
  <c r="N87" i="43"/>
  <c r="M87" i="43"/>
  <c r="K87" i="43"/>
  <c r="J87" i="43"/>
  <c r="H87" i="43"/>
  <c r="D87" i="43"/>
  <c r="M86" i="43"/>
  <c r="N86" i="43" s="1"/>
  <c r="K86" i="43"/>
  <c r="J86" i="43" s="1"/>
  <c r="H86" i="43"/>
  <c r="D86" i="43"/>
  <c r="B86" i="43"/>
  <c r="M85" i="43"/>
  <c r="N85" i="43" s="1"/>
  <c r="K85" i="43"/>
  <c r="J85" i="43" s="1"/>
  <c r="D85" i="43"/>
  <c r="B85" i="43"/>
  <c r="N84" i="43"/>
  <c r="M84" i="43"/>
  <c r="K84" i="43"/>
  <c r="J84" i="43"/>
  <c r="D84" i="43"/>
  <c r="N83" i="43"/>
  <c r="M83" i="43"/>
  <c r="K83" i="43"/>
  <c r="J83" i="43"/>
  <c r="H83" i="43"/>
  <c r="F83" i="43"/>
  <c r="H88" i="43" s="1"/>
  <c r="D83" i="43"/>
  <c r="E83" i="43" s="1"/>
  <c r="B81" i="43" s="1"/>
  <c r="M80" i="43"/>
  <c r="N80" i="43" s="1"/>
  <c r="K80" i="43"/>
  <c r="J80" i="43" s="1"/>
  <c r="D80" i="43"/>
  <c r="N79" i="43"/>
  <c r="M79" i="43"/>
  <c r="K79" i="43"/>
  <c r="J79" i="43"/>
  <c r="H79" i="43"/>
  <c r="D79" i="43"/>
  <c r="N78" i="43"/>
  <c r="M78" i="43"/>
  <c r="K78" i="43"/>
  <c r="J78" i="43" s="1"/>
  <c r="H78" i="43"/>
  <c r="D78" i="43"/>
  <c r="N77" i="43"/>
  <c r="M77" i="43"/>
  <c r="K77" i="43"/>
  <c r="J77" i="43"/>
  <c r="D77" i="43"/>
  <c r="N76" i="43"/>
  <c r="M76" i="43"/>
  <c r="K76" i="43"/>
  <c r="J76" i="43"/>
  <c r="H76" i="43"/>
  <c r="D76" i="43"/>
  <c r="M75" i="43"/>
  <c r="N75" i="43" s="1"/>
  <c r="K75" i="43"/>
  <c r="J75" i="43" s="1"/>
  <c r="H75" i="43"/>
  <c r="D75" i="43"/>
  <c r="M74" i="43"/>
  <c r="N74" i="43" s="1"/>
  <c r="K74" i="43"/>
  <c r="J74" i="43" s="1"/>
  <c r="D74" i="43"/>
  <c r="B74" i="43"/>
  <c r="N73" i="43"/>
  <c r="M73" i="43"/>
  <c r="K73" i="43"/>
  <c r="J73" i="43"/>
  <c r="D73" i="43"/>
  <c r="B73" i="43"/>
  <c r="N72" i="43"/>
  <c r="M72" i="43"/>
  <c r="K72" i="43"/>
  <c r="J72" i="43"/>
  <c r="H72" i="43"/>
  <c r="F72" i="43"/>
  <c r="H77" i="43" s="1"/>
  <c r="D72" i="43"/>
  <c r="E72" i="43" s="1"/>
  <c r="B70" i="43" s="1"/>
  <c r="M69" i="43"/>
  <c r="N69" i="43" s="1"/>
  <c r="K69" i="43"/>
  <c r="J69" i="43" s="1"/>
  <c r="D69" i="43"/>
  <c r="N68" i="43"/>
  <c r="M68" i="43"/>
  <c r="K68" i="43"/>
  <c r="J68" i="43" s="1"/>
  <c r="D68" i="43"/>
  <c r="N67" i="43"/>
  <c r="M67" i="43"/>
  <c r="K67" i="43"/>
  <c r="J67" i="43"/>
  <c r="H67" i="43"/>
  <c r="D67" i="43"/>
  <c r="N66" i="43"/>
  <c r="M66" i="43"/>
  <c r="K66" i="43"/>
  <c r="J66" i="43" s="1"/>
  <c r="H66" i="43"/>
  <c r="D66" i="43"/>
  <c r="N65" i="43"/>
  <c r="M65" i="43"/>
  <c r="K65" i="43"/>
  <c r="J65" i="43" s="1"/>
  <c r="D65" i="43"/>
  <c r="N64" i="43"/>
  <c r="M64" i="43"/>
  <c r="K64" i="43"/>
  <c r="J64" i="43"/>
  <c r="H64" i="43"/>
  <c r="D64" i="43"/>
  <c r="M63" i="43"/>
  <c r="N63" i="43" s="1"/>
  <c r="K63" i="43"/>
  <c r="J63" i="43" s="1"/>
  <c r="D63" i="43"/>
  <c r="B63" i="43"/>
  <c r="N62" i="43"/>
  <c r="M62" i="43"/>
  <c r="K62" i="43"/>
  <c r="J62" i="43" s="1"/>
  <c r="D62" i="43"/>
  <c r="B62" i="43"/>
  <c r="N61" i="43"/>
  <c r="M61" i="43"/>
  <c r="K61" i="43"/>
  <c r="J61" i="43"/>
  <c r="H61" i="43"/>
  <c r="F61" i="43"/>
  <c r="H68" i="43" s="1"/>
  <c r="D61" i="43"/>
  <c r="E61" i="43" s="1"/>
  <c r="B59" i="43" s="1"/>
  <c r="D58" i="43"/>
  <c r="D54" i="43"/>
  <c r="B52" i="43"/>
  <c r="B51" i="43"/>
  <c r="B50" i="43"/>
  <c r="E44" i="43"/>
  <c r="C44" i="43" s="1"/>
  <c r="H41" i="43"/>
  <c r="F41" i="43"/>
  <c r="H40" i="43"/>
  <c r="F40" i="43"/>
  <c r="H39" i="43"/>
  <c r="H38" i="43"/>
  <c r="F38" i="43"/>
  <c r="H37" i="43"/>
  <c r="Q32" i="43"/>
  <c r="O32" i="43"/>
  <c r="N32" i="43"/>
  <c r="M32" i="43"/>
  <c r="J24" i="43"/>
  <c r="G24" i="43"/>
  <c r="E24" i="43"/>
  <c r="P32" i="43" s="1"/>
  <c r="I23" i="43"/>
  <c r="C22" i="43"/>
  <c r="M21" i="43"/>
  <c r="L21" i="43"/>
  <c r="I21" i="43"/>
  <c r="H21" i="43"/>
  <c r="D21" i="43"/>
  <c r="C21" i="43"/>
  <c r="G18" i="43"/>
  <c r="G17" i="43"/>
  <c r="C17" i="43"/>
  <c r="C13" i="43"/>
  <c r="M12" i="43"/>
  <c r="E11" i="43"/>
  <c r="C11" i="43"/>
  <c r="AH10" i="43"/>
  <c r="AG10" i="43"/>
  <c r="AD10" i="43"/>
  <c r="AC10" i="43"/>
  <c r="Z10" i="43"/>
  <c r="Y10" i="43"/>
  <c r="M10" i="43"/>
  <c r="E10" i="43"/>
  <c r="C10" i="43"/>
  <c r="AJ9" i="43"/>
  <c r="AJ10" i="43" s="1"/>
  <c r="AI9" i="43"/>
  <c r="AI10" i="43" s="1"/>
  <c r="AH9" i="43"/>
  <c r="AG9" i="43"/>
  <c r="AF9" i="43"/>
  <c r="AF10" i="43" s="1"/>
  <c r="AE9" i="43"/>
  <c r="AE10" i="43" s="1"/>
  <c r="AD9" i="43"/>
  <c r="AC9" i="43"/>
  <c r="AB9" i="43"/>
  <c r="AB10" i="43" s="1"/>
  <c r="AA9" i="43"/>
  <c r="AA10" i="43" s="1"/>
  <c r="Z9" i="43"/>
  <c r="M9" i="43"/>
  <c r="E9" i="43"/>
  <c r="C9" i="43"/>
  <c r="M8" i="43"/>
  <c r="E8" i="43"/>
  <c r="X7" i="43"/>
  <c r="M7" i="43"/>
  <c r="C7" i="43"/>
  <c r="N6" i="43"/>
  <c r="M6" i="43"/>
  <c r="C6" i="43" s="1"/>
  <c r="U5" i="43"/>
  <c r="S5" i="43"/>
  <c r="N5" i="43"/>
  <c r="U4" i="43"/>
  <c r="N4" i="43"/>
  <c r="M4" i="43"/>
  <c r="U3" i="43"/>
  <c r="N3" i="43"/>
  <c r="M3" i="43"/>
  <c r="U2" i="43"/>
  <c r="N2" i="43"/>
  <c r="M2" i="43"/>
  <c r="I2" i="43"/>
  <c r="N11" i="43" s="1"/>
  <c r="G2" i="43"/>
  <c r="F42" i="43" s="1"/>
  <c r="N1" i="43"/>
  <c r="M1" i="43"/>
  <c r="F24" i="12"/>
  <c r="F23" i="12"/>
  <c r="F22" i="12"/>
  <c r="E20" i="12"/>
  <c r="E19" i="12"/>
  <c r="E17" i="12"/>
  <c r="F15" i="12"/>
  <c r="E14" i="12"/>
  <c r="F13" i="12"/>
  <c r="F12" i="12"/>
  <c r="K7" i="12"/>
  <c r="J7" i="12"/>
  <c r="I7" i="12"/>
  <c r="H7" i="12"/>
  <c r="G7" i="12"/>
  <c r="F7" i="12"/>
  <c r="E7" i="12"/>
  <c r="D7" i="12"/>
  <c r="C7" i="12"/>
  <c r="C4" i="12"/>
  <c r="F39" i="69"/>
  <c r="F38" i="69"/>
  <c r="E37" i="69"/>
  <c r="F36" i="69"/>
  <c r="F35" i="69"/>
  <c r="F21" i="69"/>
  <c r="F40" i="69" s="1"/>
  <c r="F20" i="69"/>
  <c r="E10" i="69"/>
  <c r="E9" i="69"/>
  <c r="F7" i="69"/>
  <c r="C7" i="69" s="1"/>
  <c r="H1" i="69"/>
  <c r="F38" i="68"/>
  <c r="E37" i="68"/>
  <c r="F36" i="68"/>
  <c r="F35" i="68"/>
  <c r="F21" i="68"/>
  <c r="C40" i="68" s="1"/>
  <c r="F20" i="68"/>
  <c r="F39" i="68" s="1"/>
  <c r="C19" i="68"/>
  <c r="E10" i="68"/>
  <c r="E9" i="68"/>
  <c r="F7" i="68"/>
  <c r="A122" i="9"/>
  <c r="A120" i="9"/>
  <c r="E111" i="9"/>
  <c r="H112" i="9" s="1"/>
  <c r="H109" i="9"/>
  <c r="D124" i="9" s="1"/>
  <c r="D125" i="9" s="1"/>
  <c r="D11" i="52" s="1"/>
  <c r="E109" i="9"/>
  <c r="A124" i="9" s="1"/>
  <c r="A10" i="52" s="1"/>
  <c r="B55" i="72" s="1"/>
  <c r="E107" i="9"/>
  <c r="H106" i="9"/>
  <c r="H105" i="9"/>
  <c r="H103" i="9" s="1"/>
  <c r="H104" i="9"/>
  <c r="D101" i="9"/>
  <c r="C101" i="9"/>
  <c r="C91" i="9"/>
  <c r="E90" i="9"/>
  <c r="D89" i="9"/>
  <c r="C89" i="9" s="1"/>
  <c r="C87" i="9" s="1"/>
  <c r="D78" i="9"/>
  <c r="H77" i="9"/>
  <c r="D77" i="9"/>
  <c r="C76" i="9"/>
  <c r="F59" i="9"/>
  <c r="E59" i="9"/>
  <c r="F56" i="9"/>
  <c r="O54" i="9" s="1"/>
  <c r="O55" i="9"/>
  <c r="N55" i="9"/>
  <c r="K55" i="9"/>
  <c r="J55" i="9"/>
  <c r="I55" i="9"/>
  <c r="F55" i="9"/>
  <c r="N54" i="9"/>
  <c r="O53" i="9"/>
  <c r="N53" i="9"/>
  <c r="K49" i="9"/>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B75" i="43" s="1"/>
  <c r="C22" i="20"/>
  <c r="C29" i="39" s="1"/>
  <c r="C21" i="20"/>
  <c r="C27" i="39" s="1"/>
  <c r="G20" i="20"/>
  <c r="C25" i="40" s="1"/>
  <c r="C20" i="20"/>
  <c r="C25" i="39" s="1"/>
  <c r="G19" i="20"/>
  <c r="C23" i="40" s="1"/>
  <c r="G18" i="20"/>
  <c r="C21" i="40" s="1"/>
  <c r="C18" i="20"/>
  <c r="C21" i="39" s="1"/>
  <c r="C17" i="20"/>
  <c r="C19" i="39" s="1"/>
  <c r="G16" i="20"/>
  <c r="C17" i="40" s="1"/>
  <c r="C16" i="20"/>
  <c r="C17" i="39" s="1"/>
  <c r="G15" i="20"/>
  <c r="C15" i="40" s="1"/>
  <c r="C15" i="20"/>
  <c r="C15" i="39" s="1"/>
  <c r="H28" i="80"/>
  <c r="H27" i="80"/>
  <c r="H19" i="80"/>
  <c r="H18" i="80"/>
  <c r="M15" i="80"/>
  <c r="H15" i="80"/>
  <c r="F15" i="80"/>
  <c r="K14" i="80"/>
  <c r="M14" i="80" s="1"/>
  <c r="I19" i="80" s="1"/>
  <c r="D14" i="80"/>
  <c r="D16" i="80" s="1"/>
  <c r="F7" i="80"/>
  <c r="F6" i="80"/>
  <c r="F5" i="80"/>
  <c r="B52" i="1"/>
  <c r="B43" i="1"/>
  <c r="D93" i="9" s="1"/>
  <c r="B41" i="1"/>
  <c r="F30" i="69" s="1"/>
  <c r="B31" i="1"/>
  <c r="E19" i="11" s="1"/>
  <c r="B24" i="1"/>
  <c r="F34" i="11" s="1"/>
  <c r="B23" i="1"/>
  <c r="B22" i="1"/>
  <c r="G26" i="12" s="1"/>
  <c r="P14" i="1"/>
  <c r="O14" i="1"/>
  <c r="AP13" i="1"/>
  <c r="AG13" i="1"/>
  <c r="AE13" i="1"/>
  <c r="R13" i="1"/>
  <c r="P13" i="1"/>
  <c r="O13" i="1"/>
  <c r="G13" i="1"/>
  <c r="F13" i="1"/>
  <c r="D13" i="1"/>
  <c r="B13" i="1"/>
  <c r="E13" i="1" s="1"/>
  <c r="A13" i="1"/>
  <c r="S13" i="1" s="1"/>
  <c r="AP12" i="1"/>
  <c r="AG12" i="1"/>
  <c r="AE12" i="1"/>
  <c r="S12" i="1"/>
  <c r="P12" i="1"/>
  <c r="O12" i="1"/>
  <c r="K12" i="1"/>
  <c r="M12" i="1" s="1"/>
  <c r="F12" i="1"/>
  <c r="D12" i="1"/>
  <c r="G12" i="1" s="1"/>
  <c r="A12" i="1"/>
  <c r="R12" i="1" s="1"/>
  <c r="AP11" i="1"/>
  <c r="AG11" i="1"/>
  <c r="AE11" i="1"/>
  <c r="R11" i="1"/>
  <c r="P11" i="1"/>
  <c r="O11" i="1"/>
  <c r="G11" i="1"/>
  <c r="F11" i="1"/>
  <c r="D11" i="1"/>
  <c r="B11" i="1"/>
  <c r="E11" i="1" s="1"/>
  <c r="A11" i="1"/>
  <c r="S11" i="1" s="1"/>
  <c r="AR11" i="1" s="1"/>
  <c r="AP10" i="1"/>
  <c r="AG10" i="1"/>
  <c r="AE10" i="1"/>
  <c r="S10" i="1"/>
  <c r="P10" i="1"/>
  <c r="O10" i="1"/>
  <c r="K10" i="1"/>
  <c r="M10" i="1" s="1"/>
  <c r="F10" i="1"/>
  <c r="D10" i="1"/>
  <c r="G10" i="1" s="1"/>
  <c r="A10" i="1"/>
  <c r="R10" i="1" s="1"/>
  <c r="AP9" i="1"/>
  <c r="AG9" i="1"/>
  <c r="AE9" i="1"/>
  <c r="R9" i="1"/>
  <c r="P9" i="1"/>
  <c r="O9" i="1"/>
  <c r="G9" i="1"/>
  <c r="F9" i="1"/>
  <c r="D9" i="1"/>
  <c r="B9" i="1"/>
  <c r="E9" i="1" s="1"/>
  <c r="A9" i="1"/>
  <c r="S9" i="1" s="1"/>
  <c r="AP8" i="1"/>
  <c r="AG8" i="1"/>
  <c r="AE8" i="1"/>
  <c r="S8" i="1"/>
  <c r="P8" i="1"/>
  <c r="O8" i="1"/>
  <c r="K8" i="1"/>
  <c r="M8" i="1" s="1"/>
  <c r="F8" i="1"/>
  <c r="D8" i="1"/>
  <c r="G8" i="1" s="1"/>
  <c r="A8" i="1"/>
  <c r="R8" i="1" s="1"/>
  <c r="AP7" i="1"/>
  <c r="AG7" i="1"/>
  <c r="AE7" i="1"/>
  <c r="P7" i="1"/>
  <c r="O7" i="1"/>
  <c r="F7" i="1"/>
  <c r="G7" i="1" s="1"/>
  <c r="D7" i="1"/>
  <c r="A7" i="1"/>
  <c r="S7" i="1" s="1"/>
  <c r="AP6" i="1"/>
  <c r="AG6" i="1"/>
  <c r="Y6" i="1"/>
  <c r="P6" i="1"/>
  <c r="O6" i="1"/>
  <c r="D6" i="1"/>
  <c r="A6" i="1"/>
  <c r="G1" i="69" s="1"/>
  <c r="T4" i="1"/>
  <c r="B2" i="1"/>
  <c r="G23" i="43"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L587" i="3" s="1"/>
  <c r="BN587" i="3"/>
  <c r="BM587" i="3"/>
  <c r="BK587" i="3"/>
  <c r="BJ587" i="3"/>
  <c r="BI587" i="3"/>
  <c r="BH587" i="3"/>
  <c r="BG587" i="3"/>
  <c r="BF587" i="3"/>
  <c r="BE587" i="3"/>
  <c r="BD587" i="3"/>
  <c r="BC587" i="3"/>
  <c r="BA587" i="3" s="1"/>
  <c r="AZ587" i="3" s="1"/>
  <c r="BB587" i="3"/>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Z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G584" i="3" s="1"/>
  <c r="H584" i="3"/>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Z582" i="3" s="1"/>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G580" i="3" s="1"/>
  <c r="H580" i="3"/>
  <c r="BT579" i="3"/>
  <c r="BS579" i="3"/>
  <c r="BR579" i="3"/>
  <c r="BQ579" i="3"/>
  <c r="BP579" i="3"/>
  <c r="BO579" i="3"/>
  <c r="BL579" i="3" s="1"/>
  <c r="BN579" i="3"/>
  <c r="BM579" i="3"/>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L578" i="3" s="1"/>
  <c r="BM578" i="3"/>
  <c r="BK578" i="3"/>
  <c r="BJ578" i="3"/>
  <c r="BI578" i="3"/>
  <c r="BH578" i="3"/>
  <c r="BG578" i="3"/>
  <c r="BF578" i="3"/>
  <c r="BE578" i="3"/>
  <c r="BD578" i="3"/>
  <c r="BC578" i="3"/>
  <c r="BB578" i="3"/>
  <c r="BA578" i="3" s="1"/>
  <c r="AZ578" i="3" s="1"/>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A576" i="3" s="1"/>
  <c r="AZ576" i="3" s="1"/>
  <c r="BC576" i="3"/>
  <c r="BB576" i="3"/>
  <c r="AX576" i="3"/>
  <c r="AW576" i="3"/>
  <c r="AV576" i="3"/>
  <c r="AC576" i="3"/>
  <c r="G576" i="3" s="1"/>
  <c r="H576" i="3"/>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Z574" i="3" s="1"/>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G572" i="3" s="1"/>
  <c r="H572" i="3"/>
  <c r="BT571" i="3"/>
  <c r="BS571" i="3"/>
  <c r="BR571" i="3"/>
  <c r="BQ571" i="3"/>
  <c r="BP571" i="3"/>
  <c r="BO571" i="3"/>
  <c r="BL571" i="3" s="1"/>
  <c r="BN571" i="3"/>
  <c r="BM571" i="3"/>
  <c r="BK571" i="3"/>
  <c r="BJ571" i="3"/>
  <c r="BI571" i="3"/>
  <c r="BH571" i="3"/>
  <c r="BG571" i="3"/>
  <c r="BF571" i="3"/>
  <c r="BE571" i="3"/>
  <c r="BD571" i="3"/>
  <c r="BC571" i="3"/>
  <c r="BA571" i="3" s="1"/>
  <c r="AZ571" i="3" s="1"/>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G568" i="3" s="1"/>
  <c r="H568" i="3"/>
  <c r="BT567" i="3"/>
  <c r="BS567" i="3"/>
  <c r="BR567" i="3"/>
  <c r="BQ567" i="3"/>
  <c r="BP567" i="3"/>
  <c r="BO567" i="3"/>
  <c r="BL567" i="3" s="1"/>
  <c r="BN567" i="3"/>
  <c r="BM567" i="3"/>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L566" i="3" s="1"/>
  <c r="BM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A564" i="3" s="1"/>
  <c r="AZ564" i="3" s="1"/>
  <c r="BC564" i="3"/>
  <c r="BB564" i="3"/>
  <c r="AX564" i="3"/>
  <c r="AW564" i="3"/>
  <c r="AV564" i="3"/>
  <c r="AC564" i="3"/>
  <c r="G564" i="3" s="1"/>
  <c r="H564" i="3"/>
  <c r="BT563" i="3"/>
  <c r="BS563" i="3"/>
  <c r="BR563" i="3"/>
  <c r="BQ563" i="3"/>
  <c r="BP563" i="3"/>
  <c r="BO563" i="3"/>
  <c r="BL563" i="3" s="1"/>
  <c r="BN563" i="3"/>
  <c r="BM563" i="3"/>
  <c r="BK563" i="3"/>
  <c r="BJ563" i="3"/>
  <c r="BI563" i="3"/>
  <c r="BH563" i="3"/>
  <c r="BG563" i="3"/>
  <c r="BF563" i="3"/>
  <c r="BE563" i="3"/>
  <c r="BD563" i="3"/>
  <c r="BC563" i="3"/>
  <c r="BA563" i="3" s="1"/>
  <c r="AZ563" i="3" s="1"/>
  <c r="BB563" i="3"/>
  <c r="AX563" i="3"/>
  <c r="AW563" i="3"/>
  <c r="AV563" i="3"/>
  <c r="AC563" i="3"/>
  <c r="H563" i="3"/>
  <c r="G563" i="3" s="1"/>
  <c r="BT562" i="3"/>
  <c r="BS562" i="3"/>
  <c r="BR562" i="3"/>
  <c r="BQ562" i="3"/>
  <c r="BP562" i="3"/>
  <c r="BO562" i="3"/>
  <c r="BN562" i="3"/>
  <c r="BL562" i="3" s="1"/>
  <c r="BM562" i="3"/>
  <c r="BK562" i="3"/>
  <c r="BJ562" i="3"/>
  <c r="BI562" i="3"/>
  <c r="BH562" i="3"/>
  <c r="BG562" i="3"/>
  <c r="BF562" i="3"/>
  <c r="BE562" i="3"/>
  <c r="BD562" i="3"/>
  <c r="BC562" i="3"/>
  <c r="BB562" i="3"/>
  <c r="BA562" i="3" s="1"/>
  <c r="AZ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A560" i="3" s="1"/>
  <c r="AZ560" i="3" s="1"/>
  <c r="BC560" i="3"/>
  <c r="BB560" i="3"/>
  <c r="AX560" i="3"/>
  <c r="AW560" i="3"/>
  <c r="AV560" i="3"/>
  <c r="AC560" i="3"/>
  <c r="G560" i="3" s="1"/>
  <c r="H560" i="3"/>
  <c r="BT559" i="3"/>
  <c r="BS559" i="3"/>
  <c r="BR559" i="3"/>
  <c r="BQ559" i="3"/>
  <c r="BP559" i="3"/>
  <c r="BO559" i="3"/>
  <c r="BL559" i="3" s="1"/>
  <c r="BN559" i="3"/>
  <c r="BM559" i="3"/>
  <c r="BK559" i="3"/>
  <c r="BJ559" i="3"/>
  <c r="BI559" i="3"/>
  <c r="BH559" i="3"/>
  <c r="BG559" i="3"/>
  <c r="BF559" i="3"/>
  <c r="BE559" i="3"/>
  <c r="BD559" i="3"/>
  <c r="BC559" i="3"/>
  <c r="BA559" i="3" s="1"/>
  <c r="AZ559" i="3" s="1"/>
  <c r="BB559" i="3"/>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A556" i="3" s="1"/>
  <c r="AZ556" i="3" s="1"/>
  <c r="BC556" i="3"/>
  <c r="BB556" i="3"/>
  <c r="AX556" i="3"/>
  <c r="AW556" i="3"/>
  <c r="AV556" i="3"/>
  <c r="AC556" i="3"/>
  <c r="G556" i="3" s="1"/>
  <c r="H556" i="3"/>
  <c r="BT555" i="3"/>
  <c r="BS555" i="3"/>
  <c r="BR555" i="3"/>
  <c r="BQ555" i="3"/>
  <c r="BP555" i="3"/>
  <c r="BO555" i="3"/>
  <c r="BL555" i="3" s="1"/>
  <c r="BN555" i="3"/>
  <c r="BM555" i="3"/>
  <c r="BK555" i="3"/>
  <c r="BJ555" i="3"/>
  <c r="BI555" i="3"/>
  <c r="BH555" i="3"/>
  <c r="BG555" i="3"/>
  <c r="BF555" i="3"/>
  <c r="BE555" i="3"/>
  <c r="BD555" i="3"/>
  <c r="BC555" i="3"/>
  <c r="BA555" i="3" s="1"/>
  <c r="AZ555" i="3" s="1"/>
  <c r="BB555" i="3"/>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A552" i="3" s="1"/>
  <c r="AZ552" i="3" s="1"/>
  <c r="BC552" i="3"/>
  <c r="BB552" i="3"/>
  <c r="AX552" i="3"/>
  <c r="AW552" i="3"/>
  <c r="AV552" i="3"/>
  <c r="AC552" i="3"/>
  <c r="G552" i="3" s="1"/>
  <c r="H552" i="3"/>
  <c r="BT551" i="3"/>
  <c r="BS551" i="3"/>
  <c r="BR551" i="3"/>
  <c r="BQ551" i="3"/>
  <c r="BP551" i="3"/>
  <c r="BO551" i="3"/>
  <c r="BL551" i="3" s="1"/>
  <c r="BN551" i="3"/>
  <c r="BM551" i="3"/>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L550" i="3" s="1"/>
  <c r="BM550" i="3"/>
  <c r="BK550" i="3"/>
  <c r="BJ550" i="3"/>
  <c r="BI550" i="3"/>
  <c r="BH550" i="3"/>
  <c r="BG550" i="3"/>
  <c r="BF550" i="3"/>
  <c r="BE550" i="3"/>
  <c r="BD550" i="3"/>
  <c r="BC550" i="3"/>
  <c r="BB550" i="3"/>
  <c r="BA550" i="3" s="1"/>
  <c r="AZ550" i="3" s="1"/>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A548" i="3" s="1"/>
  <c r="AZ548" i="3" s="1"/>
  <c r="BC548" i="3"/>
  <c r="BB548" i="3"/>
  <c r="AX548" i="3"/>
  <c r="AW548" i="3"/>
  <c r="AV548" i="3"/>
  <c r="AC548" i="3"/>
  <c r="G548" i="3" s="1"/>
  <c r="H548" i="3"/>
  <c r="BT547" i="3"/>
  <c r="BS547" i="3"/>
  <c r="BR547" i="3"/>
  <c r="BQ547" i="3"/>
  <c r="BP547" i="3"/>
  <c r="BO547" i="3"/>
  <c r="BL547" i="3" s="1"/>
  <c r="BN547" i="3"/>
  <c r="BM547" i="3"/>
  <c r="BK547" i="3"/>
  <c r="BJ547" i="3"/>
  <c r="BI547" i="3"/>
  <c r="BH547" i="3"/>
  <c r="BG547" i="3"/>
  <c r="BF547" i="3"/>
  <c r="BE547" i="3"/>
  <c r="BD547" i="3"/>
  <c r="BC547" i="3"/>
  <c r="BA547" i="3" s="1"/>
  <c r="AZ547" i="3" s="1"/>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C546" i="3"/>
  <c r="BB546" i="3"/>
  <c r="BA546" i="3" s="1"/>
  <c r="AZ546" i="3" s="1"/>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A544" i="3" s="1"/>
  <c r="AZ544" i="3" s="1"/>
  <c r="BC544" i="3"/>
  <c r="BB544" i="3"/>
  <c r="AX544" i="3"/>
  <c r="AW544" i="3"/>
  <c r="AV544" i="3"/>
  <c r="AC544" i="3"/>
  <c r="G544" i="3" s="1"/>
  <c r="H544" i="3"/>
  <c r="BT543" i="3"/>
  <c r="BS543" i="3"/>
  <c r="BR543" i="3"/>
  <c r="BQ543" i="3"/>
  <c r="BP543" i="3"/>
  <c r="BO543" i="3"/>
  <c r="BL543" i="3" s="1"/>
  <c r="BN543" i="3"/>
  <c r="BM543" i="3"/>
  <c r="BK543" i="3"/>
  <c r="BJ543" i="3"/>
  <c r="BI543" i="3"/>
  <c r="BH543" i="3"/>
  <c r="BG543" i="3"/>
  <c r="BF543" i="3"/>
  <c r="BE543" i="3"/>
  <c r="BD543" i="3"/>
  <c r="BC543" i="3"/>
  <c r="BA543" i="3" s="1"/>
  <c r="AZ543" i="3" s="1"/>
  <c r="BB543" i="3"/>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Z542" i="3" s="1"/>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G540" i="3" s="1"/>
  <c r="H540" i="3"/>
  <c r="BT539" i="3"/>
  <c r="BS539" i="3"/>
  <c r="BR539" i="3"/>
  <c r="BQ539" i="3"/>
  <c r="BP539" i="3"/>
  <c r="BO539" i="3"/>
  <c r="BL539" i="3" s="1"/>
  <c r="BN539" i="3"/>
  <c r="BM539" i="3"/>
  <c r="BK539" i="3"/>
  <c r="BJ539" i="3"/>
  <c r="BI539" i="3"/>
  <c r="BH539" i="3"/>
  <c r="BG539" i="3"/>
  <c r="BF539" i="3"/>
  <c r="BE539" i="3"/>
  <c r="BD539" i="3"/>
  <c r="BC539" i="3"/>
  <c r="BA539" i="3" s="1"/>
  <c r="AZ539" i="3" s="1"/>
  <c r="BB539" i="3"/>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A536" i="3" s="1"/>
  <c r="AZ536" i="3" s="1"/>
  <c r="BC536" i="3"/>
  <c r="BB536" i="3"/>
  <c r="AX536" i="3"/>
  <c r="AW536" i="3"/>
  <c r="AV536" i="3"/>
  <c r="AC536" i="3"/>
  <c r="G536" i="3" s="1"/>
  <c r="H536" i="3"/>
  <c r="BT535" i="3"/>
  <c r="BS535" i="3"/>
  <c r="BR535" i="3"/>
  <c r="BQ535" i="3"/>
  <c r="BP535" i="3"/>
  <c r="BO535" i="3"/>
  <c r="BL535" i="3" s="1"/>
  <c r="BN535" i="3"/>
  <c r="BM535" i="3"/>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L534" i="3" s="1"/>
  <c r="BM534" i="3"/>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G532" i="3" s="1"/>
  <c r="H532" i="3"/>
  <c r="BT531" i="3"/>
  <c r="BS531" i="3"/>
  <c r="BR531" i="3"/>
  <c r="BQ531" i="3"/>
  <c r="BP531" i="3"/>
  <c r="BO531" i="3"/>
  <c r="BL531" i="3" s="1"/>
  <c r="BN531" i="3"/>
  <c r="BM531" i="3"/>
  <c r="BK531" i="3"/>
  <c r="BJ531" i="3"/>
  <c r="BI531" i="3"/>
  <c r="BH531" i="3"/>
  <c r="BG531" i="3"/>
  <c r="BF531" i="3"/>
  <c r="BE531" i="3"/>
  <c r="BD531" i="3"/>
  <c r="BC531" i="3"/>
  <c r="BA531" i="3" s="1"/>
  <c r="AZ531" i="3" s="1"/>
  <c r="BB531" i="3"/>
  <c r="AX531" i="3"/>
  <c r="AW531" i="3"/>
  <c r="AV531" i="3"/>
  <c r="AC531" i="3"/>
  <c r="H531" i="3"/>
  <c r="G531" i="3" s="1"/>
  <c r="BT530" i="3"/>
  <c r="BS530" i="3"/>
  <c r="BR530" i="3"/>
  <c r="BQ530" i="3"/>
  <c r="BP530" i="3"/>
  <c r="BO530" i="3"/>
  <c r="BN530" i="3"/>
  <c r="BL530" i="3" s="1"/>
  <c r="BM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A528" i="3" s="1"/>
  <c r="AZ528" i="3" s="1"/>
  <c r="BC528" i="3"/>
  <c r="BB528" i="3"/>
  <c r="AX528" i="3"/>
  <c r="AW528" i="3"/>
  <c r="AV528" i="3"/>
  <c r="AC528" i="3"/>
  <c r="G528" i="3" s="1"/>
  <c r="H528" i="3"/>
  <c r="BT527" i="3"/>
  <c r="BS527" i="3"/>
  <c r="BR527" i="3"/>
  <c r="BQ527" i="3"/>
  <c r="BP527" i="3"/>
  <c r="BO527" i="3"/>
  <c r="BL527" i="3" s="1"/>
  <c r="BN527" i="3"/>
  <c r="BM527" i="3"/>
  <c r="BK527" i="3"/>
  <c r="BJ527" i="3"/>
  <c r="BI527" i="3"/>
  <c r="BH527" i="3"/>
  <c r="BG527" i="3"/>
  <c r="BF527" i="3"/>
  <c r="BE527" i="3"/>
  <c r="BD527" i="3"/>
  <c r="BC527" i="3"/>
  <c r="BA527" i="3" s="1"/>
  <c r="AZ527" i="3" s="1"/>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G524" i="3" s="1"/>
  <c r="H524" i="3"/>
  <c r="BT523" i="3"/>
  <c r="BS523" i="3"/>
  <c r="BR523" i="3"/>
  <c r="BQ523" i="3"/>
  <c r="BP523" i="3"/>
  <c r="BO523" i="3"/>
  <c r="BL523" i="3" s="1"/>
  <c r="BN523" i="3"/>
  <c r="BM523" i="3"/>
  <c r="BK523" i="3"/>
  <c r="BJ523" i="3"/>
  <c r="BI523" i="3"/>
  <c r="BH523" i="3"/>
  <c r="BG523" i="3"/>
  <c r="BF523" i="3"/>
  <c r="BE523" i="3"/>
  <c r="BD523" i="3"/>
  <c r="BC523" i="3"/>
  <c r="BA523" i="3" s="1"/>
  <c r="AZ523" i="3" s="1"/>
  <c r="BB523" i="3"/>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A520" i="3" s="1"/>
  <c r="AZ520" i="3" s="1"/>
  <c r="BC520" i="3"/>
  <c r="BB520" i="3"/>
  <c r="AX520" i="3"/>
  <c r="AW520" i="3"/>
  <c r="AV520" i="3"/>
  <c r="AC520" i="3"/>
  <c r="G520" i="3" s="1"/>
  <c r="H520" i="3"/>
  <c r="BT519" i="3"/>
  <c r="BS519" i="3"/>
  <c r="BR519" i="3"/>
  <c r="BQ519" i="3"/>
  <c r="BP519" i="3"/>
  <c r="BO519" i="3"/>
  <c r="BL519" i="3" s="1"/>
  <c r="BN519" i="3"/>
  <c r="BM519" i="3"/>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L518" i="3" s="1"/>
  <c r="BM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A516" i="3" s="1"/>
  <c r="AZ516" i="3" s="1"/>
  <c r="BC516" i="3"/>
  <c r="BB516" i="3"/>
  <c r="AX516" i="3"/>
  <c r="AW516" i="3"/>
  <c r="AV516" i="3"/>
  <c r="AC516" i="3"/>
  <c r="G516" i="3" s="1"/>
  <c r="H516" i="3"/>
  <c r="BT515" i="3"/>
  <c r="BS515" i="3"/>
  <c r="BR515" i="3"/>
  <c r="BQ515" i="3"/>
  <c r="BP515" i="3"/>
  <c r="BO515" i="3"/>
  <c r="BL515" i="3" s="1"/>
  <c r="BN515" i="3"/>
  <c r="BM515" i="3"/>
  <c r="BK515" i="3"/>
  <c r="BJ515" i="3"/>
  <c r="BI515" i="3"/>
  <c r="BH515" i="3"/>
  <c r="BG515" i="3"/>
  <c r="BF515" i="3"/>
  <c r="BE515" i="3"/>
  <c r="BD515" i="3"/>
  <c r="BC515" i="3"/>
  <c r="BA515" i="3" s="1"/>
  <c r="AZ515" i="3" s="1"/>
  <c r="BB515" i="3"/>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A512" i="3" s="1"/>
  <c r="AZ512" i="3" s="1"/>
  <c r="BC512" i="3"/>
  <c r="BB512" i="3"/>
  <c r="AX512" i="3"/>
  <c r="AW512" i="3"/>
  <c r="AV512" i="3"/>
  <c r="AC512" i="3"/>
  <c r="G512" i="3" s="1"/>
  <c r="H512" i="3"/>
  <c r="BT511" i="3"/>
  <c r="BS511" i="3"/>
  <c r="BR511" i="3"/>
  <c r="BQ511" i="3"/>
  <c r="BP511" i="3"/>
  <c r="BO511" i="3"/>
  <c r="BL511" i="3" s="1"/>
  <c r="BN511" i="3"/>
  <c r="BM511" i="3"/>
  <c r="BK511" i="3"/>
  <c r="BJ511" i="3"/>
  <c r="BI511" i="3"/>
  <c r="BH511" i="3"/>
  <c r="BG511" i="3"/>
  <c r="BF511" i="3"/>
  <c r="BE511" i="3"/>
  <c r="BD511" i="3"/>
  <c r="BC511" i="3"/>
  <c r="BA511" i="3" s="1"/>
  <c r="AZ511" i="3" s="1"/>
  <c r="BB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G508" i="3" s="1"/>
  <c r="H508" i="3"/>
  <c r="BT507" i="3"/>
  <c r="BS507" i="3"/>
  <c r="BR507" i="3"/>
  <c r="BQ507" i="3"/>
  <c r="BP507" i="3"/>
  <c r="BO507" i="3"/>
  <c r="BL507" i="3" s="1"/>
  <c r="BN507" i="3"/>
  <c r="BM507" i="3"/>
  <c r="BK507" i="3"/>
  <c r="BJ507" i="3"/>
  <c r="BI507" i="3"/>
  <c r="BH507" i="3"/>
  <c r="BG507" i="3"/>
  <c r="BF507" i="3"/>
  <c r="BE507" i="3"/>
  <c r="BD507" i="3"/>
  <c r="BC507" i="3"/>
  <c r="BA507" i="3" s="1"/>
  <c r="AZ507" i="3" s="1"/>
  <c r="BB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s="1"/>
  <c r="AZ504" i="3" s="1"/>
  <c r="BC504" i="3"/>
  <c r="BB504" i="3"/>
  <c r="AX504" i="3"/>
  <c r="AW504" i="3"/>
  <c r="AV504" i="3"/>
  <c r="AC504" i="3"/>
  <c r="G504" i="3" s="1"/>
  <c r="H504" i="3"/>
  <c r="BT503" i="3"/>
  <c r="BS503" i="3"/>
  <c r="BR503" i="3"/>
  <c r="BQ503" i="3"/>
  <c r="BP503" i="3"/>
  <c r="BO503" i="3"/>
  <c r="BL503" i="3" s="1"/>
  <c r="BN503" i="3"/>
  <c r="BM503" i="3"/>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G500" i="3" s="1"/>
  <c r="H500" i="3"/>
  <c r="BT499" i="3"/>
  <c r="BS499" i="3"/>
  <c r="BR499" i="3"/>
  <c r="BQ499" i="3"/>
  <c r="BP499" i="3"/>
  <c r="BO499" i="3"/>
  <c r="BL499" i="3" s="1"/>
  <c r="BN499" i="3"/>
  <c r="BM499" i="3"/>
  <c r="BK499" i="3"/>
  <c r="BJ499" i="3"/>
  <c r="BI499" i="3"/>
  <c r="BH499" i="3"/>
  <c r="BG499" i="3"/>
  <c r="BF499" i="3"/>
  <c r="BE499" i="3"/>
  <c r="BD499" i="3"/>
  <c r="BC499" i="3"/>
  <c r="BA499" i="3" s="1"/>
  <c r="AZ499" i="3" s="1"/>
  <c r="BB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G496" i="3" s="1"/>
  <c r="H496" i="3"/>
  <c r="BT495" i="3"/>
  <c r="BS495" i="3"/>
  <c r="BR495" i="3"/>
  <c r="BQ495" i="3"/>
  <c r="BP495" i="3"/>
  <c r="BO495" i="3"/>
  <c r="BL495" i="3" s="1"/>
  <c r="BN495" i="3"/>
  <c r="BM495" i="3"/>
  <c r="BK495" i="3"/>
  <c r="BJ495" i="3"/>
  <c r="BI495" i="3"/>
  <c r="BH495" i="3"/>
  <c r="BG495" i="3"/>
  <c r="BF495" i="3"/>
  <c r="BE495" i="3"/>
  <c r="BD495" i="3"/>
  <c r="BC495" i="3"/>
  <c r="BA495" i="3" s="1"/>
  <c r="AZ495" i="3" s="1"/>
  <c r="BB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AZ491" i="3" s="1"/>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A403" i="3" s="1"/>
  <c r="AZ403" i="3" s="1"/>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AZ391" i="3" s="1"/>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A383" i="3" s="1"/>
  <c r="AZ383" i="3" s="1"/>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A379" i="3" s="1"/>
  <c r="AZ379" i="3" s="1"/>
  <c r="BB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A375" i="3" s="1"/>
  <c r="AZ375" i="3" s="1"/>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A359" i="3" s="1"/>
  <c r="AZ359" i="3" s="1"/>
  <c r="BB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AZ351" i="3" s="1"/>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A311" i="3" s="1"/>
  <c r="AZ311" i="3" s="1"/>
  <c r="BB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A199" i="3" s="1"/>
  <c r="AZ199" i="3" s="1"/>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A159" i="3" s="1"/>
  <c r="AZ159" i="3" s="1"/>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L99" i="3" s="1"/>
  <c r="BS99" i="3"/>
  <c r="BR99" i="3"/>
  <c r="BQ99" i="3"/>
  <c r="BP99" i="3"/>
  <c r="BO99" i="3"/>
  <c r="BN99" i="3"/>
  <c r="BM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A64" i="3" s="1"/>
  <c r="BD64" i="3"/>
  <c r="BC64" i="3"/>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G32" i="3" s="1"/>
  <c r="H32" i="3"/>
  <c r="BT31" i="3"/>
  <c r="BS31" i="3"/>
  <c r="BR31" i="3"/>
  <c r="BQ31" i="3"/>
  <c r="BP31" i="3"/>
  <c r="BO31" i="3"/>
  <c r="BL31" i="3" s="1"/>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G20" i="3" s="1"/>
  <c r="H20" i="3"/>
  <c r="BT19" i="3"/>
  <c r="BS19" i="3"/>
  <c r="BR19" i="3"/>
  <c r="BQ19" i="3"/>
  <c r="BP19" i="3"/>
  <c r="BO19" i="3"/>
  <c r="BL19" i="3" s="1"/>
  <c r="BN19" i="3"/>
  <c r="BM19" i="3"/>
  <c r="BK19" i="3"/>
  <c r="BJ19" i="3"/>
  <c r="BI19" i="3"/>
  <c r="BH19" i="3"/>
  <c r="BG19" i="3"/>
  <c r="BF19" i="3"/>
  <c r="BE19" i="3"/>
  <c r="BD19" i="3"/>
  <c r="BC19" i="3"/>
  <c r="BA19" i="3" s="1"/>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F5" i="3" s="1"/>
  <c r="BE16" i="3"/>
  <c r="BD16" i="3"/>
  <c r="BA16" i="3" s="1"/>
  <c r="AZ16" i="3" s="1"/>
  <c r="BC16" i="3"/>
  <c r="BB16" i="3"/>
  <c r="AX16" i="3"/>
  <c r="AW16" i="3"/>
  <c r="AV16" i="3"/>
  <c r="AC16" i="3"/>
  <c r="G16" i="3" s="1"/>
  <c r="H16" i="3"/>
  <c r="BT15" i="3"/>
  <c r="BS15" i="3"/>
  <c r="BR15" i="3"/>
  <c r="BQ15" i="3"/>
  <c r="BP15" i="3"/>
  <c r="BO15" i="3"/>
  <c r="BL15" i="3" s="1"/>
  <c r="BN15" i="3"/>
  <c r="BM15" i="3"/>
  <c r="BK15" i="3"/>
  <c r="BJ15" i="3"/>
  <c r="BI15" i="3"/>
  <c r="BH15" i="3"/>
  <c r="BG15" i="3"/>
  <c r="BF15" i="3"/>
  <c r="BE15" i="3"/>
  <c r="BD15" i="3"/>
  <c r="BC15" i="3"/>
  <c r="BA15" i="3" s="1"/>
  <c r="BB15" i="3"/>
  <c r="AX15" i="3"/>
  <c r="AW15" i="3"/>
  <c r="AV15" i="3"/>
  <c r="AC15" i="3"/>
  <c r="H15" i="3"/>
  <c r="G15" i="3" s="1"/>
  <c r="BT14" i="3"/>
  <c r="BS14" i="3"/>
  <c r="BR14" i="3"/>
  <c r="BP14" i="3"/>
  <c r="BO14" i="3"/>
  <c r="BN14" i="3"/>
  <c r="BM14" i="3"/>
  <c r="BK14" i="3"/>
  <c r="BJ14" i="3"/>
  <c r="BI14" i="3"/>
  <c r="BH14" i="3"/>
  <c r="BG14" i="3"/>
  <c r="BE14" i="3"/>
  <c r="BE5" i="3" s="1"/>
  <c r="AX14" i="3"/>
  <c r="AW14" i="3"/>
  <c r="AV14" i="3"/>
  <c r="AL14" i="3"/>
  <c r="BQ14" i="3" s="1"/>
  <c r="BL14" i="3" s="1"/>
  <c r="AC14" i="3"/>
  <c r="Q14" i="3"/>
  <c r="BF14" i="3" s="1"/>
  <c r="M14" i="3"/>
  <c r="BD14" i="3" s="1"/>
  <c r="K14" i="3"/>
  <c r="BC14" i="3" s="1"/>
  <c r="I14" i="3"/>
  <c r="BB14" i="3" s="1"/>
  <c r="BT13" i="3"/>
  <c r="BT5" i="3" s="1"/>
  <c r="BS13" i="3"/>
  <c r="BS5" i="3" s="1"/>
  <c r="BR13" i="3"/>
  <c r="BR5" i="3" s="1"/>
  <c r="G28" i="6" s="1"/>
  <c r="G30" i="6" s="1"/>
  <c r="BP13" i="3"/>
  <c r="BO13" i="3"/>
  <c r="BO5" i="3" s="1"/>
  <c r="BN13" i="3"/>
  <c r="BN5" i="3" s="1"/>
  <c r="G29" i="6" s="1"/>
  <c r="BM13" i="3"/>
  <c r="BM5" i="3" s="1"/>
  <c r="F29" i="6" s="1"/>
  <c r="E29" i="6" s="1"/>
  <c r="K15" i="1" s="1"/>
  <c r="BK13" i="3"/>
  <c r="BJ13" i="3"/>
  <c r="BJ5" i="3" s="1"/>
  <c r="BI13" i="3"/>
  <c r="BI5" i="3" s="1"/>
  <c r="BH13" i="3"/>
  <c r="BH5" i="3" s="1"/>
  <c r="BG13" i="3"/>
  <c r="AX13" i="3"/>
  <c r="AW13" i="3"/>
  <c r="AV13" i="3"/>
  <c r="Q13" i="3"/>
  <c r="BF13" i="3" s="1"/>
  <c r="O13" i="3"/>
  <c r="BE13" i="3" s="1"/>
  <c r="M13" i="3"/>
  <c r="K13" i="3"/>
  <c r="BC13" i="3" s="1"/>
  <c r="BC5" i="3"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P5" i="3"/>
  <c r="BK5" i="3"/>
  <c r="BG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N5" i="3"/>
  <c r="L5" i="3"/>
  <c r="J5" i="3"/>
  <c r="I5" i="3"/>
  <c r="F5" i="3"/>
  <c r="R35" i="4"/>
  <c r="Q35" i="4"/>
  <c r="P35" i="4"/>
  <c r="O35" i="4"/>
  <c r="N35" i="4"/>
  <c r="M35" i="4"/>
  <c r="L35" i="4"/>
  <c r="F35" i="4"/>
  <c r="K34" i="4"/>
  <c r="T34" i="4" s="1"/>
  <c r="C33" i="4"/>
  <c r="C32" i="4"/>
  <c r="C31" i="4"/>
  <c r="L22" i="4"/>
  <c r="L21" i="4"/>
  <c r="L20" i="4"/>
  <c r="F19" i="4"/>
  <c r="I15" i="4"/>
  <c r="H15" i="4"/>
  <c r="G15" i="4"/>
  <c r="F15" i="4"/>
  <c r="G44" i="43" s="1"/>
  <c r="E15" i="4"/>
  <c r="D15" i="4"/>
  <c r="F6" i="1" s="1"/>
  <c r="C15" i="4"/>
  <c r="K6" i="4"/>
  <c r="K56" i="9" s="1"/>
  <c r="I4" i="4"/>
  <c r="G4" i="4"/>
  <c r="E4" i="4"/>
  <c r="C4" i="4"/>
  <c r="K4" i="4" s="1"/>
  <c r="B46" i="48" s="1"/>
  <c r="B4" i="72" s="1"/>
  <c r="S2" i="4"/>
  <c r="A2" i="9" s="1"/>
  <c r="S1" i="4"/>
  <c r="B1" i="4"/>
  <c r="C60" i="78"/>
  <c r="D60" i="78" s="1"/>
  <c r="B56" i="78"/>
  <c r="B55" i="78"/>
  <c r="D55" i="78" s="1"/>
  <c r="B54" i="78"/>
  <c r="D54" i="78" s="1"/>
  <c r="D53" i="78"/>
  <c r="D52" i="78"/>
  <c r="D51" i="78"/>
  <c r="C51" i="78"/>
  <c r="C56" i="78" s="1"/>
  <c r="C58" i="78" s="1"/>
  <c r="B51" i="78"/>
  <c r="B62" i="78"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E22" i="78"/>
  <c r="G22" i="78" s="1"/>
  <c r="F12" i="78"/>
  <c r="C15" i="78" s="1"/>
  <c r="F11" i="78"/>
  <c r="B18" i="78" s="1"/>
  <c r="B3" i="78"/>
  <c r="C6" i="78" s="1"/>
  <c r="D6" i="78" s="1"/>
  <c r="C53" i="10"/>
  <c r="B51" i="10"/>
  <c r="H16" i="49"/>
  <c r="D16" i="49"/>
  <c r="D15" i="49"/>
  <c r="B2" i="49"/>
  <c r="F14" i="49" s="1"/>
  <c r="H14" i="49" s="1"/>
  <c r="A21" i="62"/>
  <c r="B67" i="72" s="1"/>
  <c r="A20" i="62"/>
  <c r="A19" i="62"/>
  <c r="B65" i="72" s="1"/>
  <c r="A15" i="62"/>
  <c r="B61" i="72" s="1"/>
  <c r="A14" i="62"/>
  <c r="A13" i="62"/>
  <c r="A12" i="62"/>
  <c r="B5" i="62"/>
  <c r="B73" i="72" s="1"/>
  <c r="A5" i="62"/>
  <c r="A4" i="62"/>
  <c r="D10" i="52"/>
  <c r="A8" i="52"/>
  <c r="A6" i="52"/>
  <c r="H2" i="52"/>
  <c r="F2" i="52"/>
  <c r="B50" i="72" s="1"/>
  <c r="D2" i="52"/>
  <c r="A1" i="52"/>
  <c r="B19" i="53"/>
  <c r="D16" i="53"/>
  <c r="B34" i="72" s="1"/>
  <c r="B16" i="53"/>
  <c r="B13" i="53"/>
  <c r="B29" i="72" s="1"/>
  <c r="D12" i="53"/>
  <c r="D11" i="53"/>
  <c r="D10" i="53"/>
  <c r="B8" i="53"/>
  <c r="A3" i="53"/>
  <c r="A2" i="53"/>
  <c r="A24" i="51"/>
  <c r="A22" i="51"/>
  <c r="A21" i="51"/>
  <c r="A20" i="51"/>
  <c r="A18" i="51"/>
  <c r="A15" i="51"/>
  <c r="A4" i="51"/>
  <c r="A3" i="51"/>
  <c r="B49" i="48"/>
  <c r="B40" i="48"/>
  <c r="B3" i="72" s="1"/>
  <c r="B74" i="72"/>
  <c r="B72" i="72"/>
  <c r="B70" i="72"/>
  <c r="B69" i="72"/>
  <c r="B68" i="72"/>
  <c r="B66" i="72"/>
  <c r="B63" i="72"/>
  <c r="B62" i="72"/>
  <c r="B60" i="72"/>
  <c r="B59" i="72"/>
  <c r="B58" i="72"/>
  <c r="B57" i="72"/>
  <c r="B54" i="72"/>
  <c r="B46" i="72"/>
  <c r="B44" i="72"/>
  <c r="B42" i="72"/>
  <c r="B37" i="72"/>
  <c r="B33" i="72"/>
  <c r="B28" i="72"/>
  <c r="B27" i="72"/>
  <c r="B26" i="72"/>
  <c r="B23" i="72"/>
  <c r="B19" i="72"/>
  <c r="B18" i="72"/>
  <c r="B17" i="72"/>
  <c r="B16" i="72"/>
  <c r="B15" i="72"/>
  <c r="B13" i="72"/>
  <c r="B12" i="72"/>
  <c r="B10" i="72"/>
  <c r="B8" i="72"/>
  <c r="B6" i="72"/>
  <c r="B5" i="72"/>
  <c r="D2" i="21"/>
  <c r="D2" i="36"/>
  <c r="AO7" i="1"/>
  <c r="E12" i="76"/>
  <c r="AO12" i="1"/>
  <c r="B12" i="76"/>
  <c r="D4" i="73"/>
  <c r="D7" i="73"/>
  <c r="AO13" i="1"/>
  <c r="B9" i="76"/>
  <c r="D2" i="33"/>
  <c r="E9" i="76"/>
  <c r="F7" i="73"/>
  <c r="F6" i="73"/>
  <c r="AO10" i="1"/>
  <c r="F5" i="73"/>
  <c r="B13" i="76"/>
  <c r="F20" i="31"/>
  <c r="E10" i="76"/>
  <c r="B8" i="76"/>
  <c r="E8" i="76"/>
  <c r="F4" i="73"/>
  <c r="E2" i="69"/>
  <c r="D2" i="34"/>
  <c r="AO8" i="1"/>
  <c r="E2" i="68"/>
  <c r="D3" i="73"/>
  <c r="B11" i="76"/>
  <c r="B10" i="76"/>
  <c r="D6" i="73"/>
  <c r="D2" i="35"/>
  <c r="F3" i="73"/>
  <c r="E7" i="76"/>
  <c r="D5" i="73"/>
  <c r="E13" i="76"/>
  <c r="E11" i="76"/>
  <c r="B7" i="76"/>
  <c r="AO11" i="1"/>
  <c r="AO9" i="1"/>
  <c r="D2" i="37"/>
  <c r="AP88" i="81" l="1"/>
  <c r="AQ88" i="81" s="1"/>
  <c r="AP127" i="81"/>
  <c r="AQ127" i="81" s="1"/>
  <c r="BP220" i="81"/>
  <c r="BR236" i="81"/>
  <c r="BU236" i="81" s="1"/>
  <c r="AP92" i="81"/>
  <c r="AQ92" i="81" s="1"/>
  <c r="AP182" i="81"/>
  <c r="AQ182" i="81" s="1"/>
  <c r="AP105" i="81"/>
  <c r="AQ105" i="81" s="1"/>
  <c r="BR7" i="81"/>
  <c r="BU7" i="81" s="1"/>
  <c r="BP113" i="81"/>
  <c r="BP121" i="81"/>
  <c r="BR264" i="81"/>
  <c r="BU264" i="81" s="1"/>
  <c r="AP322" i="81"/>
  <c r="AQ322" i="81" s="1"/>
  <c r="AP344" i="81"/>
  <c r="AQ344" i="81" s="1"/>
  <c r="AR344" i="81" s="1"/>
  <c r="AP379" i="81"/>
  <c r="AQ379" i="81" s="1"/>
  <c r="AR379" i="81" s="1"/>
  <c r="AP461" i="81"/>
  <c r="AQ461" i="81" s="1"/>
  <c r="BB66" i="81"/>
  <c r="BD66" i="81" s="1"/>
  <c r="BE66" i="81" s="1"/>
  <c r="BB68" i="81"/>
  <c r="BD68" i="81" s="1"/>
  <c r="BE68" i="81" s="1"/>
  <c r="BB84" i="81"/>
  <c r="BD84" i="81" s="1"/>
  <c r="BE84" i="81" s="1"/>
  <c r="AP86" i="81"/>
  <c r="AQ86" i="81" s="1"/>
  <c r="AP111" i="81"/>
  <c r="AQ111" i="81" s="1"/>
  <c r="AP120" i="81"/>
  <c r="AQ120" i="81" s="1"/>
  <c r="AP169" i="81"/>
  <c r="AQ169" i="81" s="1"/>
  <c r="BR176" i="81"/>
  <c r="AP180" i="81"/>
  <c r="AQ180" i="81" s="1"/>
  <c r="AP181" i="81"/>
  <c r="AQ181" i="81" s="1"/>
  <c r="AP186" i="81"/>
  <c r="AQ186" i="81" s="1"/>
  <c r="AP202" i="81"/>
  <c r="AQ202" i="81" s="1"/>
  <c r="AP221" i="81"/>
  <c r="AQ221" i="81" s="1"/>
  <c r="BB242" i="81"/>
  <c r="BD242" i="81" s="1"/>
  <c r="BE242" i="81" s="1"/>
  <c r="BB258" i="81"/>
  <c r="BD258" i="81" s="1"/>
  <c r="BE258" i="81" s="1"/>
  <c r="BP261" i="81"/>
  <c r="BB310" i="81"/>
  <c r="BD310" i="81" s="1"/>
  <c r="BE310" i="81" s="1"/>
  <c r="BB318" i="81"/>
  <c r="BD318" i="81" s="1"/>
  <c r="BE318" i="81" s="1"/>
  <c r="BP455" i="81"/>
  <c r="BB462" i="81"/>
  <c r="BD462" i="81" s="1"/>
  <c r="BE462" i="81" s="1"/>
  <c r="AP326" i="81"/>
  <c r="AQ326" i="81" s="1"/>
  <c r="AP395" i="81"/>
  <c r="AQ395" i="81" s="1"/>
  <c r="AP426" i="81"/>
  <c r="AQ426" i="81" s="1"/>
  <c r="AP441" i="81"/>
  <c r="AQ441" i="81" s="1"/>
  <c r="BB37" i="81"/>
  <c r="BD37" i="81" s="1"/>
  <c r="BE37" i="81" s="1"/>
  <c r="AP51" i="81"/>
  <c r="AQ51" i="81" s="1"/>
  <c r="AP70" i="81"/>
  <c r="AQ70" i="81" s="1"/>
  <c r="AP77" i="81"/>
  <c r="AQ77" i="81" s="1"/>
  <c r="AP117" i="81"/>
  <c r="AQ117" i="81" s="1"/>
  <c r="BB130" i="81"/>
  <c r="BD130" i="81" s="1"/>
  <c r="BE130" i="81" s="1"/>
  <c r="BB142" i="81"/>
  <c r="BD142" i="81" s="1"/>
  <c r="BE142" i="81" s="1"/>
  <c r="AP154" i="81"/>
  <c r="AQ154" i="81" s="1"/>
  <c r="BB183" i="81"/>
  <c r="BD183" i="81" s="1"/>
  <c r="BE183" i="81" s="1"/>
  <c r="BR14" i="81"/>
  <c r="BB40" i="81"/>
  <c r="BD40" i="81" s="1"/>
  <c r="BE40" i="81" s="1"/>
  <c r="BR57" i="81"/>
  <c r="BU57" i="81" s="1"/>
  <c r="BR65" i="81"/>
  <c r="BU65" i="81" s="1"/>
  <c r="BB88" i="81"/>
  <c r="BD88" i="81" s="1"/>
  <c r="BE88" i="81" s="1"/>
  <c r="AP90" i="81"/>
  <c r="AQ90" i="81" s="1"/>
  <c r="X94" i="81"/>
  <c r="AP94" i="81" s="1"/>
  <c r="AQ94" i="81" s="1"/>
  <c r="BR100" i="81"/>
  <c r="BB100" i="81"/>
  <c r="BD100" i="81" s="1"/>
  <c r="BE100" i="81" s="1"/>
  <c r="AP115" i="81"/>
  <c r="AQ115" i="81" s="1"/>
  <c r="BB122" i="81"/>
  <c r="BD122" i="81" s="1"/>
  <c r="BE122" i="81" s="1"/>
  <c r="X138" i="81"/>
  <c r="AP138" i="81" s="1"/>
  <c r="AQ138" i="81" s="1"/>
  <c r="AS138" i="81" s="1"/>
  <c r="X164" i="81"/>
  <c r="AP164" i="81" s="1"/>
  <c r="AQ164" i="81" s="1"/>
  <c r="BB175" i="81"/>
  <c r="BD175" i="81" s="1"/>
  <c r="BE175" i="81" s="1"/>
  <c r="BR177" i="81"/>
  <c r="BU177" i="81" s="1"/>
  <c r="AP179" i="81"/>
  <c r="AQ179" i="81" s="1"/>
  <c r="BP180" i="81"/>
  <c r="AP185" i="81"/>
  <c r="AQ185" i="81" s="1"/>
  <c r="BR201" i="81"/>
  <c r="BB210" i="81"/>
  <c r="BD210" i="81" s="1"/>
  <c r="BE210" i="81" s="1"/>
  <c r="X215" i="81"/>
  <c r="AP215" i="81" s="1"/>
  <c r="AQ215" i="81" s="1"/>
  <c r="BR216" i="81"/>
  <c r="BU216" i="81" s="1"/>
  <c r="BX216" i="81" s="1"/>
  <c r="BR226" i="81"/>
  <c r="BU226" i="81" s="1"/>
  <c r="BB227" i="81"/>
  <c r="BD227" i="81" s="1"/>
  <c r="BE227" i="81" s="1"/>
  <c r="AP230" i="81"/>
  <c r="AQ230" i="81" s="1"/>
  <c r="BR381" i="81"/>
  <c r="BU381" i="81" s="1"/>
  <c r="BB438" i="81"/>
  <c r="BD438" i="81" s="1"/>
  <c r="BE438" i="81" s="1"/>
  <c r="AP313" i="81"/>
  <c r="AQ313" i="81" s="1"/>
  <c r="AP375" i="81"/>
  <c r="AQ375" i="81" s="1"/>
  <c r="AP391" i="81"/>
  <c r="AQ391" i="81" s="1"/>
  <c r="AP399" i="81"/>
  <c r="AQ399" i="81" s="1"/>
  <c r="BB13" i="81"/>
  <c r="BD13" i="81" s="1"/>
  <c r="BE13" i="81" s="1"/>
  <c r="BB31" i="81"/>
  <c r="BD31" i="81" s="1"/>
  <c r="BE31" i="81" s="1"/>
  <c r="BB48" i="81"/>
  <c r="BD48" i="81" s="1"/>
  <c r="BE48" i="81" s="1"/>
  <c r="AP50" i="81"/>
  <c r="AQ50" i="81" s="1"/>
  <c r="BB58" i="81"/>
  <c r="BD58" i="81" s="1"/>
  <c r="BE58" i="81" s="1"/>
  <c r="BB60" i="81"/>
  <c r="BD60" i="81" s="1"/>
  <c r="BE60" i="81" s="1"/>
  <c r="AP62" i="81"/>
  <c r="AQ62" i="81" s="1"/>
  <c r="AP119" i="81"/>
  <c r="AQ119" i="81" s="1"/>
  <c r="BB124" i="81"/>
  <c r="BD124" i="81" s="1"/>
  <c r="BE124" i="81" s="1"/>
  <c r="BB152" i="81"/>
  <c r="BD152" i="81" s="1"/>
  <c r="BE152" i="81" s="1"/>
  <c r="BB162" i="81"/>
  <c r="BD162" i="81" s="1"/>
  <c r="BE162" i="81" s="1"/>
  <c r="BR188" i="81"/>
  <c r="BU188" i="81" s="1"/>
  <c r="BR8" i="81"/>
  <c r="BR10" i="81"/>
  <c r="BU10" i="81" s="1"/>
  <c r="BB12" i="81"/>
  <c r="BD12" i="81" s="1"/>
  <c r="BE12" i="81" s="1"/>
  <c r="BB24" i="81"/>
  <c r="BD24" i="81" s="1"/>
  <c r="BE24" i="81" s="1"/>
  <c r="BR28" i="81"/>
  <c r="BU28" i="81" s="1"/>
  <c r="BX28" i="81" s="1"/>
  <c r="CA28" i="81" s="1"/>
  <c r="AP32" i="81"/>
  <c r="AQ32" i="81" s="1"/>
  <c r="BR44" i="81"/>
  <c r="BB44" i="81"/>
  <c r="BD44" i="81" s="1"/>
  <c r="BE44" i="81" s="1"/>
  <c r="X49" i="81"/>
  <c r="AP49" i="81" s="1"/>
  <c r="AQ49" i="81" s="1"/>
  <c r="BR75" i="81"/>
  <c r="AP116" i="81"/>
  <c r="AQ116" i="81" s="1"/>
  <c r="BR116" i="81"/>
  <c r="BP117" i="81"/>
  <c r="BR121" i="81"/>
  <c r="BU121" i="81" s="1"/>
  <c r="BB128" i="81"/>
  <c r="BD128" i="81" s="1"/>
  <c r="BE128" i="81" s="1"/>
  <c r="AP131" i="81"/>
  <c r="AQ131" i="81" s="1"/>
  <c r="BB146" i="81"/>
  <c r="BD146" i="81" s="1"/>
  <c r="BE146" i="81" s="1"/>
  <c r="AP149" i="81"/>
  <c r="AQ149" i="81" s="1"/>
  <c r="BR149" i="81"/>
  <c r="BR158" i="81"/>
  <c r="BB177" i="81"/>
  <c r="BD177" i="81" s="1"/>
  <c r="BE177" i="81" s="1"/>
  <c r="AP188" i="81"/>
  <c r="AQ188" i="81" s="1"/>
  <c r="BR220" i="81"/>
  <c r="BU220" i="81" s="1"/>
  <c r="BX220" i="81" s="1"/>
  <c r="BR233" i="81"/>
  <c r="BU233" i="81" s="1"/>
  <c r="BR238" i="81"/>
  <c r="BB247" i="81"/>
  <c r="BD247" i="81" s="1"/>
  <c r="BE247" i="81" s="1"/>
  <c r="BB251" i="81"/>
  <c r="BD251" i="81" s="1"/>
  <c r="BE251" i="81" s="1"/>
  <c r="BP297" i="81"/>
  <c r="BR340" i="81"/>
  <c r="BU340" i="81" s="1"/>
  <c r="X17" i="81"/>
  <c r="BR17" i="81"/>
  <c r="BU17" i="81" s="1"/>
  <c r="X21" i="81"/>
  <c r="BR21" i="81"/>
  <c r="BU21" i="81" s="1"/>
  <c r="BR22" i="81"/>
  <c r="X26" i="81"/>
  <c r="BR26" i="81"/>
  <c r="BU26" i="81" s="1"/>
  <c r="BX26" i="81" s="1"/>
  <c r="CA26" i="81" s="1"/>
  <c r="BB27" i="81"/>
  <c r="BD27" i="81" s="1"/>
  <c r="BE27" i="81" s="1"/>
  <c r="X35" i="81"/>
  <c r="BB39" i="81"/>
  <c r="BD39" i="81" s="1"/>
  <c r="BE39" i="81" s="1"/>
  <c r="X41" i="81"/>
  <c r="BB42" i="81"/>
  <c r="BD42" i="81" s="1"/>
  <c r="BE42" i="81" s="1"/>
  <c r="BP48" i="81"/>
  <c r="BB50" i="81"/>
  <c r="BD50" i="81" s="1"/>
  <c r="BE50" i="81" s="1"/>
  <c r="X53" i="81"/>
  <c r="BR56" i="81"/>
  <c r="BB56" i="81"/>
  <c r="BD56" i="81" s="1"/>
  <c r="BE56" i="81" s="1"/>
  <c r="X58" i="81"/>
  <c r="AP58" i="81" s="1"/>
  <c r="AQ58" i="81" s="1"/>
  <c r="X59" i="81"/>
  <c r="AP59" i="81" s="1"/>
  <c r="AQ59" i="81" s="1"/>
  <c r="BP59" i="81"/>
  <c r="BB62" i="81"/>
  <c r="BD62" i="81" s="1"/>
  <c r="BE62" i="81" s="1"/>
  <c r="BR64" i="81"/>
  <c r="BB64" i="81"/>
  <c r="BD64" i="81" s="1"/>
  <c r="BE64" i="81" s="1"/>
  <c r="X66" i="81"/>
  <c r="AP66" i="81" s="1"/>
  <c r="AQ66" i="81" s="1"/>
  <c r="X67" i="81"/>
  <c r="AP67" i="81" s="1"/>
  <c r="AQ67" i="81" s="1"/>
  <c r="BP67" i="81"/>
  <c r="BB70" i="81"/>
  <c r="BD70" i="81" s="1"/>
  <c r="BE70" i="81" s="1"/>
  <c r="BB72" i="81"/>
  <c r="BD72" i="81" s="1"/>
  <c r="BE72" i="81" s="1"/>
  <c r="X79" i="81"/>
  <c r="AP79" i="81" s="1"/>
  <c r="AQ79" i="81" s="1"/>
  <c r="BR79" i="81"/>
  <c r="BR80" i="81"/>
  <c r="BB86" i="81"/>
  <c r="BD86" i="81" s="1"/>
  <c r="BE86" i="81" s="1"/>
  <c r="X89" i="81"/>
  <c r="AP89" i="81" s="1"/>
  <c r="AQ89" i="81" s="1"/>
  <c r="X93" i="81"/>
  <c r="AP93" i="81" s="1"/>
  <c r="AQ93" i="81" s="1"/>
  <c r="X97" i="81"/>
  <c r="BP97" i="81"/>
  <c r="X114" i="81"/>
  <c r="AP114" i="81" s="1"/>
  <c r="AQ114" i="81" s="1"/>
  <c r="BR115" i="81"/>
  <c r="BR117" i="81"/>
  <c r="BU117" i="81" s="1"/>
  <c r="BB120" i="81"/>
  <c r="BD120" i="81" s="1"/>
  <c r="BE120" i="81" s="1"/>
  <c r="X123" i="81"/>
  <c r="BR124" i="81"/>
  <c r="BB126" i="81"/>
  <c r="BD126" i="81" s="1"/>
  <c r="BE126" i="81" s="1"/>
  <c r="X129" i="81"/>
  <c r="AP129" i="81" s="1"/>
  <c r="AQ129" i="81" s="1"/>
  <c r="BR137" i="81"/>
  <c r="BU137" i="81" s="1"/>
  <c r="X147" i="81"/>
  <c r="AP147" i="81" s="1"/>
  <c r="AQ147" i="81" s="1"/>
  <c r="X148" i="81"/>
  <c r="AP148" i="81" s="1"/>
  <c r="AQ148" i="81" s="1"/>
  <c r="BR148" i="81"/>
  <c r="BU148" i="81" s="1"/>
  <c r="BB154" i="81"/>
  <c r="BD154" i="81" s="1"/>
  <c r="BE154" i="81" s="1"/>
  <c r="X157" i="81"/>
  <c r="AP157" i="81" s="1"/>
  <c r="AQ157" i="81" s="1"/>
  <c r="BR157" i="81"/>
  <c r="BR159" i="81"/>
  <c r="X162" i="81"/>
  <c r="AP162" i="81" s="1"/>
  <c r="AQ162" i="81" s="1"/>
  <c r="X166" i="81"/>
  <c r="BR166" i="81"/>
  <c r="BR168" i="81"/>
  <c r="BB169" i="81"/>
  <c r="BD169" i="81" s="1"/>
  <c r="BE169" i="81" s="1"/>
  <c r="X171" i="81"/>
  <c r="BR171" i="81"/>
  <c r="X176" i="81"/>
  <c r="AP176" i="81" s="1"/>
  <c r="AQ176" i="81" s="1"/>
  <c r="BB181" i="81"/>
  <c r="BD181" i="81" s="1"/>
  <c r="BE181" i="81" s="1"/>
  <c r="X183" i="81"/>
  <c r="AP183" i="81" s="1"/>
  <c r="AQ183" i="81" s="1"/>
  <c r="X190" i="81"/>
  <c r="AP190" i="81" s="1"/>
  <c r="AQ190" i="81" s="1"/>
  <c r="BR200" i="81"/>
  <c r="BU200" i="81" s="1"/>
  <c r="BX200" i="81" s="1"/>
  <c r="BR208" i="81"/>
  <c r="BU208" i="81" s="1"/>
  <c r="BX208" i="81" s="1"/>
  <c r="BR209" i="81"/>
  <c r="X214" i="81"/>
  <c r="AP214" i="81" s="1"/>
  <c r="AQ214" i="81" s="1"/>
  <c r="BR214" i="81"/>
  <c r="BU214" i="81" s="1"/>
  <c r="BB219" i="81"/>
  <c r="BD219" i="81" s="1"/>
  <c r="BE219" i="81" s="1"/>
  <c r="X228" i="81"/>
  <c r="AP228" i="81" s="1"/>
  <c r="AQ228" i="81" s="1"/>
  <c r="X229" i="81"/>
  <c r="AP229" i="81" s="1"/>
  <c r="AQ229" i="81" s="1"/>
  <c r="BR229" i="81"/>
  <c r="X232" i="81"/>
  <c r="AP232" i="81" s="1"/>
  <c r="AQ232" i="81" s="1"/>
  <c r="BR232" i="81"/>
  <c r="BU232" i="81" s="1"/>
  <c r="BB234" i="81"/>
  <c r="BD234" i="81" s="1"/>
  <c r="BE234" i="81" s="1"/>
  <c r="BR235" i="81"/>
  <c r="BB239" i="81"/>
  <c r="BD239" i="81" s="1"/>
  <c r="BE239" i="81" s="1"/>
  <c r="BR244" i="81"/>
  <c r="BU244" i="81" s="1"/>
  <c r="BB250" i="81"/>
  <c r="BD250" i="81" s="1"/>
  <c r="BE250" i="81" s="1"/>
  <c r="BR261" i="81"/>
  <c r="BU261" i="81" s="1"/>
  <c r="BP287" i="81"/>
  <c r="BB354" i="81"/>
  <c r="BD354" i="81" s="1"/>
  <c r="BE354" i="81" s="1"/>
  <c r="BR361" i="81"/>
  <c r="BP361" i="81"/>
  <c r="X384" i="81"/>
  <c r="AP384" i="81" s="1"/>
  <c r="AQ384" i="81" s="1"/>
  <c r="X392" i="81"/>
  <c r="AP392" i="81" s="1"/>
  <c r="AQ392" i="81" s="1"/>
  <c r="X400" i="81"/>
  <c r="AP400" i="81" s="1"/>
  <c r="AQ400" i="81" s="1"/>
  <c r="X401" i="81"/>
  <c r="AP401" i="81" s="1"/>
  <c r="AQ401" i="81" s="1"/>
  <c r="BR407" i="81"/>
  <c r="BU407" i="81" s="1"/>
  <c r="BX407" i="81" s="1"/>
  <c r="X442" i="81"/>
  <c r="AP442" i="81" s="1"/>
  <c r="AQ442" i="81" s="1"/>
  <c r="X443" i="81"/>
  <c r="AP443" i="81" s="1"/>
  <c r="AQ443" i="81" s="1"/>
  <c r="BR452" i="81"/>
  <c r="BU452" i="81" s="1"/>
  <c r="X280" i="81"/>
  <c r="AP280" i="81" s="1"/>
  <c r="AQ280" i="81" s="1"/>
  <c r="BR291" i="81"/>
  <c r="BR300" i="81"/>
  <c r="BR308" i="81"/>
  <c r="BU308" i="81" s="1"/>
  <c r="BR309" i="81"/>
  <c r="X311" i="81"/>
  <c r="AP311" i="81" s="1"/>
  <c r="AQ311" i="81" s="1"/>
  <c r="BR311" i="81"/>
  <c r="BR317" i="81"/>
  <c r="BR319" i="81"/>
  <c r="BB322" i="81"/>
  <c r="BD322" i="81" s="1"/>
  <c r="BE322" i="81" s="1"/>
  <c r="BR324" i="81"/>
  <c r="BU324" i="81" s="1"/>
  <c r="BR328" i="81"/>
  <c r="BU328" i="81" s="1"/>
  <c r="BB338" i="81"/>
  <c r="BD338" i="81" s="1"/>
  <c r="BE338" i="81" s="1"/>
  <c r="BR342" i="81"/>
  <c r="X349" i="81"/>
  <c r="AP349" i="81" s="1"/>
  <c r="AQ349" i="81" s="1"/>
  <c r="BR352" i="81"/>
  <c r="BU352" i="81" s="1"/>
  <c r="BR353" i="81"/>
  <c r="BB358" i="81"/>
  <c r="BD358" i="81" s="1"/>
  <c r="BE358" i="81" s="1"/>
  <c r="BR360" i="81"/>
  <c r="BR365" i="81"/>
  <c r="BB371" i="81"/>
  <c r="BD371" i="81" s="1"/>
  <c r="BE371" i="81" s="1"/>
  <c r="BB375" i="81"/>
  <c r="BD375" i="81" s="1"/>
  <c r="BE375" i="81" s="1"/>
  <c r="BR377" i="81"/>
  <c r="BU377" i="81" s="1"/>
  <c r="BB387" i="81"/>
  <c r="BD387" i="81" s="1"/>
  <c r="BE387" i="81" s="1"/>
  <c r="X398" i="81"/>
  <c r="AP398" i="81" s="1"/>
  <c r="AQ398" i="81" s="1"/>
  <c r="BR412" i="81"/>
  <c r="BB422" i="81"/>
  <c r="BD422" i="81" s="1"/>
  <c r="BE422" i="81" s="1"/>
  <c r="BR432" i="81"/>
  <c r="BU432" i="81" s="1"/>
  <c r="BX432" i="81" s="1"/>
  <c r="BR437" i="81"/>
  <c r="BU437" i="81" s="1"/>
  <c r="BX437" i="81" s="1"/>
  <c r="CA437" i="81" s="1"/>
  <c r="BR440" i="81"/>
  <c r="BU440" i="81" s="1"/>
  <c r="BB442" i="81"/>
  <c r="BD442" i="81" s="1"/>
  <c r="BE442" i="81" s="1"/>
  <c r="X445" i="81"/>
  <c r="AP445" i="81" s="1"/>
  <c r="AQ445" i="81" s="1"/>
  <c r="BR461" i="81"/>
  <c r="BB255" i="81"/>
  <c r="BD255" i="81" s="1"/>
  <c r="BE255" i="81" s="1"/>
  <c r="BR257" i="81"/>
  <c r="BU257" i="81" s="1"/>
  <c r="BB263" i="81"/>
  <c r="BD263" i="81" s="1"/>
  <c r="BE263" i="81" s="1"/>
  <c r="BB270" i="81"/>
  <c r="BD270" i="81" s="1"/>
  <c r="BE270" i="81" s="1"/>
  <c r="BR271" i="81"/>
  <c r="BU271" i="81" s="1"/>
  <c r="BX271" i="81" s="1"/>
  <c r="BB278" i="81"/>
  <c r="BD278" i="81" s="1"/>
  <c r="BE278" i="81" s="1"/>
  <c r="BR279" i="81"/>
  <c r="BU279" i="81" s="1"/>
  <c r="BX279" i="81" s="1"/>
  <c r="BB286" i="81"/>
  <c r="BD286" i="81" s="1"/>
  <c r="BE286" i="81" s="1"/>
  <c r="X290" i="81"/>
  <c r="AP290" i="81" s="1"/>
  <c r="AQ290" i="81" s="1"/>
  <c r="BR296" i="81"/>
  <c r="BR297" i="81"/>
  <c r="BU297" i="81" s="1"/>
  <c r="BB298" i="81"/>
  <c r="BD298" i="81" s="1"/>
  <c r="BE298" i="81" s="1"/>
  <c r="BB306" i="81"/>
  <c r="BD306" i="81" s="1"/>
  <c r="BE306" i="81" s="1"/>
  <c r="X310" i="81"/>
  <c r="AP310" i="81" s="1"/>
  <c r="AQ310" i="81" s="1"/>
  <c r="BR310" i="81"/>
  <c r="X314" i="81"/>
  <c r="AP314" i="81" s="1"/>
  <c r="AQ314" i="81" s="1"/>
  <c r="BR314" i="81"/>
  <c r="X318" i="81"/>
  <c r="AP318" i="81" s="1"/>
  <c r="AQ318" i="81" s="1"/>
  <c r="BR318" i="81"/>
  <c r="BR320" i="81"/>
  <c r="BU320" i="81" s="1"/>
  <c r="BR321" i="81"/>
  <c r="X323" i="81"/>
  <c r="AP323" i="81" s="1"/>
  <c r="AQ323" i="81" s="1"/>
  <c r="BR323" i="81"/>
  <c r="BR327" i="81"/>
  <c r="BR336" i="81"/>
  <c r="BU336" i="81" s="1"/>
  <c r="BR337" i="81"/>
  <c r="X339" i="81"/>
  <c r="AP339" i="81" s="1"/>
  <c r="AQ339" i="81" s="1"/>
  <c r="X340" i="81"/>
  <c r="AP340" i="81" s="1"/>
  <c r="AQ340" i="81" s="1"/>
  <c r="BR344" i="81"/>
  <c r="BU344" i="81" s="1"/>
  <c r="X348" i="81"/>
  <c r="AP348" i="81" s="1"/>
  <c r="AQ348" i="81" s="1"/>
  <c r="BR348" i="81"/>
  <c r="BU348" i="81" s="1"/>
  <c r="X359" i="81"/>
  <c r="AP359" i="81" s="1"/>
  <c r="AQ359" i="81" s="1"/>
  <c r="BB362" i="81"/>
  <c r="BD362" i="81" s="1"/>
  <c r="BE362" i="81" s="1"/>
  <c r="X364" i="81"/>
  <c r="AP364" i="81" s="1"/>
  <c r="AQ364" i="81" s="1"/>
  <c r="BR364" i="81"/>
  <c r="BB374" i="81"/>
  <c r="BD374" i="81" s="1"/>
  <c r="BE374" i="81" s="1"/>
  <c r="BR376" i="81"/>
  <c r="BB378" i="81"/>
  <c r="BD378" i="81" s="1"/>
  <c r="BE378" i="81" s="1"/>
  <c r="BB383" i="81"/>
  <c r="BD383" i="81" s="1"/>
  <c r="BE383" i="81" s="1"/>
  <c r="X388" i="81"/>
  <c r="AP388" i="81" s="1"/>
  <c r="AQ388" i="81" s="1"/>
  <c r="BB391" i="81"/>
  <c r="BD391" i="81" s="1"/>
  <c r="BE391" i="81" s="1"/>
  <c r="X393" i="81"/>
  <c r="AP393" i="81" s="1"/>
  <c r="AQ393" i="81" s="1"/>
  <c r="BR393" i="81"/>
  <c r="BU393" i="81" s="1"/>
  <c r="X397" i="81"/>
  <c r="AP397" i="81" s="1"/>
  <c r="AQ397" i="81" s="1"/>
  <c r="BR397" i="81"/>
  <c r="BU397" i="81" s="1"/>
  <c r="BR402" i="81"/>
  <c r="BU402" i="81" s="1"/>
  <c r="BX402" i="81" s="1"/>
  <c r="BR404" i="81"/>
  <c r="X406" i="81"/>
  <c r="AP406" i="81" s="1"/>
  <c r="AQ406" i="81" s="1"/>
  <c r="X407" i="81"/>
  <c r="AP407" i="81" s="1"/>
  <c r="AQ407" i="81" s="1"/>
  <c r="BB413" i="81"/>
  <c r="BD413" i="81" s="1"/>
  <c r="BE413" i="81" s="1"/>
  <c r="X420" i="81"/>
  <c r="AP420" i="81" s="1"/>
  <c r="AQ420" i="81" s="1"/>
  <c r="BR420" i="81"/>
  <c r="X423" i="81"/>
  <c r="AP423" i="81" s="1"/>
  <c r="AQ423" i="81" s="1"/>
  <c r="BR427" i="81"/>
  <c r="BU427" i="81" s="1"/>
  <c r="BX427" i="81" s="1"/>
  <c r="X432" i="81"/>
  <c r="AP432" i="81" s="1"/>
  <c r="AQ432" i="81" s="1"/>
  <c r="BB436" i="81"/>
  <c r="BD436" i="81" s="1"/>
  <c r="BE436" i="81" s="1"/>
  <c r="X438" i="81"/>
  <c r="AP438" i="81" s="1"/>
  <c r="AQ438" i="81" s="1"/>
  <c r="X439" i="81"/>
  <c r="AP439" i="81" s="1"/>
  <c r="AQ439" i="81" s="1"/>
  <c r="BR444" i="81"/>
  <c r="BU444" i="81" s="1"/>
  <c r="BR456" i="81"/>
  <c r="BU456" i="81" s="1"/>
  <c r="BB460" i="81"/>
  <c r="BD460" i="81" s="1"/>
  <c r="BE460" i="81" s="1"/>
  <c r="X462" i="81"/>
  <c r="AP462" i="81" s="1"/>
  <c r="AQ462" i="81" s="1"/>
  <c r="BR465" i="81"/>
  <c r="AP19" i="81"/>
  <c r="AQ19" i="81" s="1"/>
  <c r="AP36" i="81"/>
  <c r="AQ36" i="81" s="1"/>
  <c r="AP113" i="81"/>
  <c r="AQ113" i="81" s="1"/>
  <c r="AP123" i="81"/>
  <c r="AQ123" i="81" s="1"/>
  <c r="AP156" i="81"/>
  <c r="AQ156" i="81" s="1"/>
  <c r="AP166" i="81"/>
  <c r="AQ166" i="81" s="1"/>
  <c r="AP184" i="81"/>
  <c r="AQ184" i="81" s="1"/>
  <c r="AP191" i="81"/>
  <c r="AQ191" i="81" s="1"/>
  <c r="BP451" i="81"/>
  <c r="AP25" i="81"/>
  <c r="AQ25" i="81" s="1"/>
  <c r="AP41" i="81"/>
  <c r="AQ41" i="81" s="1"/>
  <c r="AP53" i="81"/>
  <c r="AQ53" i="81" s="1"/>
  <c r="AP81" i="81"/>
  <c r="AQ81" i="81" s="1"/>
  <c r="AP91" i="81"/>
  <c r="AQ91" i="81" s="1"/>
  <c r="AP104" i="81"/>
  <c r="AQ104" i="81" s="1"/>
  <c r="AP139" i="81"/>
  <c r="AQ139" i="81" s="1"/>
  <c r="AP150" i="81"/>
  <c r="AQ150" i="81" s="1"/>
  <c r="AP171" i="81"/>
  <c r="AQ171" i="81" s="1"/>
  <c r="BR4" i="81"/>
  <c r="BR6" i="81"/>
  <c r="BR11" i="81"/>
  <c r="X13" i="81"/>
  <c r="AP13" i="81" s="1"/>
  <c r="AQ13" i="81" s="1"/>
  <c r="AP18" i="81"/>
  <c r="AQ18" i="81" s="1"/>
  <c r="BP20" i="81"/>
  <c r="AP35" i="81"/>
  <c r="AQ35" i="81" s="1"/>
  <c r="BB54" i="81"/>
  <c r="BD54" i="81" s="1"/>
  <c r="BE54" i="81" s="1"/>
  <c r="AP80" i="81"/>
  <c r="AQ80" i="81" s="1"/>
  <c r="BP90" i="81"/>
  <c r="BP95" i="81"/>
  <c r="BB118" i="81"/>
  <c r="BD118" i="81" s="1"/>
  <c r="BE118" i="81" s="1"/>
  <c r="BR128" i="81"/>
  <c r="BR151" i="81"/>
  <c r="BB167" i="81"/>
  <c r="BD167" i="81" s="1"/>
  <c r="BE167" i="81" s="1"/>
  <c r="BB215" i="81"/>
  <c r="BD215" i="81" s="1"/>
  <c r="BE215" i="81" s="1"/>
  <c r="BR315" i="81"/>
  <c r="BP315" i="81"/>
  <c r="AP21" i="81"/>
  <c r="AQ21" i="81" s="1"/>
  <c r="AP73" i="81"/>
  <c r="AQ73" i="81" s="1"/>
  <c r="AP96" i="81"/>
  <c r="AQ96" i="81" s="1"/>
  <c r="AP109" i="81"/>
  <c r="AQ109" i="81" s="1"/>
  <c r="AP165" i="81"/>
  <c r="AQ165" i="81" s="1"/>
  <c r="BB8" i="81"/>
  <c r="BD8" i="81" s="1"/>
  <c r="BE8" i="81" s="1"/>
  <c r="AP17" i="81"/>
  <c r="AQ17" i="81" s="1"/>
  <c r="AS17" i="81" s="1"/>
  <c r="X30" i="81"/>
  <c r="AP30" i="81" s="1"/>
  <c r="AQ30" i="81" s="1"/>
  <c r="AS30" i="81" s="1"/>
  <c r="BR30" i="81"/>
  <c r="BU30" i="81" s="1"/>
  <c r="BX30" i="81" s="1"/>
  <c r="CA30" i="81" s="1"/>
  <c r="X9" i="81"/>
  <c r="AP9" i="81" s="1"/>
  <c r="AQ9" i="81" s="1"/>
  <c r="AS9" i="81" s="1"/>
  <c r="X16" i="81"/>
  <c r="AP16" i="81" s="1"/>
  <c r="AQ16" i="81" s="1"/>
  <c r="AS16" i="81" s="1"/>
  <c r="AT16" i="81" s="1"/>
  <c r="BR16" i="81"/>
  <c r="BB19" i="81"/>
  <c r="BD19" i="81" s="1"/>
  <c r="BE19" i="81" s="1"/>
  <c r="X28" i="81"/>
  <c r="AP28" i="81" s="1"/>
  <c r="AQ28" i="81" s="1"/>
  <c r="BB29" i="81"/>
  <c r="BD29" i="81" s="1"/>
  <c r="BE29" i="81" s="1"/>
  <c r="BR34" i="81"/>
  <c r="BU34" i="81" s="1"/>
  <c r="BX34" i="81" s="1"/>
  <c r="CA34" i="81" s="1"/>
  <c r="BB35" i="81"/>
  <c r="BD35" i="81" s="1"/>
  <c r="BE35" i="81" s="1"/>
  <c r="BR36" i="81"/>
  <c r="BU36" i="81" s="1"/>
  <c r="BX36" i="81" s="1"/>
  <c r="CA36" i="81" s="1"/>
  <c r="BR41" i="81"/>
  <c r="BU41" i="81" s="1"/>
  <c r="BR43" i="81"/>
  <c r="X47" i="81"/>
  <c r="AP47" i="81" s="1"/>
  <c r="AQ47" i="81" s="1"/>
  <c r="BR47" i="81"/>
  <c r="BR48" i="81"/>
  <c r="BB52" i="81"/>
  <c r="BD52" i="81" s="1"/>
  <c r="BE52" i="81" s="1"/>
  <c r="BR53" i="81"/>
  <c r="BU53" i="81" s="1"/>
  <c r="BR73" i="81"/>
  <c r="BU73" i="81" s="1"/>
  <c r="BR83" i="81"/>
  <c r="X106" i="81"/>
  <c r="AP106" i="81" s="1"/>
  <c r="AQ106" i="81" s="1"/>
  <c r="BB108" i="81"/>
  <c r="BD108" i="81" s="1"/>
  <c r="BE108" i="81" s="1"/>
  <c r="BR120" i="81"/>
  <c r="BB132" i="81"/>
  <c r="BD132" i="81" s="1"/>
  <c r="BE132" i="81" s="1"/>
  <c r="BB144" i="81"/>
  <c r="BD144" i="81" s="1"/>
  <c r="BE144" i="81" s="1"/>
  <c r="X158" i="81"/>
  <c r="AP158" i="81" s="1"/>
  <c r="AQ158" i="81" s="1"/>
  <c r="BB160" i="81"/>
  <c r="BD160" i="81" s="1"/>
  <c r="BE160" i="81" s="1"/>
  <c r="X173" i="81"/>
  <c r="AP173" i="81" s="1"/>
  <c r="AQ173" i="81" s="1"/>
  <c r="X174" i="81"/>
  <c r="AP174" i="81" s="1"/>
  <c r="AQ174" i="81" s="1"/>
  <c r="X187" i="81"/>
  <c r="AP187" i="81" s="1"/>
  <c r="AQ187" i="81" s="1"/>
  <c r="BP189" i="81"/>
  <c r="X198" i="81"/>
  <c r="AP198" i="81" s="1"/>
  <c r="AQ198" i="81" s="1"/>
  <c r="BB203" i="81"/>
  <c r="BD203" i="81" s="1"/>
  <c r="BE203" i="81" s="1"/>
  <c r="X218" i="81"/>
  <c r="AP218" i="81" s="1"/>
  <c r="AQ218" i="81" s="1"/>
  <c r="BB223" i="81"/>
  <c r="BD223" i="81" s="1"/>
  <c r="BE223" i="81" s="1"/>
  <c r="BR241" i="81"/>
  <c r="BU241" i="81" s="1"/>
  <c r="BR272" i="81"/>
  <c r="AP5" i="81"/>
  <c r="AP7" i="81"/>
  <c r="AP14" i="81"/>
  <c r="AQ14" i="81" s="1"/>
  <c r="AP22" i="81"/>
  <c r="AQ22" i="81" s="1"/>
  <c r="AP23" i="81"/>
  <c r="AQ23" i="81" s="1"/>
  <c r="AP26" i="81"/>
  <c r="AQ26" i="81" s="1"/>
  <c r="AS26" i="81" s="1"/>
  <c r="AP46" i="81"/>
  <c r="AQ46" i="81" s="1"/>
  <c r="BR91" i="81"/>
  <c r="BP91" i="81"/>
  <c r="AP97" i="81"/>
  <c r="AQ97" i="81" s="1"/>
  <c r="AP98" i="81"/>
  <c r="AQ98" i="81" s="1"/>
  <c r="AP103" i="81"/>
  <c r="AQ103" i="81" s="1"/>
  <c r="AP155" i="81"/>
  <c r="AQ155" i="81" s="1"/>
  <c r="X4" i="81"/>
  <c r="AP4" i="81" s="1"/>
  <c r="X6" i="81"/>
  <c r="AP6" i="81" s="1"/>
  <c r="X8" i="81"/>
  <c r="AP8" i="81" s="1"/>
  <c r="AQ8" i="81" s="1"/>
  <c r="BR9" i="81"/>
  <c r="X11" i="81"/>
  <c r="AP11" i="81" s="1"/>
  <c r="AQ11" i="81" s="1"/>
  <c r="X15" i="81"/>
  <c r="AP15" i="81" s="1"/>
  <c r="AQ15" i="81" s="1"/>
  <c r="AS15" i="81" s="1"/>
  <c r="X27" i="81"/>
  <c r="AP27" i="81" s="1"/>
  <c r="AQ27" i="81" s="1"/>
  <c r="X38" i="81"/>
  <c r="AP38" i="81" s="1"/>
  <c r="AQ38" i="81" s="1"/>
  <c r="AS38" i="81" s="1"/>
  <c r="X42" i="81"/>
  <c r="AP42" i="81" s="1"/>
  <c r="AQ42" i="81" s="1"/>
  <c r="BR49" i="81"/>
  <c r="BU49" i="81" s="1"/>
  <c r="BR55" i="81"/>
  <c r="X74" i="81"/>
  <c r="AP74" i="81" s="1"/>
  <c r="AQ74" i="81" s="1"/>
  <c r="X75" i="81"/>
  <c r="AP75" i="81" s="1"/>
  <c r="AQ75" i="81" s="1"/>
  <c r="AS75" i="81" s="1"/>
  <c r="BP76" i="81"/>
  <c r="BP77" i="81"/>
  <c r="X82" i="81"/>
  <c r="AP82" i="81" s="1"/>
  <c r="AQ82" i="81" s="1"/>
  <c r="BR99" i="81"/>
  <c r="BR107" i="81"/>
  <c r="BU107" i="81" s="1"/>
  <c r="BX107" i="81" s="1"/>
  <c r="CA107" i="81" s="1"/>
  <c r="X141" i="81"/>
  <c r="AP141" i="81" s="1"/>
  <c r="AQ141" i="81" s="1"/>
  <c r="X172" i="81"/>
  <c r="AP172" i="81" s="1"/>
  <c r="AQ172" i="81" s="1"/>
  <c r="X194" i="81"/>
  <c r="AP194" i="81" s="1"/>
  <c r="AQ194" i="81" s="1"/>
  <c r="X205" i="81"/>
  <c r="AP205" i="81" s="1"/>
  <c r="AQ205" i="81" s="1"/>
  <c r="X206" i="81"/>
  <c r="AP206" i="81" s="1"/>
  <c r="AQ206" i="81" s="1"/>
  <c r="X212" i="81"/>
  <c r="AP212" i="81" s="1"/>
  <c r="AQ212" i="81" s="1"/>
  <c r="X225" i="81"/>
  <c r="AP225" i="81" s="1"/>
  <c r="AQ225" i="81" s="1"/>
  <c r="X226" i="81"/>
  <c r="AP226" i="81" s="1"/>
  <c r="AQ226" i="81" s="1"/>
  <c r="BP289" i="81"/>
  <c r="BR347" i="81"/>
  <c r="BP347" i="81"/>
  <c r="BB254" i="81"/>
  <c r="BD254" i="81" s="1"/>
  <c r="BE254" i="81" s="1"/>
  <c r="BP359" i="81"/>
  <c r="BB82" i="81"/>
  <c r="BD82" i="81" s="1"/>
  <c r="BE82" i="81" s="1"/>
  <c r="BP86" i="81"/>
  <c r="BP88" i="81"/>
  <c r="BB94" i="81"/>
  <c r="BD94" i="81" s="1"/>
  <c r="BE94" i="81" s="1"/>
  <c r="BB96" i="81"/>
  <c r="BD96" i="81" s="1"/>
  <c r="BE96" i="81" s="1"/>
  <c r="BR97" i="81"/>
  <c r="BB98" i="81"/>
  <c r="BD98" i="81" s="1"/>
  <c r="BE98" i="81" s="1"/>
  <c r="X102" i="81"/>
  <c r="AP102" i="81" s="1"/>
  <c r="AQ102" i="81" s="1"/>
  <c r="X125" i="81"/>
  <c r="AP125" i="81" s="1"/>
  <c r="AQ125" i="81" s="1"/>
  <c r="BR125" i="81"/>
  <c r="BU125" i="81" s="1"/>
  <c r="X126" i="81"/>
  <c r="AP126" i="81" s="1"/>
  <c r="AQ126" i="81" s="1"/>
  <c r="BB138" i="81"/>
  <c r="BD138" i="81" s="1"/>
  <c r="BE138" i="81" s="1"/>
  <c r="BR139" i="81"/>
  <c r="BB140" i="81"/>
  <c r="BD140" i="81" s="1"/>
  <c r="BE140" i="81" s="1"/>
  <c r="BR146" i="81"/>
  <c r="BB150" i="81"/>
  <c r="BD150" i="81" s="1"/>
  <c r="BE150" i="81" s="1"/>
  <c r="BR154" i="81"/>
  <c r="BB158" i="81"/>
  <c r="BD158" i="81" s="1"/>
  <c r="BE158" i="81" s="1"/>
  <c r="BR162" i="81"/>
  <c r="BB165" i="81"/>
  <c r="BD165" i="81" s="1"/>
  <c r="BE165" i="81" s="1"/>
  <c r="X168" i="81"/>
  <c r="AP168" i="81" s="1"/>
  <c r="AQ168" i="81" s="1"/>
  <c r="BP169" i="81"/>
  <c r="BR170" i="81"/>
  <c r="BR172" i="81"/>
  <c r="BB173" i="81"/>
  <c r="BD173" i="81" s="1"/>
  <c r="BE173" i="81" s="1"/>
  <c r="BR179" i="81"/>
  <c r="BP181" i="81"/>
  <c r="BR182" i="81"/>
  <c r="BR183" i="81"/>
  <c r="BP184" i="81"/>
  <c r="BB194" i="81"/>
  <c r="BD194" i="81" s="1"/>
  <c r="BE194" i="81" s="1"/>
  <c r="BB198" i="81"/>
  <c r="BD198" i="81" s="1"/>
  <c r="BE198" i="81" s="1"/>
  <c r="X208" i="81"/>
  <c r="AP208" i="81" s="1"/>
  <c r="AQ208" i="81" s="1"/>
  <c r="X211" i="81"/>
  <c r="AP211" i="81" s="1"/>
  <c r="AQ211" i="81" s="1"/>
  <c r="BR230" i="81"/>
  <c r="BU230" i="81" s="1"/>
  <c r="BB231" i="81"/>
  <c r="BD231" i="81" s="1"/>
  <c r="BE231" i="81" s="1"/>
  <c r="BP233" i="81"/>
  <c r="X234" i="81"/>
  <c r="AP234" i="81" s="1"/>
  <c r="AQ234" i="81" s="1"/>
  <c r="X239" i="81"/>
  <c r="AP239" i="81" s="1"/>
  <c r="AQ239" i="81" s="1"/>
  <c r="BR239" i="81"/>
  <c r="X242" i="81"/>
  <c r="AP242" i="81" s="1"/>
  <c r="AQ242" i="81" s="1"/>
  <c r="BR242" i="81"/>
  <c r="BR267" i="81"/>
  <c r="BU267" i="81" s="1"/>
  <c r="BX267" i="81" s="1"/>
  <c r="BP345" i="81"/>
  <c r="BR411" i="81"/>
  <c r="BU411" i="81" s="1"/>
  <c r="BX411" i="81" s="1"/>
  <c r="BP411" i="81"/>
  <c r="X10" i="81"/>
  <c r="AP10" i="81" s="1"/>
  <c r="AQ10" i="81" s="1"/>
  <c r="AS10" i="81" s="1"/>
  <c r="X12" i="81"/>
  <c r="AP12" i="81" s="1"/>
  <c r="AQ12" i="81" s="1"/>
  <c r="BB14" i="81"/>
  <c r="BD14" i="81" s="1"/>
  <c r="BE14" i="81" s="1"/>
  <c r="BR18" i="81"/>
  <c r="X20" i="81"/>
  <c r="AP20" i="81" s="1"/>
  <c r="AQ20" i="81" s="1"/>
  <c r="AS20" i="81" s="1"/>
  <c r="AT20" i="81" s="1"/>
  <c r="AU20" i="81" s="1"/>
  <c r="AV20" i="81" s="1"/>
  <c r="BR23" i="81"/>
  <c r="BU23" i="81" s="1"/>
  <c r="BX23" i="81" s="1"/>
  <c r="CA23" i="81" s="1"/>
  <c r="BB25" i="81"/>
  <c r="BD25" i="81" s="1"/>
  <c r="BE25" i="81" s="1"/>
  <c r="X31" i="81"/>
  <c r="AP31" i="81" s="1"/>
  <c r="AQ31" i="81" s="1"/>
  <c r="BB33" i="81"/>
  <c r="BD33" i="81" s="1"/>
  <c r="BE33" i="81" s="1"/>
  <c r="X39" i="81"/>
  <c r="AP39" i="81" s="1"/>
  <c r="AQ39" i="81" s="1"/>
  <c r="BR39" i="81"/>
  <c r="X43" i="81"/>
  <c r="AP43" i="81" s="1"/>
  <c r="AQ43" i="81" s="1"/>
  <c r="X45" i="81"/>
  <c r="AP45" i="81" s="1"/>
  <c r="AQ45" i="81" s="1"/>
  <c r="BB46" i="81"/>
  <c r="BD46" i="81" s="1"/>
  <c r="BE46" i="81" s="1"/>
  <c r="X54" i="81"/>
  <c r="AP54" i="81" s="1"/>
  <c r="AQ54" i="81" s="1"/>
  <c r="X55" i="81"/>
  <c r="AP55" i="81" s="1"/>
  <c r="AQ55" i="81" s="1"/>
  <c r="X57" i="81"/>
  <c r="AP57" i="81" s="1"/>
  <c r="AQ57" i="81" s="1"/>
  <c r="BR59" i="81"/>
  <c r="BP60" i="81"/>
  <c r="X61" i="81"/>
  <c r="AP61" i="81" s="1"/>
  <c r="AQ61" i="81" s="1"/>
  <c r="BR63" i="81"/>
  <c r="X65" i="81"/>
  <c r="AP65" i="81" s="1"/>
  <c r="AQ65" i="81" s="1"/>
  <c r="BR67" i="81"/>
  <c r="BP68" i="81"/>
  <c r="X69" i="81"/>
  <c r="AP69" i="81" s="1"/>
  <c r="AQ69" i="81" s="1"/>
  <c r="BR71" i="81"/>
  <c r="BB74" i="81"/>
  <c r="BD74" i="81" s="1"/>
  <c r="BE74" i="81" s="1"/>
  <c r="BB76" i="81"/>
  <c r="BD76" i="81" s="1"/>
  <c r="BE76" i="81" s="1"/>
  <c r="BR77" i="81"/>
  <c r="BB78" i="81"/>
  <c r="BD78" i="81" s="1"/>
  <c r="BE78" i="81" s="1"/>
  <c r="BB80" i="81"/>
  <c r="BD80" i="81" s="1"/>
  <c r="BE80" i="81" s="1"/>
  <c r="BR81" i="81"/>
  <c r="X83" i="81"/>
  <c r="AP83" i="81" s="1"/>
  <c r="AQ83" i="81" s="1"/>
  <c r="X84" i="81"/>
  <c r="AP84" i="81" s="1"/>
  <c r="AQ84" i="81" s="1"/>
  <c r="X85" i="81"/>
  <c r="AP85" i="81" s="1"/>
  <c r="AQ85" i="81" s="1"/>
  <c r="BP87" i="81"/>
  <c r="BR88" i="81"/>
  <c r="BB90" i="81"/>
  <c r="BD90" i="81" s="1"/>
  <c r="BE90" i="81" s="1"/>
  <c r="BB92" i="81"/>
  <c r="BD92" i="81" s="1"/>
  <c r="BE92" i="81" s="1"/>
  <c r="BR93" i="81"/>
  <c r="X95" i="81"/>
  <c r="AP95" i="81" s="1"/>
  <c r="AQ95" i="81" s="1"/>
  <c r="X99" i="81"/>
  <c r="AP99" i="81" s="1"/>
  <c r="AQ99" i="81" s="1"/>
  <c r="X100" i="81"/>
  <c r="AP100" i="81" s="1"/>
  <c r="AQ100" i="81" s="1"/>
  <c r="BP100" i="81"/>
  <c r="X101" i="81"/>
  <c r="AP101" i="81" s="1"/>
  <c r="AQ101" i="81" s="1"/>
  <c r="BB104" i="81"/>
  <c r="BD104" i="81" s="1"/>
  <c r="BE104" i="81" s="1"/>
  <c r="BR105" i="81"/>
  <c r="X107" i="81"/>
  <c r="AP107" i="81" s="1"/>
  <c r="AQ107" i="81" s="1"/>
  <c r="BB112" i="81"/>
  <c r="BD112" i="81" s="1"/>
  <c r="BE112" i="81" s="1"/>
  <c r="BR113" i="81"/>
  <c r="BU113" i="81" s="1"/>
  <c r="BB114" i="81"/>
  <c r="BD114" i="81" s="1"/>
  <c r="BE114" i="81" s="1"/>
  <c r="BB116" i="81"/>
  <c r="BD116" i="81" s="1"/>
  <c r="BE116" i="81" s="1"/>
  <c r="X118" i="81"/>
  <c r="AP118" i="81" s="1"/>
  <c r="AQ118" i="81" s="1"/>
  <c r="BR119" i="81"/>
  <c r="X122" i="81"/>
  <c r="AP122" i="81" s="1"/>
  <c r="AQ122" i="81" s="1"/>
  <c r="BP123" i="81"/>
  <c r="BP125" i="81"/>
  <c r="BR127" i="81"/>
  <c r="X130" i="81"/>
  <c r="AP130" i="81" s="1"/>
  <c r="AQ130" i="81" s="1"/>
  <c r="X133" i="81"/>
  <c r="AP133" i="81" s="1"/>
  <c r="AQ133" i="81" s="1"/>
  <c r="BR133" i="81"/>
  <c r="BU133" i="81" s="1"/>
  <c r="BB134" i="81"/>
  <c r="BD134" i="81" s="1"/>
  <c r="BE134" i="81" s="1"/>
  <c r="BR135" i="81"/>
  <c r="BB136" i="81"/>
  <c r="BD136" i="81" s="1"/>
  <c r="BE136" i="81" s="1"/>
  <c r="X142" i="81"/>
  <c r="AP142" i="81" s="1"/>
  <c r="AQ142" i="81" s="1"/>
  <c r="X143" i="81"/>
  <c r="AP143" i="81" s="1"/>
  <c r="AQ143" i="81" s="1"/>
  <c r="BP144" i="81"/>
  <c r="X145" i="81"/>
  <c r="AP145" i="81" s="1"/>
  <c r="AQ145" i="81" s="1"/>
  <c r="BR147" i="81"/>
  <c r="BB148" i="81"/>
  <c r="BD148" i="81" s="1"/>
  <c r="BE148" i="81" s="1"/>
  <c r="X151" i="81"/>
  <c r="AP151" i="81" s="1"/>
  <c r="AQ151" i="81" s="1"/>
  <c r="X152" i="81"/>
  <c r="AP152" i="81" s="1"/>
  <c r="AQ152" i="81" s="1"/>
  <c r="BP152" i="81"/>
  <c r="X153" i="81"/>
  <c r="AP153" i="81" s="1"/>
  <c r="AQ153" i="81" s="1"/>
  <c r="BR153" i="81"/>
  <c r="BR155" i="81"/>
  <c r="BB156" i="81"/>
  <c r="BD156" i="81" s="1"/>
  <c r="BE156" i="81" s="1"/>
  <c r="X159" i="81"/>
  <c r="AP159" i="81" s="1"/>
  <c r="AQ159" i="81" s="1"/>
  <c r="X160" i="81"/>
  <c r="AP160" i="81" s="1"/>
  <c r="AQ160" i="81" s="1"/>
  <c r="BP160" i="81"/>
  <c r="X161" i="81"/>
  <c r="AP161" i="81" s="1"/>
  <c r="AQ161" i="81" s="1"/>
  <c r="BR161" i="81"/>
  <c r="BR163" i="81"/>
  <c r="BR164" i="81"/>
  <c r="X167" i="81"/>
  <c r="AP167" i="81" s="1"/>
  <c r="AQ167" i="81" s="1"/>
  <c r="BR167" i="81"/>
  <c r="BR169" i="81"/>
  <c r="BU169" i="81" s="1"/>
  <c r="BB171" i="81"/>
  <c r="BD171" i="81" s="1"/>
  <c r="BE171" i="81" s="1"/>
  <c r="X175" i="81"/>
  <c r="AP175" i="81" s="1"/>
  <c r="AQ175" i="81" s="1"/>
  <c r="BR175" i="81"/>
  <c r="X177" i="81"/>
  <c r="AP177" i="81" s="1"/>
  <c r="AQ177" i="81" s="1"/>
  <c r="X178" i="81"/>
  <c r="AP178" i="81" s="1"/>
  <c r="AQ178" i="81" s="1"/>
  <c r="BR178" i="81"/>
  <c r="BR180" i="81"/>
  <c r="BR181" i="81"/>
  <c r="BU181" i="81" s="1"/>
  <c r="BP182" i="81"/>
  <c r="BR184" i="81"/>
  <c r="BU184" i="81" s="1"/>
  <c r="BR186" i="81"/>
  <c r="BB188" i="81"/>
  <c r="BD188" i="81" s="1"/>
  <c r="BE188" i="81" s="1"/>
  <c r="BR189" i="81"/>
  <c r="BR191" i="81"/>
  <c r="BU191" i="81" s="1"/>
  <c r="BX191" i="81" s="1"/>
  <c r="X192" i="81"/>
  <c r="AP192" i="81" s="1"/>
  <c r="AQ192" i="81" s="1"/>
  <c r="X195" i="81"/>
  <c r="AP195" i="81" s="1"/>
  <c r="AQ195" i="81" s="1"/>
  <c r="BR195" i="81"/>
  <c r="BU195" i="81" s="1"/>
  <c r="BX195" i="81" s="1"/>
  <c r="X196" i="81"/>
  <c r="AP196" i="81" s="1"/>
  <c r="AQ196" i="81" s="1"/>
  <c r="X199" i="81"/>
  <c r="AP199" i="81" s="1"/>
  <c r="AQ199" i="81" s="1"/>
  <c r="BR199" i="81"/>
  <c r="BU199" i="81" s="1"/>
  <c r="BX199" i="81" s="1"/>
  <c r="X200" i="81"/>
  <c r="AP200" i="81" s="1"/>
  <c r="AQ200" i="81" s="1"/>
  <c r="X203" i="81"/>
  <c r="AP203" i="81" s="1"/>
  <c r="AQ203" i="81" s="1"/>
  <c r="X204" i="81"/>
  <c r="AP204" i="81" s="1"/>
  <c r="AQ204" i="81" s="1"/>
  <c r="X207" i="81"/>
  <c r="AP207" i="81" s="1"/>
  <c r="AQ207" i="81" s="1"/>
  <c r="X209" i="81"/>
  <c r="AP209" i="81" s="1"/>
  <c r="AQ209" i="81" s="1"/>
  <c r="X210" i="81"/>
  <c r="AP210" i="81" s="1"/>
  <c r="AQ210" i="81" s="1"/>
  <c r="BR210" i="81"/>
  <c r="BU210" i="81" s="1"/>
  <c r="BB211" i="81"/>
  <c r="BD211" i="81" s="1"/>
  <c r="BE211" i="81" s="1"/>
  <c r="BB214" i="81"/>
  <c r="BD214" i="81" s="1"/>
  <c r="BE214" i="81" s="1"/>
  <c r="X216" i="81"/>
  <c r="AP216" i="81" s="1"/>
  <c r="AQ216" i="81" s="1"/>
  <c r="X219" i="81"/>
  <c r="AP219" i="81" s="1"/>
  <c r="AQ219" i="81" s="1"/>
  <c r="X223" i="81"/>
  <c r="AP223" i="81" s="1"/>
  <c r="AQ223" i="81" s="1"/>
  <c r="X224" i="81"/>
  <c r="AP224" i="81" s="1"/>
  <c r="AQ224" i="81" s="1"/>
  <c r="X227" i="81"/>
  <c r="AP227" i="81" s="1"/>
  <c r="AQ227" i="81" s="1"/>
  <c r="X236" i="81"/>
  <c r="AP236" i="81" s="1"/>
  <c r="AQ236" i="81" s="1"/>
  <c r="X237" i="81"/>
  <c r="AP237" i="81" s="1"/>
  <c r="AQ237" i="81" s="1"/>
  <c r="X238" i="81"/>
  <c r="AP238" i="81" s="1"/>
  <c r="AQ238" i="81" s="1"/>
  <c r="BB243" i="81"/>
  <c r="BD243" i="81" s="1"/>
  <c r="BE243" i="81" s="1"/>
  <c r="BB246" i="81"/>
  <c r="BD246" i="81" s="1"/>
  <c r="BE246" i="81" s="1"/>
  <c r="X248" i="81"/>
  <c r="AP248" i="81" s="1"/>
  <c r="AQ248" i="81" s="1"/>
  <c r="BR248" i="81"/>
  <c r="BU248" i="81" s="1"/>
  <c r="BP248" i="81"/>
  <c r="X252" i="81"/>
  <c r="AP252" i="81" s="1"/>
  <c r="AQ252" i="81" s="1"/>
  <c r="BR252" i="81"/>
  <c r="BU252" i="81" s="1"/>
  <c r="BP252" i="81"/>
  <c r="BB262" i="81"/>
  <c r="BD262" i="81" s="1"/>
  <c r="BE262" i="81" s="1"/>
  <c r="X271" i="81"/>
  <c r="AP271" i="81" s="1"/>
  <c r="AQ271" i="81" s="1"/>
  <c r="BB274" i="81"/>
  <c r="BD274" i="81" s="1"/>
  <c r="BE274" i="81" s="1"/>
  <c r="BR275" i="81"/>
  <c r="BU275" i="81" s="1"/>
  <c r="BX275" i="81" s="1"/>
  <c r="BR301" i="81"/>
  <c r="BU301" i="81" s="1"/>
  <c r="BB302" i="81"/>
  <c r="BD302" i="81" s="1"/>
  <c r="BE302" i="81" s="1"/>
  <c r="BB330" i="81"/>
  <c r="BD330" i="81" s="1"/>
  <c r="BE330" i="81" s="1"/>
  <c r="BB350" i="81"/>
  <c r="BD350" i="81" s="1"/>
  <c r="BE350" i="81" s="1"/>
  <c r="BB353" i="81"/>
  <c r="BD353" i="81" s="1"/>
  <c r="BE353" i="81" s="1"/>
  <c r="BR396" i="81"/>
  <c r="BP396" i="81"/>
  <c r="BR234" i="81"/>
  <c r="BB235" i="81"/>
  <c r="BD235" i="81" s="1"/>
  <c r="BE235" i="81" s="1"/>
  <c r="BB238" i="81"/>
  <c r="BD238" i="81" s="1"/>
  <c r="BE238" i="81" s="1"/>
  <c r="X240" i="81"/>
  <c r="AP240" i="81" s="1"/>
  <c r="AQ240" i="81" s="1"/>
  <c r="X243" i="81"/>
  <c r="AP243" i="81" s="1"/>
  <c r="AQ243" i="81" s="1"/>
  <c r="BR243" i="81"/>
  <c r="X245" i="81"/>
  <c r="AP245" i="81" s="1"/>
  <c r="AQ245" i="81" s="1"/>
  <c r="X246" i="81"/>
  <c r="AP246" i="81" s="1"/>
  <c r="AQ246" i="81" s="1"/>
  <c r="BR246" i="81"/>
  <c r="X249" i="81"/>
  <c r="AP249" i="81" s="1"/>
  <c r="AQ249" i="81" s="1"/>
  <c r="X250" i="81"/>
  <c r="AP250" i="81" s="1"/>
  <c r="AQ250" i="81" s="1"/>
  <c r="BR250" i="81"/>
  <c r="X253" i="81"/>
  <c r="AP253" i="81" s="1"/>
  <c r="AQ253" i="81" s="1"/>
  <c r="X255" i="81"/>
  <c r="AP255" i="81" s="1"/>
  <c r="AQ255" i="81" s="1"/>
  <c r="BR255" i="81"/>
  <c r="X259" i="81"/>
  <c r="AP259" i="81" s="1"/>
  <c r="AQ259" i="81" s="1"/>
  <c r="BR259" i="81"/>
  <c r="X261" i="81"/>
  <c r="AP261" i="81" s="1"/>
  <c r="AQ261" i="81" s="1"/>
  <c r="X263" i="81"/>
  <c r="AP263" i="81" s="1"/>
  <c r="AQ263" i="81" s="1"/>
  <c r="BR263" i="81"/>
  <c r="X267" i="81"/>
  <c r="AP267" i="81" s="1"/>
  <c r="AQ267" i="81" s="1"/>
  <c r="BR273" i="81"/>
  <c r="X275" i="81"/>
  <c r="AP275" i="81" s="1"/>
  <c r="AQ275" i="81" s="1"/>
  <c r="X278" i="81"/>
  <c r="AP278" i="81" s="1"/>
  <c r="AQ278" i="81" s="1"/>
  <c r="X281" i="81"/>
  <c r="AP281" i="81" s="1"/>
  <c r="AQ281" i="81" s="1"/>
  <c r="X282" i="81"/>
  <c r="AP282" i="81" s="1"/>
  <c r="AQ282" i="81" s="1"/>
  <c r="BR283" i="81"/>
  <c r="X286" i="81"/>
  <c r="AP286" i="81" s="1"/>
  <c r="AQ286" i="81" s="1"/>
  <c r="X287" i="81"/>
  <c r="AP287" i="81" s="1"/>
  <c r="AQ287" i="81" s="1"/>
  <c r="BR289" i="81"/>
  <c r="BU289" i="81" s="1"/>
  <c r="BB290" i="81"/>
  <c r="BD290" i="81" s="1"/>
  <c r="BE290" i="81" s="1"/>
  <c r="BR293" i="81"/>
  <c r="BU293" i="81" s="1"/>
  <c r="BR295" i="81"/>
  <c r="X297" i="81"/>
  <c r="AP297" i="81" s="1"/>
  <c r="AQ297" i="81" s="1"/>
  <c r="X298" i="81"/>
  <c r="AP298" i="81" s="1"/>
  <c r="AQ298" i="81" s="1"/>
  <c r="X299" i="81"/>
  <c r="AP299" i="81" s="1"/>
  <c r="AQ299" i="81" s="1"/>
  <c r="X300" i="81"/>
  <c r="AP300" i="81" s="1"/>
  <c r="AQ300" i="81" s="1"/>
  <c r="X303" i="81"/>
  <c r="AP303" i="81" s="1"/>
  <c r="AQ303" i="81" s="1"/>
  <c r="X304" i="81"/>
  <c r="AP304" i="81" s="1"/>
  <c r="AQ304" i="81" s="1"/>
  <c r="X306" i="81"/>
  <c r="AP306" i="81" s="1"/>
  <c r="AQ306" i="81" s="1"/>
  <c r="BR306" i="81"/>
  <c r="BR307" i="81"/>
  <c r="X309" i="81"/>
  <c r="AP309" i="81" s="1"/>
  <c r="AQ309" i="81" s="1"/>
  <c r="BB314" i="81"/>
  <c r="BD314" i="81" s="1"/>
  <c r="BE314" i="81" s="1"/>
  <c r="BP316" i="81"/>
  <c r="X317" i="81"/>
  <c r="AP317" i="81" s="1"/>
  <c r="AQ317" i="81" s="1"/>
  <c r="BP319" i="81"/>
  <c r="X321" i="81"/>
  <c r="AP321" i="81" s="1"/>
  <c r="AQ321" i="81" s="1"/>
  <c r="BB326" i="81"/>
  <c r="BD326" i="81" s="1"/>
  <c r="BE326" i="81" s="1"/>
  <c r="BR329" i="81"/>
  <c r="X331" i="81"/>
  <c r="AP331" i="81" s="1"/>
  <c r="AQ331" i="81" s="1"/>
  <c r="X332" i="81"/>
  <c r="AP332" i="81" s="1"/>
  <c r="AQ332" i="81" s="1"/>
  <c r="X334" i="81"/>
  <c r="AP334" i="81" s="1"/>
  <c r="AQ334" i="81" s="1"/>
  <c r="BR334" i="81"/>
  <c r="BR335" i="81"/>
  <c r="X336" i="81"/>
  <c r="AP336" i="81" s="1"/>
  <c r="AQ336" i="81" s="1"/>
  <c r="X338" i="81"/>
  <c r="AP338" i="81" s="1"/>
  <c r="AQ338" i="81" s="1"/>
  <c r="BR338" i="81"/>
  <c r="BR339" i="81"/>
  <c r="X341" i="81"/>
  <c r="AP341" i="81" s="1"/>
  <c r="AQ341" i="81" s="1"/>
  <c r="BR345" i="81"/>
  <c r="BB346" i="81"/>
  <c r="BD346" i="81" s="1"/>
  <c r="BE346" i="81" s="1"/>
  <c r="BP362" i="81"/>
  <c r="X367" i="81"/>
  <c r="AP367" i="81" s="1"/>
  <c r="AQ367" i="81" s="1"/>
  <c r="X368" i="81"/>
  <c r="AP368" i="81" s="1"/>
  <c r="AQ368" i="81" s="1"/>
  <c r="BP368" i="81"/>
  <c r="BR368" i="81"/>
  <c r="X254" i="81"/>
  <c r="AP254" i="81" s="1"/>
  <c r="AQ254" i="81" s="1"/>
  <c r="BR254" i="81"/>
  <c r="X257" i="81"/>
  <c r="AP257" i="81" s="1"/>
  <c r="AQ257" i="81" s="1"/>
  <c r="X258" i="81"/>
  <c r="AP258" i="81" s="1"/>
  <c r="AQ258" i="81" s="1"/>
  <c r="BR258" i="81"/>
  <c r="X262" i="81"/>
  <c r="AP262" i="81" s="1"/>
  <c r="AQ262" i="81" s="1"/>
  <c r="BR262" i="81"/>
  <c r="X265" i="81"/>
  <c r="AP265" i="81" s="1"/>
  <c r="AQ265" i="81" s="1"/>
  <c r="X266" i="81"/>
  <c r="AP266" i="81" s="1"/>
  <c r="AQ266" i="81" s="1"/>
  <c r="X272" i="81"/>
  <c r="AP272" i="81" s="1"/>
  <c r="AQ272" i="81" s="1"/>
  <c r="X285" i="81"/>
  <c r="AP285" i="81" s="1"/>
  <c r="AQ285" i="81" s="1"/>
  <c r="BR287" i="81"/>
  <c r="X291" i="81"/>
  <c r="AP291" i="81" s="1"/>
  <c r="AQ291" i="81" s="1"/>
  <c r="X292" i="81"/>
  <c r="AP292" i="81" s="1"/>
  <c r="AQ292" i="81" s="1"/>
  <c r="X294" i="81"/>
  <c r="AP294" i="81" s="1"/>
  <c r="AQ294" i="81" s="1"/>
  <c r="BR299" i="81"/>
  <c r="X302" i="81"/>
  <c r="AP302" i="81" s="1"/>
  <c r="AQ302" i="81" s="1"/>
  <c r="BR303" i="81"/>
  <c r="X305" i="81"/>
  <c r="AP305" i="81" s="1"/>
  <c r="AQ305" i="81" s="1"/>
  <c r="BR313" i="81"/>
  <c r="X315" i="81"/>
  <c r="AP315" i="81" s="1"/>
  <c r="AQ315" i="81" s="1"/>
  <c r="BR325" i="81"/>
  <c r="X327" i="81"/>
  <c r="AP327" i="81" s="1"/>
  <c r="AQ327" i="81" s="1"/>
  <c r="X328" i="81"/>
  <c r="AP328" i="81" s="1"/>
  <c r="AQ328" i="81" s="1"/>
  <c r="X330" i="81"/>
  <c r="AP330" i="81" s="1"/>
  <c r="AQ330" i="81" s="1"/>
  <c r="BR330" i="81"/>
  <c r="BR331" i="81"/>
  <c r="X333" i="81"/>
  <c r="AP333" i="81" s="1"/>
  <c r="AQ333" i="81" s="1"/>
  <c r="X337" i="81"/>
  <c r="AP337" i="81" s="1"/>
  <c r="AQ337" i="81" s="1"/>
  <c r="X347" i="81"/>
  <c r="AP347" i="81" s="1"/>
  <c r="AQ347" i="81" s="1"/>
  <c r="X350" i="81"/>
  <c r="AP350" i="81" s="1"/>
  <c r="AQ350" i="81" s="1"/>
  <c r="BR350" i="81"/>
  <c r="BR351" i="81"/>
  <c r="X353" i="81"/>
  <c r="AP353" i="81" s="1"/>
  <c r="AQ353" i="81" s="1"/>
  <c r="X357" i="81"/>
  <c r="AP357" i="81" s="1"/>
  <c r="AQ357" i="81" s="1"/>
  <c r="X360" i="81"/>
  <c r="AP360" i="81" s="1"/>
  <c r="AQ360" i="81" s="1"/>
  <c r="X372" i="81"/>
  <c r="AP372" i="81" s="1"/>
  <c r="AQ372" i="81" s="1"/>
  <c r="BP372" i="81"/>
  <c r="BR372" i="81"/>
  <c r="X376" i="81"/>
  <c r="AP376" i="81" s="1"/>
  <c r="AQ376" i="81" s="1"/>
  <c r="BP403" i="81"/>
  <c r="BR436" i="81"/>
  <c r="BU436" i="81" s="1"/>
  <c r="BP453" i="81"/>
  <c r="X370" i="81"/>
  <c r="AP370" i="81" s="1"/>
  <c r="AQ370" i="81" s="1"/>
  <c r="X381" i="81"/>
  <c r="AP381" i="81" s="1"/>
  <c r="AQ381" i="81" s="1"/>
  <c r="X382" i="81"/>
  <c r="AP382" i="81" s="1"/>
  <c r="AQ382" i="81" s="1"/>
  <c r="BP382" i="81"/>
  <c r="X385" i="81"/>
  <c r="AP385" i="81" s="1"/>
  <c r="AQ385" i="81" s="1"/>
  <c r="X386" i="81"/>
  <c r="AP386" i="81" s="1"/>
  <c r="AQ386" i="81" s="1"/>
  <c r="X396" i="81"/>
  <c r="AP396" i="81" s="1"/>
  <c r="AQ396" i="81" s="1"/>
  <c r="X402" i="81"/>
  <c r="AP402" i="81" s="1"/>
  <c r="AQ402" i="81" s="1"/>
  <c r="BR403" i="81"/>
  <c r="BU403" i="81" s="1"/>
  <c r="BX403" i="81" s="1"/>
  <c r="X411" i="81"/>
  <c r="AP411" i="81" s="1"/>
  <c r="AQ411" i="81" s="1"/>
  <c r="X418" i="81"/>
  <c r="AP418" i="81" s="1"/>
  <c r="AQ418" i="81" s="1"/>
  <c r="X419" i="81"/>
  <c r="AP419" i="81" s="1"/>
  <c r="AQ419" i="81" s="1"/>
  <c r="X422" i="81"/>
  <c r="AP422" i="81" s="1"/>
  <c r="AQ422" i="81" s="1"/>
  <c r="X427" i="81"/>
  <c r="AP427" i="81" s="1"/>
  <c r="AQ427" i="81" s="1"/>
  <c r="X429" i="81"/>
  <c r="AP429" i="81" s="1"/>
  <c r="AQ429" i="81" s="1"/>
  <c r="BR429" i="81"/>
  <c r="BR430" i="81"/>
  <c r="BR433" i="81"/>
  <c r="X435" i="81"/>
  <c r="AP435" i="81" s="1"/>
  <c r="AQ435" i="81" s="1"/>
  <c r="BR441" i="81"/>
  <c r="BU441" i="81" s="1"/>
  <c r="BX441" i="81" s="1"/>
  <c r="CA441" i="81" s="1"/>
  <c r="BP464" i="81"/>
  <c r="BP378" i="81"/>
  <c r="BB379" i="81"/>
  <c r="BD379" i="81" s="1"/>
  <c r="BE379" i="81" s="1"/>
  <c r="BB382" i="81"/>
  <c r="BD382" i="81" s="1"/>
  <c r="BE382" i="81" s="1"/>
  <c r="BB386" i="81"/>
  <c r="BD386" i="81" s="1"/>
  <c r="BE386" i="81" s="1"/>
  <c r="BB414" i="81"/>
  <c r="BD414" i="81" s="1"/>
  <c r="BE414" i="81" s="1"/>
  <c r="BB418" i="81"/>
  <c r="BD418" i="81" s="1"/>
  <c r="BE418" i="81" s="1"/>
  <c r="BB429" i="81"/>
  <c r="BD429" i="81" s="1"/>
  <c r="BE429" i="81" s="1"/>
  <c r="BB448" i="81"/>
  <c r="BD448" i="81" s="1"/>
  <c r="BE448" i="81" s="1"/>
  <c r="BB452" i="81"/>
  <c r="BD452" i="81" s="1"/>
  <c r="BE452" i="81" s="1"/>
  <c r="X458" i="81"/>
  <c r="AP458" i="81" s="1"/>
  <c r="AQ458" i="81" s="1"/>
  <c r="BP460" i="81"/>
  <c r="BR462" i="81"/>
  <c r="BR463" i="81"/>
  <c r="BR464" i="81"/>
  <c r="BU464" i="81" s="1"/>
  <c r="BR349" i="81"/>
  <c r="BB349" i="81"/>
  <c r="BD349" i="81" s="1"/>
  <c r="BE349" i="81" s="1"/>
  <c r="X351" i="81"/>
  <c r="AP351" i="81" s="1"/>
  <c r="AQ351" i="81" s="1"/>
  <c r="X352" i="81"/>
  <c r="AP352" i="81" s="1"/>
  <c r="AQ352" i="81" s="1"/>
  <c r="X354" i="81"/>
  <c r="AP354" i="81" s="1"/>
  <c r="AQ354" i="81" s="1"/>
  <c r="BR354" i="81"/>
  <c r="BR355" i="81"/>
  <c r="X356" i="81"/>
  <c r="AP356" i="81" s="1"/>
  <c r="AQ356" i="81" s="1"/>
  <c r="X358" i="81"/>
  <c r="AP358" i="81" s="1"/>
  <c r="AQ358" i="81" s="1"/>
  <c r="BB363" i="81"/>
  <c r="BD363" i="81" s="1"/>
  <c r="BE363" i="81" s="1"/>
  <c r="BB367" i="81"/>
  <c r="BD367" i="81" s="1"/>
  <c r="BE367" i="81" s="1"/>
  <c r="X369" i="81"/>
  <c r="AP369" i="81" s="1"/>
  <c r="AQ369" i="81" s="1"/>
  <c r="X371" i="81"/>
  <c r="AP371" i="81" s="1"/>
  <c r="AQ371" i="81" s="1"/>
  <c r="X373" i="81"/>
  <c r="AP373" i="81" s="1"/>
  <c r="AQ373" i="81" s="1"/>
  <c r="X374" i="81"/>
  <c r="AP374" i="81" s="1"/>
  <c r="AQ374" i="81" s="1"/>
  <c r="X380" i="81"/>
  <c r="AP380" i="81" s="1"/>
  <c r="AQ380" i="81" s="1"/>
  <c r="X383" i="81"/>
  <c r="AP383" i="81" s="1"/>
  <c r="AQ383" i="81" s="1"/>
  <c r="BR383" i="81"/>
  <c r="X387" i="81"/>
  <c r="AP387" i="81" s="1"/>
  <c r="AQ387" i="81" s="1"/>
  <c r="BR387" i="81"/>
  <c r="X389" i="81"/>
  <c r="AP389" i="81" s="1"/>
  <c r="AQ389" i="81" s="1"/>
  <c r="X390" i="81"/>
  <c r="AP390" i="81" s="1"/>
  <c r="AQ390" i="81" s="1"/>
  <c r="BP390" i="81"/>
  <c r="BB395" i="81"/>
  <c r="BD395" i="81" s="1"/>
  <c r="BE395" i="81" s="1"/>
  <c r="BR400" i="81"/>
  <c r="X404" i="81"/>
  <c r="AP404" i="81" s="1"/>
  <c r="AQ404" i="81" s="1"/>
  <c r="AS404" i="81" s="1"/>
  <c r="AT404" i="81" s="1"/>
  <c r="AU404" i="81" s="1"/>
  <c r="X405" i="81"/>
  <c r="AP405" i="81" s="1"/>
  <c r="AQ405" i="81" s="1"/>
  <c r="AS405" i="81" s="1"/>
  <c r="X408" i="81"/>
  <c r="AP408" i="81" s="1"/>
  <c r="AQ408" i="81" s="1"/>
  <c r="X409" i="81"/>
  <c r="AP409" i="81" s="1"/>
  <c r="AQ409" i="81" s="1"/>
  <c r="BR409" i="81"/>
  <c r="BU409" i="81" s="1"/>
  <c r="BB410" i="81"/>
  <c r="BD410" i="81" s="1"/>
  <c r="BE410" i="81" s="1"/>
  <c r="X415" i="81"/>
  <c r="AP415" i="81" s="1"/>
  <c r="AQ415" i="81" s="1"/>
  <c r="BB420" i="81"/>
  <c r="BD420" i="81" s="1"/>
  <c r="BE420" i="81" s="1"/>
  <c r="X424" i="81"/>
  <c r="AP424" i="81" s="1"/>
  <c r="AQ424" i="81" s="1"/>
  <c r="AS424" i="81" s="1"/>
  <c r="X425" i="81"/>
  <c r="AP425" i="81" s="1"/>
  <c r="AQ425" i="81" s="1"/>
  <c r="BR425" i="81"/>
  <c r="BU425" i="81" s="1"/>
  <c r="BB426" i="81"/>
  <c r="BD426" i="81" s="1"/>
  <c r="BE426" i="81" s="1"/>
  <c r="BR428" i="81"/>
  <c r="BB428" i="81"/>
  <c r="BD428" i="81" s="1"/>
  <c r="BE428" i="81" s="1"/>
  <c r="X430" i="81"/>
  <c r="AP430" i="81" s="1"/>
  <c r="AQ430" i="81" s="1"/>
  <c r="X431" i="81"/>
  <c r="AP431" i="81" s="1"/>
  <c r="AQ431" i="81" s="1"/>
  <c r="BB432" i="81"/>
  <c r="BD432" i="81" s="1"/>
  <c r="BE432" i="81" s="1"/>
  <c r="BR434" i="81"/>
  <c r="X436" i="81"/>
  <c r="AP436" i="81" s="1"/>
  <c r="AQ436" i="81" s="1"/>
  <c r="X437" i="81"/>
  <c r="AP437" i="81" s="1"/>
  <c r="AQ437" i="81" s="1"/>
  <c r="BP438" i="81"/>
  <c r="BB440" i="81"/>
  <c r="BD440" i="81" s="1"/>
  <c r="BE440" i="81" s="1"/>
  <c r="BB444" i="81"/>
  <c r="BD444" i="81" s="1"/>
  <c r="BE444" i="81" s="1"/>
  <c r="BB446" i="81"/>
  <c r="BD446" i="81" s="1"/>
  <c r="BE446" i="81" s="1"/>
  <c r="BR449" i="81"/>
  <c r="BU449" i="81" s="1"/>
  <c r="BX449" i="81" s="1"/>
  <c r="CA449" i="81" s="1"/>
  <c r="BB450" i="81"/>
  <c r="BD450" i="81" s="1"/>
  <c r="BE450" i="81" s="1"/>
  <c r="BR453" i="81"/>
  <c r="BU453" i="81" s="1"/>
  <c r="BX453" i="81" s="1"/>
  <c r="CA453" i="81" s="1"/>
  <c r="BP454" i="81"/>
  <c r="BB456" i="81"/>
  <c r="BD456" i="81" s="1"/>
  <c r="BE456" i="81" s="1"/>
  <c r="BP459" i="81"/>
  <c r="BR460" i="81"/>
  <c r="BU460" i="81" s="1"/>
  <c r="D22" i="67"/>
  <c r="AR12" i="1"/>
  <c r="AR13" i="1"/>
  <c r="T35" i="4"/>
  <c r="A19" i="51" s="1"/>
  <c r="B14" i="72" s="1"/>
  <c r="AZ15" i="3"/>
  <c r="AZ18" i="3"/>
  <c r="AZ19" i="3"/>
  <c r="AZ22" i="3"/>
  <c r="AZ23" i="3"/>
  <c r="AZ26" i="3"/>
  <c r="AZ27" i="3"/>
  <c r="AZ30" i="3"/>
  <c r="AZ31" i="3"/>
  <c r="AZ34" i="3"/>
  <c r="AZ35" i="3"/>
  <c r="AZ38" i="3"/>
  <c r="AZ41" i="3"/>
  <c r="AZ60" i="3"/>
  <c r="AZ62" i="3"/>
  <c r="AZ72" i="3"/>
  <c r="AZ74" i="3"/>
  <c r="AZ77" i="3"/>
  <c r="AZ88" i="3"/>
  <c r="AZ90" i="3"/>
  <c r="AZ93" i="3"/>
  <c r="AZ100" i="3"/>
  <c r="AZ102" i="3"/>
  <c r="AZ105" i="3"/>
  <c r="AZ116" i="3"/>
  <c r="AZ118" i="3"/>
  <c r="AZ121" i="3"/>
  <c r="AZ132" i="3"/>
  <c r="AZ134" i="3"/>
  <c r="AZ137" i="3"/>
  <c r="AZ148" i="3"/>
  <c r="AZ150" i="3"/>
  <c r="AZ153" i="3"/>
  <c r="AZ164" i="3"/>
  <c r="AZ166" i="3"/>
  <c r="AZ169" i="3"/>
  <c r="AZ180" i="3"/>
  <c r="AZ182" i="3"/>
  <c r="AZ185" i="3"/>
  <c r="AZ196" i="3"/>
  <c r="AZ198" i="3"/>
  <c r="AZ201" i="3"/>
  <c r="AZ212" i="3"/>
  <c r="AZ214" i="3"/>
  <c r="AZ217" i="3"/>
  <c r="AZ228" i="3"/>
  <c r="AZ230" i="3"/>
  <c r="AZ233" i="3"/>
  <c r="AZ244" i="3"/>
  <c r="AZ246" i="3"/>
  <c r="AZ249" i="3"/>
  <c r="AZ260" i="3"/>
  <c r="AZ262" i="3"/>
  <c r="AZ265" i="3"/>
  <c r="AZ276" i="3"/>
  <c r="AZ278" i="3"/>
  <c r="AZ281" i="3"/>
  <c r="AZ292" i="3"/>
  <c r="AZ294" i="3"/>
  <c r="AZ297" i="3"/>
  <c r="AZ308" i="3"/>
  <c r="AZ310" i="3"/>
  <c r="AZ313" i="3"/>
  <c r="AZ324" i="3"/>
  <c r="AZ326" i="3"/>
  <c r="AZ329" i="3"/>
  <c r="AZ340" i="3"/>
  <c r="AZ342" i="3"/>
  <c r="AZ345" i="3"/>
  <c r="AZ356" i="3"/>
  <c r="AZ358" i="3"/>
  <c r="AZ361" i="3"/>
  <c r="AZ372" i="3"/>
  <c r="AZ374" i="3"/>
  <c r="AZ377" i="3"/>
  <c r="AZ388" i="3"/>
  <c r="AZ390" i="3"/>
  <c r="AZ393" i="3"/>
  <c r="AZ404" i="3"/>
  <c r="AZ406" i="3"/>
  <c r="AZ409" i="3"/>
  <c r="AZ420" i="3"/>
  <c r="AZ422" i="3"/>
  <c r="AZ425" i="3"/>
  <c r="AZ436" i="3"/>
  <c r="AZ438" i="3"/>
  <c r="AZ441" i="3"/>
  <c r="AZ452" i="3"/>
  <c r="AZ454" i="3"/>
  <c r="AZ457" i="3"/>
  <c r="AZ468" i="3"/>
  <c r="AZ470" i="3"/>
  <c r="AZ473" i="3"/>
  <c r="F48" i="69"/>
  <c r="BE5" i="81"/>
  <c r="BI5" i="81" s="1"/>
  <c r="BX5" i="81"/>
  <c r="BE7" i="81"/>
  <c r="BH7" i="81" s="1"/>
  <c r="BI7" i="81"/>
  <c r="BX7" i="81"/>
  <c r="BX10" i="81"/>
  <c r="BE11" i="81"/>
  <c r="BU12" i="81"/>
  <c r="BU14" i="81"/>
  <c r="BU15" i="81"/>
  <c r="BU16" i="81"/>
  <c r="BE30" i="81"/>
  <c r="BG30" i="81" s="1"/>
  <c r="BE32" i="81"/>
  <c r="BE38" i="81"/>
  <c r="BG38" i="81" s="1"/>
  <c r="BE49" i="81"/>
  <c r="BE53" i="81"/>
  <c r="D8" i="53"/>
  <c r="D120" i="9"/>
  <c r="BU4" i="81"/>
  <c r="BU6" i="81"/>
  <c r="BE9" i="81"/>
  <c r="BG9" i="81" s="1"/>
  <c r="BE10" i="81"/>
  <c r="BG10" i="81" s="1"/>
  <c r="BU11" i="81"/>
  <c r="BX17" i="81"/>
  <c r="BE18" i="81"/>
  <c r="BE20" i="81"/>
  <c r="BX21" i="81"/>
  <c r="BU22" i="81"/>
  <c r="BE23" i="81"/>
  <c r="BE77" i="81"/>
  <c r="D56" i="78"/>
  <c r="G6" i="1"/>
  <c r="I24" i="43"/>
  <c r="C24" i="43" s="1"/>
  <c r="AZ44" i="3"/>
  <c r="AZ46" i="3"/>
  <c r="AZ52" i="3"/>
  <c r="AZ54" i="3"/>
  <c r="AZ64" i="3"/>
  <c r="AZ66" i="3"/>
  <c r="AZ80" i="3"/>
  <c r="AZ82" i="3"/>
  <c r="AZ96" i="3"/>
  <c r="AZ98" i="3"/>
  <c r="AZ108" i="3"/>
  <c r="AZ110" i="3"/>
  <c r="AZ124" i="3"/>
  <c r="AZ126" i="3"/>
  <c r="AZ140" i="3"/>
  <c r="AZ142" i="3"/>
  <c r="AZ156" i="3"/>
  <c r="AZ158" i="3"/>
  <c r="AZ172" i="3"/>
  <c r="AZ174" i="3"/>
  <c r="AZ188" i="3"/>
  <c r="AZ190" i="3"/>
  <c r="AZ204" i="3"/>
  <c r="AZ206" i="3"/>
  <c r="AZ220" i="3"/>
  <c r="AZ222" i="3"/>
  <c r="AZ236" i="3"/>
  <c r="AZ238" i="3"/>
  <c r="AZ252" i="3"/>
  <c r="AZ254" i="3"/>
  <c r="AZ268" i="3"/>
  <c r="AZ270" i="3"/>
  <c r="AZ284" i="3"/>
  <c r="AZ286" i="3"/>
  <c r="AZ300" i="3"/>
  <c r="AZ302" i="3"/>
  <c r="AZ316" i="3"/>
  <c r="AZ318" i="3"/>
  <c r="AZ332" i="3"/>
  <c r="AZ334" i="3"/>
  <c r="AZ348" i="3"/>
  <c r="AZ350" i="3"/>
  <c r="AZ364" i="3"/>
  <c r="AZ366" i="3"/>
  <c r="AZ380" i="3"/>
  <c r="AZ382" i="3"/>
  <c r="AZ396" i="3"/>
  <c r="AZ398" i="3"/>
  <c r="AZ412" i="3"/>
  <c r="AZ414" i="3"/>
  <c r="AZ428" i="3"/>
  <c r="AZ430" i="3"/>
  <c r="AZ444" i="3"/>
  <c r="AZ446" i="3"/>
  <c r="AZ460" i="3"/>
  <c r="AZ462"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Z581" i="3"/>
  <c r="AZ585" i="3"/>
  <c r="A1" i="79"/>
  <c r="P29" i="43"/>
  <c r="P28" i="43"/>
  <c r="B66" i="40" s="1"/>
  <c r="P26" i="43"/>
  <c r="P25" i="43"/>
  <c r="O23" i="43"/>
  <c r="P27" i="43"/>
  <c r="B70" i="39" s="1"/>
  <c r="C8" i="74"/>
  <c r="D21" i="53"/>
  <c r="B39" i="72" s="1"/>
  <c r="AT10" i="81"/>
  <c r="BE15" i="81"/>
  <c r="BG15" i="81" s="1"/>
  <c r="BE17" i="81"/>
  <c r="BG17" i="81" s="1"/>
  <c r="BU18" i="81"/>
  <c r="BE21" i="81"/>
  <c r="BE26" i="81"/>
  <c r="BG26" i="81" s="1"/>
  <c r="BE28" i="81"/>
  <c r="BE34" i="81"/>
  <c r="BG34" i="81" s="1"/>
  <c r="BE36" i="81"/>
  <c r="BE41" i="81"/>
  <c r="BE73" i="81"/>
  <c r="G25" i="78"/>
  <c r="AZ45" i="3"/>
  <c r="AZ53" i="3"/>
  <c r="AZ65" i="3"/>
  <c r="AZ81" i="3"/>
  <c r="AZ97" i="3"/>
  <c r="AZ109" i="3"/>
  <c r="AZ125" i="3"/>
  <c r="AZ141" i="3"/>
  <c r="AZ157" i="3"/>
  <c r="AZ173" i="3"/>
  <c r="AZ189" i="3"/>
  <c r="AZ205" i="3"/>
  <c r="AZ221" i="3"/>
  <c r="AZ237" i="3"/>
  <c r="AZ253" i="3"/>
  <c r="AZ269" i="3"/>
  <c r="AZ285" i="3"/>
  <c r="AZ301" i="3"/>
  <c r="AZ317" i="3"/>
  <c r="AZ333" i="3"/>
  <c r="AZ349" i="3"/>
  <c r="AZ365" i="3"/>
  <c r="AZ381" i="3"/>
  <c r="AZ397" i="3"/>
  <c r="AZ413" i="3"/>
  <c r="AZ429" i="3"/>
  <c r="AZ445" i="3"/>
  <c r="AZ461" i="3"/>
  <c r="BE4" i="81"/>
  <c r="BE6" i="81"/>
  <c r="BU8" i="81"/>
  <c r="BU9" i="81"/>
  <c r="BU13" i="81"/>
  <c r="AT17" i="81"/>
  <c r="BU19" i="81"/>
  <c r="BU20" i="81"/>
  <c r="BE45" i="81"/>
  <c r="BE57" i="81"/>
  <c r="BE61" i="81"/>
  <c r="BE65" i="81"/>
  <c r="BE69" i="81"/>
  <c r="M20" i="67"/>
  <c r="F34" i="67"/>
  <c r="F62" i="67" s="1"/>
  <c r="F48" i="9"/>
  <c r="O52" i="9" s="1"/>
  <c r="F54" i="9"/>
  <c r="M56" i="9"/>
  <c r="A118" i="9"/>
  <c r="A126" i="9"/>
  <c r="A12" i="52" s="1"/>
  <c r="B56" i="72" s="1"/>
  <c r="C21" i="68"/>
  <c r="F30" i="68"/>
  <c r="F40" i="68"/>
  <c r="C21" i="69"/>
  <c r="G41" i="69"/>
  <c r="B54" i="43"/>
  <c r="B61" i="43"/>
  <c r="B69" i="43"/>
  <c r="B72" i="43"/>
  <c r="B83" i="43"/>
  <c r="H90" i="43"/>
  <c r="H94" i="43"/>
  <c r="H97" i="43"/>
  <c r="H100" i="43"/>
  <c r="AS21" i="81"/>
  <c r="AR25" i="81"/>
  <c r="AR29" i="81"/>
  <c r="AR33" i="81"/>
  <c r="AR37" i="81"/>
  <c r="BU39" i="81"/>
  <c r="BU40" i="81"/>
  <c r="AS43" i="81"/>
  <c r="BU43" i="81"/>
  <c r="BU44" i="81"/>
  <c r="AS47" i="81"/>
  <c r="BU47" i="81"/>
  <c r="BU48" i="81"/>
  <c r="BU79" i="81"/>
  <c r="BU85" i="81"/>
  <c r="BU91" i="81"/>
  <c r="BE97" i="81"/>
  <c r="BU101" i="81"/>
  <c r="BE109" i="81"/>
  <c r="BE141" i="81"/>
  <c r="C18" i="78"/>
  <c r="C5" i="78"/>
  <c r="D5" i="78" s="1"/>
  <c r="C7" i="78"/>
  <c r="D7" i="78" s="1"/>
  <c r="B15" i="78"/>
  <c r="F3" i="35"/>
  <c r="G1" i="67"/>
  <c r="B7" i="1"/>
  <c r="E7" i="1" s="1"/>
  <c r="R7" i="1"/>
  <c r="E1" i="73"/>
  <c r="K1" i="73" s="1"/>
  <c r="G41" i="11"/>
  <c r="G22" i="11"/>
  <c r="F30" i="11"/>
  <c r="F32" i="67"/>
  <c r="F60" i="67" s="1"/>
  <c r="M18" i="67"/>
  <c r="F28" i="67"/>
  <c r="F53" i="9"/>
  <c r="N56" i="9"/>
  <c r="G1" i="68"/>
  <c r="G41" i="68"/>
  <c r="G27" i="12"/>
  <c r="B65" i="43"/>
  <c r="B68" i="43"/>
  <c r="B77" i="43"/>
  <c r="B84" i="43"/>
  <c r="B88" i="43"/>
  <c r="B101" i="43"/>
  <c r="H116" i="43"/>
  <c r="F28" i="15"/>
  <c r="F34" i="15"/>
  <c r="F62" i="15" s="1"/>
  <c r="J51" i="15"/>
  <c r="BR42" i="81"/>
  <c r="BR46" i="81"/>
  <c r="AS51" i="81"/>
  <c r="BU51" i="81"/>
  <c r="BU52" i="81"/>
  <c r="AS55" i="81"/>
  <c r="BU55" i="81"/>
  <c r="BU56" i="81"/>
  <c r="AS59" i="81"/>
  <c r="BS59" i="81" s="1"/>
  <c r="BU59" i="81"/>
  <c r="BU60" i="81"/>
  <c r="AS63" i="81"/>
  <c r="BU63" i="81"/>
  <c r="BU64" i="81"/>
  <c r="AS67" i="81"/>
  <c r="BU67" i="81"/>
  <c r="BS67" i="81"/>
  <c r="BU68" i="81"/>
  <c r="AS71" i="81"/>
  <c r="BU71" i="81"/>
  <c r="BU72" i="81"/>
  <c r="BU75" i="81"/>
  <c r="BU76" i="81"/>
  <c r="BE81" i="81"/>
  <c r="BE83" i="81"/>
  <c r="BU87" i="81"/>
  <c r="BE93" i="81"/>
  <c r="BE95" i="81"/>
  <c r="BU97" i="81"/>
  <c r="BE99" i="81"/>
  <c r="BU103" i="81"/>
  <c r="BE105" i="81"/>
  <c r="BE107" i="81"/>
  <c r="BE113" i="81"/>
  <c r="BE137" i="81"/>
  <c r="A4" i="52"/>
  <c r="B41" i="72" s="1"/>
  <c r="B4" i="62"/>
  <c r="B71" i="72" s="1"/>
  <c r="C51" i="10"/>
  <c r="A13" i="51" s="1"/>
  <c r="B11" i="72" s="1"/>
  <c r="AA8" i="71"/>
  <c r="X8" i="71"/>
  <c r="AB8" i="71"/>
  <c r="Y8" i="71"/>
  <c r="Z8" i="71" s="1"/>
  <c r="K5" i="3"/>
  <c r="B6" i="1"/>
  <c r="E6" i="1" s="1"/>
  <c r="K7" i="1"/>
  <c r="M7" i="1" s="1"/>
  <c r="K9" i="1"/>
  <c r="M9" i="1" s="1"/>
  <c r="K11" i="1"/>
  <c r="M11" i="1" s="1"/>
  <c r="K13" i="1"/>
  <c r="M13" i="1" s="1"/>
  <c r="C42" i="1"/>
  <c r="F52" i="9"/>
  <c r="J56" i="9"/>
  <c r="J57" i="9" s="1"/>
  <c r="J59" i="9" s="1"/>
  <c r="J61" i="9" s="1"/>
  <c r="C92" i="9"/>
  <c r="H111" i="9"/>
  <c r="E19" i="68"/>
  <c r="G22" i="68"/>
  <c r="E19" i="69"/>
  <c r="G22" i="69"/>
  <c r="C40" i="69"/>
  <c r="F11" i="12"/>
  <c r="C23" i="12" s="1"/>
  <c r="S2" i="43"/>
  <c r="S3" i="43"/>
  <c r="S4" i="43"/>
  <c r="S6" i="43"/>
  <c r="N7" i="43"/>
  <c r="N8" i="43"/>
  <c r="N9" i="43"/>
  <c r="N10" i="43"/>
  <c r="M11" i="43"/>
  <c r="N12" i="43"/>
  <c r="I18" i="43"/>
  <c r="E17" i="43" s="1"/>
  <c r="E21" i="43"/>
  <c r="J21" i="43"/>
  <c r="G21" i="43" s="1"/>
  <c r="C20" i="43" s="1"/>
  <c r="N21" i="43"/>
  <c r="F50" i="43"/>
  <c r="H63" i="43"/>
  <c r="B67" i="43"/>
  <c r="H69" i="43"/>
  <c r="H74" i="43"/>
  <c r="B76" i="43"/>
  <c r="B79" i="43"/>
  <c r="H80" i="43"/>
  <c r="H85" i="43"/>
  <c r="B87" i="43"/>
  <c r="B90" i="43"/>
  <c r="B94" i="43"/>
  <c r="B97" i="43"/>
  <c r="H98" i="43"/>
  <c r="B100" i="43"/>
  <c r="G1" i="15"/>
  <c r="M20" i="15"/>
  <c r="AS464" i="81"/>
  <c r="AS460" i="81"/>
  <c r="AS465" i="81"/>
  <c r="AS461" i="81"/>
  <c r="AS462" i="81"/>
  <c r="AS458" i="81"/>
  <c r="AS454" i="81"/>
  <c r="AS450" i="81"/>
  <c r="AS446" i="81"/>
  <c r="AS442" i="81"/>
  <c r="AS438" i="81"/>
  <c r="AS434" i="81"/>
  <c r="BP463" i="81"/>
  <c r="AS463" i="81"/>
  <c r="AS459" i="81"/>
  <c r="AS433" i="81"/>
  <c r="BP433" i="81" s="1"/>
  <c r="AS455" i="81"/>
  <c r="AS451" i="81"/>
  <c r="AS447" i="81"/>
  <c r="BP447" i="81" s="1"/>
  <c r="AS443" i="81"/>
  <c r="BP443" i="81" s="1"/>
  <c r="AS439" i="81"/>
  <c r="BP439" i="81" s="1"/>
  <c r="AS435" i="81"/>
  <c r="AS431" i="81"/>
  <c r="AS420" i="81"/>
  <c r="AS412" i="81"/>
  <c r="BP412" i="81" s="1"/>
  <c r="AS408" i="81"/>
  <c r="BP408" i="81" s="1"/>
  <c r="AS429" i="81"/>
  <c r="AS425" i="81"/>
  <c r="AS421" i="81"/>
  <c r="AS417" i="81"/>
  <c r="AS413" i="81"/>
  <c r="AS409" i="81"/>
  <c r="AS401" i="81"/>
  <c r="AS457" i="81"/>
  <c r="BP457" i="81" s="1"/>
  <c r="AS453" i="81"/>
  <c r="AS449" i="81"/>
  <c r="AS445" i="81"/>
  <c r="BP445" i="81" s="1"/>
  <c r="AS441" i="81"/>
  <c r="AS437" i="81"/>
  <c r="AS430" i="81"/>
  <c r="AS418" i="81"/>
  <c r="AS406" i="81"/>
  <c r="AS419" i="81"/>
  <c r="BP419" i="81" s="1"/>
  <c r="AS407" i="81"/>
  <c r="AS400" i="81"/>
  <c r="BP400" i="81" s="1"/>
  <c r="AS394" i="81"/>
  <c r="AS390" i="81"/>
  <c r="AS386" i="81"/>
  <c r="AS382" i="81"/>
  <c r="AS378" i="81"/>
  <c r="AS374" i="81"/>
  <c r="AS370" i="81"/>
  <c r="AS362" i="81"/>
  <c r="AS403" i="81"/>
  <c r="AS399" i="81"/>
  <c r="AS398" i="81"/>
  <c r="AS395" i="81"/>
  <c r="AS391" i="81"/>
  <c r="AS387" i="81"/>
  <c r="AS383" i="81"/>
  <c r="AS379" i="81"/>
  <c r="AS375" i="81"/>
  <c r="AS367" i="81"/>
  <c r="AS363" i="81"/>
  <c r="AS427" i="81"/>
  <c r="AS415" i="81"/>
  <c r="AS396" i="81"/>
  <c r="AS392" i="81"/>
  <c r="AS388" i="81"/>
  <c r="BP388" i="81" s="1"/>
  <c r="AS384" i="81"/>
  <c r="AS380" i="81"/>
  <c r="AS376" i="81"/>
  <c r="AS372" i="81"/>
  <c r="AS423" i="81"/>
  <c r="BP423" i="81" s="1"/>
  <c r="AS411" i="81"/>
  <c r="AS402" i="81"/>
  <c r="AS397" i="81"/>
  <c r="AS393" i="81"/>
  <c r="AS389" i="81"/>
  <c r="AS385" i="81"/>
  <c r="AS381" i="81"/>
  <c r="AS377" i="81"/>
  <c r="AS373" i="81"/>
  <c r="AS369" i="81"/>
  <c r="AS361" i="81"/>
  <c r="AS364" i="81"/>
  <c r="BP364" i="81" s="1"/>
  <c r="AS355" i="81"/>
  <c r="AS351" i="81"/>
  <c r="AS347" i="81"/>
  <c r="AS343" i="81"/>
  <c r="BP343" i="81" s="1"/>
  <c r="AS339" i="81"/>
  <c r="BP339" i="81" s="1"/>
  <c r="AS335" i="81"/>
  <c r="AS331" i="81"/>
  <c r="AS327" i="81"/>
  <c r="BP327" i="81" s="1"/>
  <c r="AS323" i="81"/>
  <c r="AS319" i="81"/>
  <c r="AS315" i="81"/>
  <c r="AS311" i="81"/>
  <c r="AS307" i="81"/>
  <c r="AS356" i="81"/>
  <c r="BP356" i="81" s="1"/>
  <c r="AS352" i="81"/>
  <c r="AS348" i="81"/>
  <c r="BP348" i="81" s="1"/>
  <c r="AS344" i="81"/>
  <c r="AS340" i="81"/>
  <c r="AS336" i="81"/>
  <c r="AS332" i="81"/>
  <c r="AS328" i="81"/>
  <c r="BP328" i="81" s="1"/>
  <c r="AS324" i="81"/>
  <c r="BP320" i="81"/>
  <c r="AS320" i="81"/>
  <c r="AS316" i="81"/>
  <c r="AS312" i="81"/>
  <c r="BP312" i="81" s="1"/>
  <c r="AS308" i="81"/>
  <c r="BP304" i="81"/>
  <c r="AS304" i="81"/>
  <c r="BP300" i="81"/>
  <c r="AS300" i="81"/>
  <c r="BP292" i="81"/>
  <c r="AS292" i="81"/>
  <c r="AS284" i="81"/>
  <c r="AS357" i="81"/>
  <c r="AS353" i="81"/>
  <c r="AS349" i="81"/>
  <c r="AS345" i="81"/>
  <c r="AS341" i="81"/>
  <c r="BP337" i="81"/>
  <c r="AS337" i="81"/>
  <c r="AS333" i="81"/>
  <c r="AS329" i="81"/>
  <c r="BP329" i="81" s="1"/>
  <c r="AS325" i="81"/>
  <c r="AS321" i="81"/>
  <c r="BP321" i="81" s="1"/>
  <c r="AS317" i="81"/>
  <c r="AS313" i="81"/>
  <c r="AS309" i="81"/>
  <c r="AS305" i="81"/>
  <c r="AS297" i="81"/>
  <c r="AS293" i="81"/>
  <c r="AS289" i="81"/>
  <c r="AS285" i="81"/>
  <c r="BP285" i="81" s="1"/>
  <c r="AS281" i="81"/>
  <c r="AS368" i="81"/>
  <c r="AS360" i="81"/>
  <c r="AS359" i="81"/>
  <c r="AS354" i="81"/>
  <c r="AS350" i="81"/>
  <c r="AS346" i="81"/>
  <c r="AS342" i="81"/>
  <c r="AS338" i="81"/>
  <c r="AS334" i="81"/>
  <c r="AS330" i="81"/>
  <c r="AS326" i="81"/>
  <c r="AS322" i="81"/>
  <c r="AS318" i="81"/>
  <c r="AS314" i="81"/>
  <c r="AS310" i="81"/>
  <c r="AS306" i="81"/>
  <c r="AS302" i="81"/>
  <c r="AS298" i="81"/>
  <c r="AS290" i="81"/>
  <c r="AS286" i="81"/>
  <c r="AS282" i="81"/>
  <c r="AS278" i="81"/>
  <c r="AS270" i="81"/>
  <c r="AS303" i="81"/>
  <c r="AS291" i="81"/>
  <c r="AS283" i="81"/>
  <c r="AS265" i="81"/>
  <c r="AS261" i="81"/>
  <c r="AS257" i="81"/>
  <c r="BP257" i="81" s="1"/>
  <c r="AS253" i="81"/>
  <c r="AS249" i="81"/>
  <c r="AS245" i="81"/>
  <c r="AS241" i="81"/>
  <c r="AS237" i="81"/>
  <c r="AS233" i="81"/>
  <c r="AS229" i="81"/>
  <c r="AS225" i="81"/>
  <c r="BP225" i="81" s="1"/>
  <c r="AS221" i="81"/>
  <c r="AS209" i="81"/>
  <c r="BP209" i="81" s="1"/>
  <c r="AS205" i="81"/>
  <c r="AS299" i="81"/>
  <c r="AS280" i="81"/>
  <c r="BP280" i="81" s="1"/>
  <c r="AS276" i="81"/>
  <c r="AS272" i="81"/>
  <c r="AS268" i="81"/>
  <c r="AS262" i="81"/>
  <c r="AS258" i="81"/>
  <c r="AS254" i="81"/>
  <c r="AS250" i="81"/>
  <c r="AS246" i="81"/>
  <c r="AS242" i="81"/>
  <c r="AS238" i="81"/>
  <c r="AS234" i="81"/>
  <c r="AS230" i="81"/>
  <c r="AS226" i="81"/>
  <c r="AS222" i="81"/>
  <c r="AS218" i="81"/>
  <c r="AS214" i="81"/>
  <c r="AS210" i="81"/>
  <c r="AS206" i="81"/>
  <c r="AS202" i="81"/>
  <c r="AS198" i="81"/>
  <c r="AS194" i="81"/>
  <c r="AS190" i="81"/>
  <c r="AS186" i="81"/>
  <c r="AS287" i="81"/>
  <c r="AS266" i="81"/>
  <c r="AS263" i="81"/>
  <c r="AS259" i="81"/>
  <c r="AS255" i="81"/>
  <c r="AS251" i="81"/>
  <c r="AS247" i="81"/>
  <c r="AS243" i="81"/>
  <c r="AS239" i="81"/>
  <c r="AS235" i="81"/>
  <c r="AS223" i="81"/>
  <c r="AS207" i="81"/>
  <c r="AS203" i="81"/>
  <c r="BS297" i="81"/>
  <c r="AS295" i="81"/>
  <c r="BP283" i="81"/>
  <c r="AS279" i="81"/>
  <c r="BP279" i="81" s="1"/>
  <c r="AS275" i="81"/>
  <c r="AS271" i="81"/>
  <c r="AS267" i="81"/>
  <c r="BP267" i="81" s="1"/>
  <c r="AS264" i="81"/>
  <c r="AS260" i="81"/>
  <c r="AS256" i="81"/>
  <c r="AS252" i="81"/>
  <c r="AS248" i="81"/>
  <c r="BP244" i="81"/>
  <c r="AS244" i="81"/>
  <c r="BP240" i="81"/>
  <c r="AS240" i="81"/>
  <c r="AS236" i="81"/>
  <c r="AS232" i="81"/>
  <c r="AS224" i="81"/>
  <c r="AS208" i="81"/>
  <c r="AS189" i="81"/>
  <c r="AS185" i="81"/>
  <c r="AS184" i="81"/>
  <c r="AS180" i="81"/>
  <c r="AS176" i="81"/>
  <c r="AS172" i="81"/>
  <c r="AS168" i="81"/>
  <c r="BP168" i="81" s="1"/>
  <c r="AS164" i="81"/>
  <c r="AS163" i="81"/>
  <c r="BP163" i="81" s="1"/>
  <c r="AS159" i="81"/>
  <c r="AS155" i="81"/>
  <c r="AS151" i="81"/>
  <c r="AS147" i="81"/>
  <c r="AS220" i="81"/>
  <c r="AS204" i="81"/>
  <c r="AS196" i="81"/>
  <c r="AS192" i="81"/>
  <c r="AS187" i="81"/>
  <c r="AS181" i="81"/>
  <c r="AS177" i="81"/>
  <c r="AS173" i="81"/>
  <c r="AS169" i="81"/>
  <c r="AS165" i="81"/>
  <c r="AS160" i="81"/>
  <c r="AS156" i="81"/>
  <c r="AS152" i="81"/>
  <c r="AS148" i="81"/>
  <c r="AS128" i="81"/>
  <c r="AS120" i="81"/>
  <c r="AS116" i="81"/>
  <c r="AS216" i="81"/>
  <c r="AS200" i="81"/>
  <c r="AS182" i="81"/>
  <c r="AS178" i="81"/>
  <c r="BP178" i="81" s="1"/>
  <c r="AS174" i="81"/>
  <c r="AS170" i="81"/>
  <c r="AS166" i="81"/>
  <c r="AS161" i="81"/>
  <c r="BP161" i="81" s="1"/>
  <c r="AS157" i="81"/>
  <c r="BP157" i="81" s="1"/>
  <c r="AS153" i="81"/>
  <c r="AS149" i="81"/>
  <c r="AS145" i="81"/>
  <c r="AS141" i="81"/>
  <c r="AS133" i="81"/>
  <c r="AS129" i="81"/>
  <c r="AS125" i="81"/>
  <c r="AS121" i="81"/>
  <c r="AS117" i="81"/>
  <c r="AS113" i="81"/>
  <c r="AS228" i="81"/>
  <c r="AS212" i="81"/>
  <c r="AS199" i="81"/>
  <c r="AS195" i="81"/>
  <c r="BP191" i="81"/>
  <c r="AS191" i="81"/>
  <c r="AS183" i="81"/>
  <c r="AS179" i="81"/>
  <c r="AS175" i="81"/>
  <c r="AS171" i="81"/>
  <c r="AS167" i="81"/>
  <c r="AS162" i="81"/>
  <c r="AS158" i="81"/>
  <c r="AS154" i="81"/>
  <c r="AS150" i="81"/>
  <c r="AS146" i="81"/>
  <c r="AS142" i="81"/>
  <c r="AS126" i="81"/>
  <c r="AS118" i="81"/>
  <c r="AS114" i="81"/>
  <c r="AS143" i="81"/>
  <c r="BP143" i="81" s="1"/>
  <c r="AS139" i="81"/>
  <c r="AS135" i="81"/>
  <c r="AS131" i="81"/>
  <c r="AS109" i="81"/>
  <c r="AS102" i="81"/>
  <c r="BG102" i="81" s="1"/>
  <c r="AS98" i="81"/>
  <c r="AS94" i="81"/>
  <c r="AS90" i="81"/>
  <c r="AS86" i="81"/>
  <c r="AS82" i="81"/>
  <c r="AS78" i="81"/>
  <c r="AS74" i="81"/>
  <c r="AS70" i="81"/>
  <c r="AS66" i="81"/>
  <c r="AS62" i="81"/>
  <c r="AS58" i="81"/>
  <c r="AS54" i="81"/>
  <c r="AS50" i="81"/>
  <c r="AS25" i="81"/>
  <c r="AS127" i="81"/>
  <c r="AS115" i="81"/>
  <c r="AS103" i="81"/>
  <c r="AS99" i="81"/>
  <c r="AS95" i="81"/>
  <c r="BG95" i="81" s="1"/>
  <c r="AS91" i="81"/>
  <c r="AS87" i="81"/>
  <c r="BP83" i="81"/>
  <c r="AS83" i="81"/>
  <c r="AS79" i="81"/>
  <c r="AS123" i="81"/>
  <c r="AS111" i="81"/>
  <c r="BP111" i="81" s="1"/>
  <c r="AS107" i="81"/>
  <c r="AS104" i="81"/>
  <c r="AS100" i="81"/>
  <c r="AS96" i="81"/>
  <c r="AS92" i="81"/>
  <c r="BG92" i="81" s="1"/>
  <c r="AS88" i="81"/>
  <c r="AS84" i="81"/>
  <c r="AS80" i="81"/>
  <c r="AS39" i="81"/>
  <c r="BP39" i="81" s="1"/>
  <c r="AS119" i="81"/>
  <c r="AS105" i="81"/>
  <c r="AS101" i="81"/>
  <c r="BP101" i="81" s="1"/>
  <c r="AS97" i="81"/>
  <c r="BG97" i="81" s="1"/>
  <c r="AS93" i="81"/>
  <c r="AS89" i="81"/>
  <c r="AS85" i="81"/>
  <c r="AS81" i="81"/>
  <c r="AS77" i="81"/>
  <c r="AS73" i="81"/>
  <c r="AS69" i="81"/>
  <c r="AS65" i="81"/>
  <c r="AS61" i="81"/>
  <c r="AS57" i="81"/>
  <c r="BP57" i="81" s="1"/>
  <c r="AS53" i="81"/>
  <c r="AS49" i="81"/>
  <c r="AS45" i="81"/>
  <c r="BP45" i="81" s="1"/>
  <c r="AS41" i="81"/>
  <c r="BG41" i="81" s="1"/>
  <c r="AW2" i="81"/>
  <c r="AT4" i="81"/>
  <c r="AV5" i="81"/>
  <c r="AT6" i="81"/>
  <c r="AV7" i="81"/>
  <c r="BJ7" i="81" s="1"/>
  <c r="AS8" i="81"/>
  <c r="BG8" i="81" s="1"/>
  <c r="AT9" i="81"/>
  <c r="BH9" i="81" s="1"/>
  <c r="AU10" i="81"/>
  <c r="AS12" i="81"/>
  <c r="AS13" i="81"/>
  <c r="AS14" i="81"/>
  <c r="AT15" i="81"/>
  <c r="AU16" i="81"/>
  <c r="BP16" i="81" s="1"/>
  <c r="AU17" i="81"/>
  <c r="AS19" i="81"/>
  <c r="AS22" i="81"/>
  <c r="AS23" i="81"/>
  <c r="X24" i="81"/>
  <c r="AP24" i="81" s="1"/>
  <c r="AQ24" i="81" s="1"/>
  <c r="CA24" i="81"/>
  <c r="BX25" i="81"/>
  <c r="AR27" i="81"/>
  <c r="AS27" i="81" s="1"/>
  <c r="AT27" i="81" s="1"/>
  <c r="AU27" i="81" s="1"/>
  <c r="BR27" i="81"/>
  <c r="BX29" i="81"/>
  <c r="AR31" i="81"/>
  <c r="BR31" i="81"/>
  <c r="BX33" i="81"/>
  <c r="AR35" i="81"/>
  <c r="BR35" i="81"/>
  <c r="BX37" i="81"/>
  <c r="X40" i="81"/>
  <c r="AP40" i="81" s="1"/>
  <c r="AQ40" i="81" s="1"/>
  <c r="AS40" i="81" s="1"/>
  <c r="BX41" i="81"/>
  <c r="AR42" i="81"/>
  <c r="AS42" i="81" s="1"/>
  <c r="AT42" i="81" s="1"/>
  <c r="BG43" i="81"/>
  <c r="X44" i="81"/>
  <c r="AP44" i="81" s="1"/>
  <c r="AQ44" i="81" s="1"/>
  <c r="AS44" i="81" s="1"/>
  <c r="BX45" i="81"/>
  <c r="AR46" i="81"/>
  <c r="AS46" i="81" s="1"/>
  <c r="BG47" i="81"/>
  <c r="X48" i="81"/>
  <c r="AP48" i="81" s="1"/>
  <c r="AQ48" i="81" s="1"/>
  <c r="AS48" i="81" s="1"/>
  <c r="BX49" i="81"/>
  <c r="BP50" i="81"/>
  <c r="BR50" i="81"/>
  <c r="BP54" i="81"/>
  <c r="BR54" i="81"/>
  <c r="BP58" i="81"/>
  <c r="BR58" i="81"/>
  <c r="BP62" i="81"/>
  <c r="BR62" i="81"/>
  <c r="BP66" i="81"/>
  <c r="BR66" i="81"/>
  <c r="BP70" i="81"/>
  <c r="BR70" i="81"/>
  <c r="BP74" i="81"/>
  <c r="BR74" i="81"/>
  <c r="BG79" i="81"/>
  <c r="BE79" i="81"/>
  <c r="BU81" i="81"/>
  <c r="BG84" i="81"/>
  <c r="BP84" i="81"/>
  <c r="BE89" i="81"/>
  <c r="BG91" i="81"/>
  <c r="BE91" i="81"/>
  <c r="BU93" i="81"/>
  <c r="BG100" i="81"/>
  <c r="BU105" i="81"/>
  <c r="BE125" i="81"/>
  <c r="BG125" i="81" s="1"/>
  <c r="J50" i="40"/>
  <c r="J55" i="39"/>
  <c r="B37" i="48"/>
  <c r="B2" i="72" s="1"/>
  <c r="K5" i="4"/>
  <c r="B47" i="48" s="1"/>
  <c r="H14" i="3"/>
  <c r="G14" i="3" s="1"/>
  <c r="C7" i="36"/>
  <c r="C46" i="36" s="1"/>
  <c r="C7" i="39"/>
  <c r="C67" i="39" s="1"/>
  <c r="C7" i="40"/>
  <c r="C63" i="40" s="1"/>
  <c r="C7" i="35"/>
  <c r="C48" i="35" s="1"/>
  <c r="C7" i="37"/>
  <c r="C52" i="37" s="1"/>
  <c r="C7" i="34"/>
  <c r="C59" i="34" s="1"/>
  <c r="C7" i="33"/>
  <c r="C58" i="33" s="1"/>
  <c r="C7" i="21"/>
  <c r="C58" i="21" s="1"/>
  <c r="B8" i="1"/>
  <c r="E8" i="1" s="1"/>
  <c r="B10" i="1"/>
  <c r="E10" i="1" s="1"/>
  <c r="B12" i="1"/>
  <c r="E12" i="1" s="1"/>
  <c r="H29" i="80"/>
  <c r="D68" i="9"/>
  <c r="K1" i="12"/>
  <c r="G25" i="12"/>
  <c r="F31" i="12"/>
  <c r="C31" i="12" s="1"/>
  <c r="M5" i="43"/>
  <c r="K21" i="43"/>
  <c r="O21" i="43"/>
  <c r="C27" i="43"/>
  <c r="C25" i="43" s="1"/>
  <c r="F37" i="43"/>
  <c r="F39" i="43"/>
  <c r="B56" i="43"/>
  <c r="B57" i="43"/>
  <c r="B58" i="43"/>
  <c r="H62" i="43"/>
  <c r="H65" i="43"/>
  <c r="H73" i="43"/>
  <c r="H84" i="43"/>
  <c r="H95" i="43"/>
  <c r="B99" i="43"/>
  <c r="M18" i="15"/>
  <c r="F32" i="15"/>
  <c r="F60" i="15" s="1"/>
  <c r="AT465" i="81"/>
  <c r="AU465" i="81" s="1"/>
  <c r="AT461" i="81"/>
  <c r="AU461" i="81" s="1"/>
  <c r="AT457" i="81"/>
  <c r="AT453" i="81"/>
  <c r="AT449" i="81"/>
  <c r="AU449" i="81" s="1"/>
  <c r="AT445" i="81"/>
  <c r="AU445" i="81" s="1"/>
  <c r="AT441" i="81"/>
  <c r="AT437" i="81"/>
  <c r="AT462" i="81"/>
  <c r="AT458" i="81"/>
  <c r="AT463" i="81"/>
  <c r="AU463" i="81" s="1"/>
  <c r="AT459" i="81"/>
  <c r="AT455" i="81"/>
  <c r="AT451" i="81"/>
  <c r="AT447" i="81"/>
  <c r="AT443" i="81"/>
  <c r="AT439" i="81"/>
  <c r="AT435" i="81"/>
  <c r="AT431" i="81"/>
  <c r="AT464" i="81"/>
  <c r="AT460" i="81"/>
  <c r="AU460" i="81" s="1"/>
  <c r="AT454" i="81"/>
  <c r="AU454" i="81" s="1"/>
  <c r="AT450" i="81"/>
  <c r="AU450" i="81" s="1"/>
  <c r="AT446" i="81"/>
  <c r="AT442" i="81"/>
  <c r="AT438" i="81"/>
  <c r="AU438" i="81" s="1"/>
  <c r="AT429" i="81"/>
  <c r="AU429" i="81" s="1"/>
  <c r="AT425" i="81"/>
  <c r="AU425" i="81" s="1"/>
  <c r="AT421" i="81"/>
  <c r="AT417" i="81"/>
  <c r="AT413" i="81"/>
  <c r="AT409" i="81"/>
  <c r="AT401" i="81"/>
  <c r="AU401" i="81" s="1"/>
  <c r="AT430" i="81"/>
  <c r="AT418" i="81"/>
  <c r="AU418" i="81" s="1"/>
  <c r="AT406" i="81"/>
  <c r="AT402" i="81"/>
  <c r="AU402" i="81" s="1"/>
  <c r="AT398" i="81"/>
  <c r="AT434" i="81"/>
  <c r="AT433" i="81"/>
  <c r="AU433" i="81" s="1"/>
  <c r="AT427" i="81"/>
  <c r="AT423" i="81"/>
  <c r="AT419" i="81"/>
  <c r="AT415" i="81"/>
  <c r="AU415" i="81" s="1"/>
  <c r="AT411" i="81"/>
  <c r="AT407" i="81"/>
  <c r="AT403" i="81"/>
  <c r="AT399" i="81"/>
  <c r="AU399" i="81" s="1"/>
  <c r="AT395" i="81"/>
  <c r="AT391" i="81"/>
  <c r="AT387" i="81"/>
  <c r="AT383" i="81"/>
  <c r="AT379" i="81"/>
  <c r="AT375" i="81"/>
  <c r="AT367" i="81"/>
  <c r="AT363" i="81"/>
  <c r="AT359" i="81"/>
  <c r="AT396" i="81"/>
  <c r="AU396" i="81" s="1"/>
  <c r="AT392" i="81"/>
  <c r="AU392" i="81" s="1"/>
  <c r="AT388" i="81"/>
  <c r="AT384" i="81"/>
  <c r="AU384" i="81" s="1"/>
  <c r="AT380" i="81"/>
  <c r="AU380" i="81" s="1"/>
  <c r="AT376" i="81"/>
  <c r="AU376" i="81" s="1"/>
  <c r="AT372" i="81"/>
  <c r="AT368" i="81"/>
  <c r="AU368" i="81" s="1"/>
  <c r="AT364" i="81"/>
  <c r="AU364" i="81" s="1"/>
  <c r="AT412" i="81"/>
  <c r="AT397" i="81"/>
  <c r="AU397" i="81" s="1"/>
  <c r="AT393" i="81"/>
  <c r="AU393" i="81" s="1"/>
  <c r="AT389" i="81"/>
  <c r="AT385" i="81"/>
  <c r="AT381" i="81"/>
  <c r="AU381" i="81" s="1"/>
  <c r="AT377" i="81"/>
  <c r="AU377" i="81" s="1"/>
  <c r="AT373" i="81"/>
  <c r="AT420" i="81"/>
  <c r="AT408" i="81"/>
  <c r="AU408" i="81" s="1"/>
  <c r="AT400" i="81"/>
  <c r="AU400" i="81" s="1"/>
  <c r="AT394" i="81"/>
  <c r="AT390" i="81"/>
  <c r="AT386" i="81"/>
  <c r="AU386" i="81" s="1"/>
  <c r="AT382" i="81"/>
  <c r="AU382" i="81" s="1"/>
  <c r="AT378" i="81"/>
  <c r="AT374" i="81"/>
  <c r="AT370" i="81"/>
  <c r="AU370" i="81" s="1"/>
  <c r="AT362" i="81"/>
  <c r="AT356" i="81"/>
  <c r="AT352" i="81"/>
  <c r="AU352" i="81" s="1"/>
  <c r="AT348" i="81"/>
  <c r="AU348" i="81" s="1"/>
  <c r="AT344" i="81"/>
  <c r="AU344" i="81" s="1"/>
  <c r="AT340" i="81"/>
  <c r="AT336" i="81"/>
  <c r="AU336" i="81" s="1"/>
  <c r="AT332" i="81"/>
  <c r="AU332" i="81" s="1"/>
  <c r="AT328" i="81"/>
  <c r="AU328" i="81" s="1"/>
  <c r="AT324" i="81"/>
  <c r="AT320" i="81"/>
  <c r="AU320" i="81" s="1"/>
  <c r="AT316" i="81"/>
  <c r="AU316" i="81" s="1"/>
  <c r="AT312" i="81"/>
  <c r="AU312" i="81" s="1"/>
  <c r="AT308" i="81"/>
  <c r="AT304" i="81"/>
  <c r="AU304" i="81" s="1"/>
  <c r="AT361" i="81"/>
  <c r="AU361" i="81" s="1"/>
  <c r="AT357" i="81"/>
  <c r="AT353" i="81"/>
  <c r="AU353" i="81" s="1"/>
  <c r="AT349" i="81"/>
  <c r="AU349" i="81" s="1"/>
  <c r="AT345" i="81"/>
  <c r="AU345" i="81" s="1"/>
  <c r="AT341" i="81"/>
  <c r="AT337" i="81"/>
  <c r="AU337" i="81" s="1"/>
  <c r="AT333" i="81"/>
  <c r="AU333" i="81" s="1"/>
  <c r="AT329" i="81"/>
  <c r="AU329" i="81" s="1"/>
  <c r="AT325" i="81"/>
  <c r="AT321" i="81"/>
  <c r="AU321" i="81" s="1"/>
  <c r="AT317" i="81"/>
  <c r="AU317" i="81" s="1"/>
  <c r="AT313" i="81"/>
  <c r="AU313" i="81" s="1"/>
  <c r="AT309" i="81"/>
  <c r="AT305" i="81"/>
  <c r="AU305" i="81" s="1"/>
  <c r="AT297" i="81"/>
  <c r="AU297" i="81" s="1"/>
  <c r="AT293" i="81"/>
  <c r="AT289" i="81"/>
  <c r="AU289" i="81" s="1"/>
  <c r="AT285" i="81"/>
  <c r="AT281" i="81"/>
  <c r="AU281" i="81" s="1"/>
  <c r="AT369" i="81"/>
  <c r="AT360" i="81"/>
  <c r="AU360" i="81" s="1"/>
  <c r="AT354" i="81"/>
  <c r="AU354" i="81" s="1"/>
  <c r="AT350" i="81"/>
  <c r="AT346" i="81"/>
  <c r="AT342" i="81"/>
  <c r="AU342" i="81" s="1"/>
  <c r="AT338" i="81"/>
  <c r="AU338" i="81" s="1"/>
  <c r="AT334" i="81"/>
  <c r="AT330" i="81"/>
  <c r="AT326" i="81"/>
  <c r="AU326" i="81" s="1"/>
  <c r="AT322" i="81"/>
  <c r="AU322" i="81" s="1"/>
  <c r="AT318" i="81"/>
  <c r="AT314" i="81"/>
  <c r="AT310" i="81"/>
  <c r="AU310" i="81" s="1"/>
  <c r="AT306" i="81"/>
  <c r="AU306" i="81" s="1"/>
  <c r="AT302" i="81"/>
  <c r="AT298" i="81"/>
  <c r="AT290" i="81"/>
  <c r="AU290" i="81" s="1"/>
  <c r="AT286" i="81"/>
  <c r="AT282" i="81"/>
  <c r="AT278" i="81"/>
  <c r="AU278" i="81" s="1"/>
  <c r="AT270" i="81"/>
  <c r="AT266" i="81"/>
  <c r="AT355" i="81"/>
  <c r="AT351" i="81"/>
  <c r="AT347" i="81"/>
  <c r="AT343" i="81"/>
  <c r="AU343" i="81" s="1"/>
  <c r="AT339" i="81"/>
  <c r="AT335" i="81"/>
  <c r="AT331" i="81"/>
  <c r="AT327" i="81"/>
  <c r="AU327" i="81" s="1"/>
  <c r="AT323" i="81"/>
  <c r="AT319" i="81"/>
  <c r="AT315" i="81"/>
  <c r="AT311" i="81"/>
  <c r="AU311" i="81" s="1"/>
  <c r="AT307" i="81"/>
  <c r="AT303" i="81"/>
  <c r="AT299" i="81"/>
  <c r="AT295" i="81"/>
  <c r="AU295" i="81" s="1"/>
  <c r="AT291" i="81"/>
  <c r="BP291" i="81" s="1"/>
  <c r="AT287" i="81"/>
  <c r="AT283" i="81"/>
  <c r="AT279" i="81"/>
  <c r="AU279" i="81" s="1"/>
  <c r="AT275" i="81"/>
  <c r="BP275" i="81" s="1"/>
  <c r="AT271" i="81"/>
  <c r="AT267" i="81"/>
  <c r="AT292" i="81"/>
  <c r="AT284" i="81"/>
  <c r="AU284" i="81" s="1"/>
  <c r="AT280" i="81"/>
  <c r="AU280" i="81" s="1"/>
  <c r="AT276" i="81"/>
  <c r="AT272" i="81"/>
  <c r="AU272" i="81" s="1"/>
  <c r="AT268" i="81"/>
  <c r="AU268" i="81" s="1"/>
  <c r="AT262" i="81"/>
  <c r="AT258" i="81"/>
  <c r="AT254" i="81"/>
  <c r="AU254" i="81" s="1"/>
  <c r="AT250" i="81"/>
  <c r="AU250" i="81" s="1"/>
  <c r="AT246" i="81"/>
  <c r="AT242" i="81"/>
  <c r="AT238" i="81"/>
  <c r="AU238" i="81" s="1"/>
  <c r="AT234" i="81"/>
  <c r="AU234" i="81" s="1"/>
  <c r="AT230" i="81"/>
  <c r="AT226" i="81"/>
  <c r="AT222" i="81"/>
  <c r="AT218" i="81"/>
  <c r="AT214" i="81"/>
  <c r="AT210" i="81"/>
  <c r="AT206" i="81"/>
  <c r="AU206" i="81" s="1"/>
  <c r="AT202" i="81"/>
  <c r="AT198" i="81"/>
  <c r="AT194" i="81"/>
  <c r="AT190" i="81"/>
  <c r="AT300" i="81"/>
  <c r="AU300" i="81" s="1"/>
  <c r="AT263" i="81"/>
  <c r="AT259" i="81"/>
  <c r="AT255" i="81"/>
  <c r="AU255" i="81" s="1"/>
  <c r="AT251" i="81"/>
  <c r="AT247" i="81"/>
  <c r="AT243" i="81"/>
  <c r="AT239" i="81"/>
  <c r="AU239" i="81" s="1"/>
  <c r="AT235" i="81"/>
  <c r="AT223" i="81"/>
  <c r="AU223" i="81" s="1"/>
  <c r="AT207" i="81"/>
  <c r="AU207" i="81" s="1"/>
  <c r="AT203" i="81"/>
  <c r="AT199" i="81"/>
  <c r="AT195" i="81"/>
  <c r="AT191" i="81"/>
  <c r="AU191" i="81" s="1"/>
  <c r="AT187" i="81"/>
  <c r="AU187" i="81" s="1"/>
  <c r="AT264" i="81"/>
  <c r="AT260" i="81"/>
  <c r="AT256" i="81"/>
  <c r="AU256" i="81" s="1"/>
  <c r="AT252" i="81"/>
  <c r="AT248" i="81"/>
  <c r="AT244" i="81"/>
  <c r="AT240" i="81"/>
  <c r="AU240" i="81" s="1"/>
  <c r="AT236" i="81"/>
  <c r="BP236" i="81" s="1"/>
  <c r="AT232" i="81"/>
  <c r="AT228" i="81"/>
  <c r="AT224" i="81"/>
  <c r="AU224" i="81" s="1"/>
  <c r="AT220" i="81"/>
  <c r="AT216" i="81"/>
  <c r="AT212" i="81"/>
  <c r="AT208" i="81"/>
  <c r="BP208" i="81" s="1"/>
  <c r="AT204" i="81"/>
  <c r="BP204" i="81" s="1"/>
  <c r="AT200" i="81"/>
  <c r="AT265" i="81"/>
  <c r="AU265" i="81" s="1"/>
  <c r="AT261" i="81"/>
  <c r="AU261" i="81" s="1"/>
  <c r="AT257" i="81"/>
  <c r="AU257" i="81" s="1"/>
  <c r="AT253" i="81"/>
  <c r="AT249" i="81"/>
  <c r="AU249" i="81" s="1"/>
  <c r="AT245" i="81"/>
  <c r="AU245" i="81" s="1"/>
  <c r="AT241" i="81"/>
  <c r="AU241" i="81" s="1"/>
  <c r="AT237" i="81"/>
  <c r="AT233" i="81"/>
  <c r="AU233" i="81" s="1"/>
  <c r="AT221" i="81"/>
  <c r="AT205" i="81"/>
  <c r="BP205" i="81" s="1"/>
  <c r="AT196" i="81"/>
  <c r="AT192" i="81"/>
  <c r="AU192" i="81" s="1"/>
  <c r="AT181" i="81"/>
  <c r="AT177" i="81"/>
  <c r="AT173" i="81"/>
  <c r="AT169" i="81"/>
  <c r="AT165" i="81"/>
  <c r="AT160" i="81"/>
  <c r="AT156" i="81"/>
  <c r="AT152" i="81"/>
  <c r="AT148" i="81"/>
  <c r="AT182" i="81"/>
  <c r="AU182" i="81" s="1"/>
  <c r="AT178" i="81"/>
  <c r="AT174" i="81"/>
  <c r="AT170" i="81"/>
  <c r="BP170" i="81" s="1"/>
  <c r="AT166" i="81"/>
  <c r="AU166" i="81" s="1"/>
  <c r="AT161" i="81"/>
  <c r="AT157" i="81"/>
  <c r="AT153" i="81"/>
  <c r="BP153" i="81" s="1"/>
  <c r="AT149" i="81"/>
  <c r="AU149" i="81" s="1"/>
  <c r="AT145" i="81"/>
  <c r="AT141" i="81"/>
  <c r="AT133" i="81"/>
  <c r="BP133" i="81" s="1"/>
  <c r="AT129" i="81"/>
  <c r="AU129" i="81" s="1"/>
  <c r="AT125" i="81"/>
  <c r="AT121" i="81"/>
  <c r="AU121" i="81" s="1"/>
  <c r="AT117" i="81"/>
  <c r="BS117" i="81" s="1"/>
  <c r="AT113" i="81"/>
  <c r="AT109" i="81"/>
  <c r="AT229" i="81"/>
  <c r="AU229" i="81" s="1"/>
  <c r="AT183" i="81"/>
  <c r="AT179" i="81"/>
  <c r="AT175" i="81"/>
  <c r="AT171" i="81"/>
  <c r="AT167" i="81"/>
  <c r="BP167" i="81" s="1"/>
  <c r="AT162" i="81"/>
  <c r="AT158" i="81"/>
  <c r="AT154" i="81"/>
  <c r="AT150" i="81"/>
  <c r="AT146" i="81"/>
  <c r="AT142" i="81"/>
  <c r="AT126" i="81"/>
  <c r="AT118" i="81"/>
  <c r="AT114" i="81"/>
  <c r="AT225" i="81"/>
  <c r="AT209" i="81"/>
  <c r="AU209" i="81" s="1"/>
  <c r="AT189" i="81"/>
  <c r="AT186" i="81"/>
  <c r="BP186" i="81" s="1"/>
  <c r="AT185" i="81"/>
  <c r="AT184" i="81"/>
  <c r="AT180" i="81"/>
  <c r="AT176" i="81"/>
  <c r="AT172" i="81"/>
  <c r="AT168" i="81"/>
  <c r="AT164" i="81"/>
  <c r="AT163" i="81"/>
  <c r="AT159" i="81"/>
  <c r="AT155" i="81"/>
  <c r="AT151" i="81"/>
  <c r="AT147" i="81"/>
  <c r="AT143" i="81"/>
  <c r="AT139" i="81"/>
  <c r="AT135" i="81"/>
  <c r="BP135" i="81" s="1"/>
  <c r="AT131" i="81"/>
  <c r="AT127" i="81"/>
  <c r="AT123" i="81"/>
  <c r="AT119" i="81"/>
  <c r="AT115" i="81"/>
  <c r="AT111" i="81"/>
  <c r="AT107" i="81"/>
  <c r="AU107" i="81" s="1"/>
  <c r="AT103" i="81"/>
  <c r="AT99" i="81"/>
  <c r="BP99" i="81" s="1"/>
  <c r="AT95" i="81"/>
  <c r="AT91" i="81"/>
  <c r="AT87" i="81"/>
  <c r="AT83" i="81"/>
  <c r="AU83" i="81" s="1"/>
  <c r="AT79" i="81"/>
  <c r="AT71" i="81"/>
  <c r="AT67" i="81"/>
  <c r="AU67" i="81" s="1"/>
  <c r="AT63" i="81"/>
  <c r="AT59" i="81"/>
  <c r="AT55" i="81"/>
  <c r="AT51" i="81"/>
  <c r="AU51" i="81" s="1"/>
  <c r="AT47" i="81"/>
  <c r="AT43" i="81"/>
  <c r="AT38" i="81"/>
  <c r="AT34" i="81"/>
  <c r="AT30" i="81"/>
  <c r="BH30" i="81" s="1"/>
  <c r="AT26" i="81"/>
  <c r="BH26" i="81" s="1"/>
  <c r="AT128" i="81"/>
  <c r="AT116" i="81"/>
  <c r="AU116" i="81" s="1"/>
  <c r="AT104" i="81"/>
  <c r="AU104" i="81" s="1"/>
  <c r="AT100" i="81"/>
  <c r="AT96" i="81"/>
  <c r="AT92" i="81"/>
  <c r="AU92" i="81" s="1"/>
  <c r="AT88" i="81"/>
  <c r="AU88" i="81" s="1"/>
  <c r="AT84" i="81"/>
  <c r="AT80" i="81"/>
  <c r="AT105" i="81"/>
  <c r="AU105" i="81" s="1"/>
  <c r="AT101" i="81"/>
  <c r="AT97" i="81"/>
  <c r="AU97" i="81" s="1"/>
  <c r="AT93" i="81"/>
  <c r="AU93" i="81" s="1"/>
  <c r="AT89" i="81"/>
  <c r="AU89" i="81" s="1"/>
  <c r="AT85" i="81"/>
  <c r="AT81" i="81"/>
  <c r="AU81" i="81" s="1"/>
  <c r="AT77" i="81"/>
  <c r="AU77" i="81" s="1"/>
  <c r="AT73" i="81"/>
  <c r="AT69" i="81"/>
  <c r="AT65" i="81"/>
  <c r="AT61" i="81"/>
  <c r="BP61" i="81" s="1"/>
  <c r="AT57" i="81"/>
  <c r="AT53" i="81"/>
  <c r="AT49" i="81"/>
  <c r="AU49" i="81" s="1"/>
  <c r="AT45" i="81"/>
  <c r="AU45" i="81" s="1"/>
  <c r="AT41" i="81"/>
  <c r="AU41" i="81" s="1"/>
  <c r="AT23" i="81"/>
  <c r="AT120" i="81"/>
  <c r="AT102" i="81"/>
  <c r="AU102" i="81" s="1"/>
  <c r="AT98" i="81"/>
  <c r="AU98" i="81" s="1"/>
  <c r="AT94" i="81"/>
  <c r="AT90" i="81"/>
  <c r="AT86" i="81"/>
  <c r="AU86" i="81" s="1"/>
  <c r="AT82" i="81"/>
  <c r="AU82" i="81" s="1"/>
  <c r="AT78" i="81"/>
  <c r="AT74" i="81"/>
  <c r="AT70" i="81"/>
  <c r="AU70" i="81" s="1"/>
  <c r="AT66" i="81"/>
  <c r="AU66" i="81" s="1"/>
  <c r="AT62" i="81"/>
  <c r="AT58" i="81"/>
  <c r="AT54" i="81"/>
  <c r="AU54" i="81" s="1"/>
  <c r="AT50" i="81"/>
  <c r="AU50" i="81" s="1"/>
  <c r="AU4" i="81"/>
  <c r="AV4" i="81" s="1"/>
  <c r="AU6" i="81"/>
  <c r="AV6" i="81" s="1"/>
  <c r="AT8" i="81"/>
  <c r="AU9" i="81"/>
  <c r="AV10" i="81"/>
  <c r="AS11" i="81"/>
  <c r="AT12" i="81"/>
  <c r="AU12" i="81" s="1"/>
  <c r="AV12" i="81" s="1"/>
  <c r="BP12" i="81"/>
  <c r="AT13" i="81"/>
  <c r="AU13" i="81" s="1"/>
  <c r="AV13" i="81" s="1"/>
  <c r="AT14" i="81"/>
  <c r="AU14" i="81" s="1"/>
  <c r="AU15" i="81"/>
  <c r="AV15" i="81" s="1"/>
  <c r="AV16" i="81"/>
  <c r="AV17" i="81"/>
  <c r="AS18" i="81"/>
  <c r="AT19" i="81"/>
  <c r="AT22" i="81"/>
  <c r="AU23" i="81"/>
  <c r="BP23" i="81"/>
  <c r="AR24" i="81"/>
  <c r="AS28" i="81"/>
  <c r="X29" i="81"/>
  <c r="AP29" i="81" s="1"/>
  <c r="AQ29" i="81" s="1"/>
  <c r="AS29" i="81" s="1"/>
  <c r="AS32" i="81"/>
  <c r="X33" i="81"/>
  <c r="AP33" i="81" s="1"/>
  <c r="AQ33" i="81" s="1"/>
  <c r="AS33" i="81" s="1"/>
  <c r="AS36" i="81"/>
  <c r="AT36" i="81" s="1"/>
  <c r="X37" i="81"/>
  <c r="AP37" i="81" s="1"/>
  <c r="AQ37" i="81" s="1"/>
  <c r="AS37" i="81" s="1"/>
  <c r="BR38" i="81"/>
  <c r="AT39" i="81"/>
  <c r="AU39" i="81" s="1"/>
  <c r="AV39" i="81" s="1"/>
  <c r="BG50" i="81"/>
  <c r="BG51" i="81"/>
  <c r="X52" i="81"/>
  <c r="AP52" i="81" s="1"/>
  <c r="AQ52" i="81" s="1"/>
  <c r="AS52" i="81" s="1"/>
  <c r="BX53" i="81"/>
  <c r="BG54" i="81"/>
  <c r="BG55" i="81"/>
  <c r="X56" i="81"/>
  <c r="AP56" i="81" s="1"/>
  <c r="AQ56" i="81" s="1"/>
  <c r="AS56" i="81" s="1"/>
  <c r="BX57" i="81"/>
  <c r="BG58" i="81"/>
  <c r="BG59" i="81"/>
  <c r="X60" i="81"/>
  <c r="AP60" i="81" s="1"/>
  <c r="AQ60" i="81" s="1"/>
  <c r="AS60" i="81" s="1"/>
  <c r="BX61" i="81"/>
  <c r="BG62" i="81"/>
  <c r="BG63" i="81"/>
  <c r="X64" i="81"/>
  <c r="AP64" i="81" s="1"/>
  <c r="AQ64" i="81" s="1"/>
  <c r="AS64" i="81" s="1"/>
  <c r="BX65" i="81"/>
  <c r="AU65" i="81"/>
  <c r="AV65" i="81" s="1"/>
  <c r="BG66" i="81"/>
  <c r="BG67" i="81"/>
  <c r="X68" i="81"/>
  <c r="AP68" i="81" s="1"/>
  <c r="AQ68" i="81" s="1"/>
  <c r="AS68" i="81" s="1"/>
  <c r="BX69" i="81"/>
  <c r="BG70" i="81"/>
  <c r="BG71" i="81"/>
  <c r="X72" i="81"/>
  <c r="AP72" i="81" s="1"/>
  <c r="AQ72" i="81" s="1"/>
  <c r="AS72" i="81" s="1"/>
  <c r="BX73" i="81"/>
  <c r="BG74" i="81"/>
  <c r="X76" i="81"/>
  <c r="AP76" i="81" s="1"/>
  <c r="AQ76" i="81" s="1"/>
  <c r="AS76" i="81" s="1"/>
  <c r="BU77" i="81"/>
  <c r="BG82" i="81"/>
  <c r="BU83" i="81"/>
  <c r="BE85" i="81"/>
  <c r="BG85" i="81"/>
  <c r="BE87" i="81"/>
  <c r="BG87" i="81" s="1"/>
  <c r="BU89" i="81"/>
  <c r="BG94" i="81"/>
  <c r="BP94" i="81"/>
  <c r="BU95" i="81"/>
  <c r="BG96" i="81"/>
  <c r="BG98" i="81"/>
  <c r="BU99" i="81"/>
  <c r="BE101" i="81"/>
  <c r="BG101" i="81" s="1"/>
  <c r="BG103" i="81"/>
  <c r="BE103" i="81"/>
  <c r="BE133" i="81"/>
  <c r="BG133" i="81" s="1"/>
  <c r="BE145" i="81"/>
  <c r="BG145" i="81" s="1"/>
  <c r="BR78" i="81"/>
  <c r="BU80" i="81"/>
  <c r="BR82" i="81"/>
  <c r="BU84" i="81"/>
  <c r="BR86" i="81"/>
  <c r="BU88" i="81"/>
  <c r="BR90" i="81"/>
  <c r="BU92" i="81"/>
  <c r="BR94" i="81"/>
  <c r="BU96" i="81"/>
  <c r="BR98" i="81"/>
  <c r="BU100" i="81"/>
  <c r="BR102" i="81"/>
  <c r="BU104" i="81"/>
  <c r="BG114" i="81"/>
  <c r="BG115" i="81"/>
  <c r="BE117" i="81"/>
  <c r="BG117" i="81" s="1"/>
  <c r="BU119" i="81"/>
  <c r="BU120" i="81"/>
  <c r="BG126" i="81"/>
  <c r="BG127" i="81"/>
  <c r="BE129" i="81"/>
  <c r="BG129" i="81" s="1"/>
  <c r="BR130" i="81"/>
  <c r="BX133" i="81"/>
  <c r="BR134" i="81"/>
  <c r="BX137" i="81"/>
  <c r="BR138" i="81"/>
  <c r="BR141" i="81"/>
  <c r="BR142" i="81"/>
  <c r="BR145" i="81"/>
  <c r="BG148" i="81"/>
  <c r="BP148" i="81"/>
  <c r="BU149" i="81"/>
  <c r="BU151" i="81"/>
  <c r="BG156" i="81"/>
  <c r="BP156" i="81"/>
  <c r="BU157" i="81"/>
  <c r="BU159" i="81"/>
  <c r="BX165" i="81"/>
  <c r="BG166" i="81"/>
  <c r="BE166" i="81"/>
  <c r="BE168" i="81"/>
  <c r="BG168" i="81" s="1"/>
  <c r="BG171" i="81"/>
  <c r="BU171" i="81"/>
  <c r="BX173" i="81"/>
  <c r="BE174" i="81"/>
  <c r="BG174" i="81" s="1"/>
  <c r="BE176" i="81"/>
  <c r="BG176" i="81" s="1"/>
  <c r="BE193" i="81"/>
  <c r="BE197" i="81"/>
  <c r="AR106" i="81"/>
  <c r="BU106" i="81"/>
  <c r="X108" i="81"/>
  <c r="AP108" i="81" s="1"/>
  <c r="AQ108" i="81" s="1"/>
  <c r="AS108" i="81" s="1"/>
  <c r="BP108" i="81"/>
  <c r="BU111" i="81"/>
  <c r="BU112" i="81"/>
  <c r="BG116" i="81"/>
  <c r="BP116" i="81"/>
  <c r="BX117" i="81"/>
  <c r="BR118" i="81"/>
  <c r="BP118" i="81"/>
  <c r="BU123" i="81"/>
  <c r="BU124" i="81"/>
  <c r="BG128" i="81"/>
  <c r="BP128" i="81"/>
  <c r="AR130" i="81"/>
  <c r="AS130" i="81" s="1"/>
  <c r="X132" i="81"/>
  <c r="AP132" i="81" s="1"/>
  <c r="AQ132" i="81" s="1"/>
  <c r="AS132" i="81" s="1"/>
  <c r="AR134" i="81"/>
  <c r="X136" i="81"/>
  <c r="AP136" i="81" s="1"/>
  <c r="AQ136" i="81" s="1"/>
  <c r="AS136" i="81" s="1"/>
  <c r="X140" i="81"/>
  <c r="AP140" i="81" s="1"/>
  <c r="AQ140" i="81" s="1"/>
  <c r="AS140" i="81" s="1"/>
  <c r="BG142" i="81"/>
  <c r="X144" i="81"/>
  <c r="AP144" i="81" s="1"/>
  <c r="AQ144" i="81" s="1"/>
  <c r="AS144" i="81" s="1"/>
  <c r="BG146" i="81"/>
  <c r="BU146" i="81"/>
  <c r="BX148" i="81"/>
  <c r="BE149" i="81"/>
  <c r="BG149" i="81" s="1"/>
  <c r="BE151" i="81"/>
  <c r="BG151" i="81" s="1"/>
  <c r="BG154" i="81"/>
  <c r="BU154" i="81"/>
  <c r="BX156" i="81"/>
  <c r="BE157" i="81"/>
  <c r="BG157" i="81" s="1"/>
  <c r="BE159" i="81"/>
  <c r="BG159" i="81" s="1"/>
  <c r="BG162" i="81"/>
  <c r="BU162" i="81"/>
  <c r="BG169" i="81"/>
  <c r="BU170" i="81"/>
  <c r="BU172" i="81"/>
  <c r="BG179" i="81"/>
  <c r="BU179" i="81"/>
  <c r="BS179" i="81"/>
  <c r="BG181" i="81"/>
  <c r="BU182" i="81"/>
  <c r="BG183" i="81"/>
  <c r="BU183" i="81"/>
  <c r="BX188" i="81"/>
  <c r="BE189" i="81"/>
  <c r="BG189" i="81" s="1"/>
  <c r="BR110" i="81"/>
  <c r="BU115" i="81"/>
  <c r="BU116" i="81"/>
  <c r="BG118" i="81"/>
  <c r="BX121" i="81"/>
  <c r="BE121" i="81"/>
  <c r="BG121" i="81" s="1"/>
  <c r="BR122" i="81"/>
  <c r="BX125" i="81"/>
  <c r="BU127" i="81"/>
  <c r="BU128" i="81"/>
  <c r="BU147" i="81"/>
  <c r="BG152" i="81"/>
  <c r="BU153" i="81"/>
  <c r="BU155" i="81"/>
  <c r="BG160" i="81"/>
  <c r="BU161" i="81"/>
  <c r="BU163" i="81"/>
  <c r="BU164" i="81"/>
  <c r="BG167" i="81"/>
  <c r="BU167" i="81"/>
  <c r="BX169" i="81"/>
  <c r="BE170" i="81"/>
  <c r="BG170" i="81" s="1"/>
  <c r="BE172" i="81"/>
  <c r="BG172" i="81" s="1"/>
  <c r="BG175" i="81"/>
  <c r="BU175" i="81"/>
  <c r="BG177" i="81"/>
  <c r="BP177" i="81"/>
  <c r="BU178" i="81"/>
  <c r="BU180" i="81"/>
  <c r="BS180" i="81"/>
  <c r="BX181" i="81"/>
  <c r="BE182" i="81"/>
  <c r="BG182" i="81" s="1"/>
  <c r="BX184" i="81"/>
  <c r="BE185" i="81"/>
  <c r="BG185" i="81" s="1"/>
  <c r="BU186" i="81"/>
  <c r="BU189" i="81"/>
  <c r="BU108" i="81"/>
  <c r="BR109" i="81"/>
  <c r="X110" i="81"/>
  <c r="AP110" i="81" s="1"/>
  <c r="AQ110" i="81" s="1"/>
  <c r="AR110" i="81"/>
  <c r="BG111" i="81"/>
  <c r="X112" i="81"/>
  <c r="AP112" i="81" s="1"/>
  <c r="AQ112" i="81" s="1"/>
  <c r="AS112" i="81" s="1"/>
  <c r="BX113" i="81"/>
  <c r="BR114" i="81"/>
  <c r="BP114" i="81"/>
  <c r="BG120" i="81"/>
  <c r="BS121" i="81"/>
  <c r="AR122" i="81"/>
  <c r="AS122" i="81" s="1"/>
  <c r="BG123" i="81"/>
  <c r="X124" i="81"/>
  <c r="AP124" i="81" s="1"/>
  <c r="AQ124" i="81" s="1"/>
  <c r="AS124" i="81" s="1"/>
  <c r="BR126" i="81"/>
  <c r="BP126" i="81"/>
  <c r="BR129" i="81"/>
  <c r="BU131" i="81"/>
  <c r="BU132" i="81"/>
  <c r="BU135" i="81"/>
  <c r="BU136" i="81"/>
  <c r="X137" i="81"/>
  <c r="AP137" i="81" s="1"/>
  <c r="AQ137" i="81" s="1"/>
  <c r="AS137" i="81" s="1"/>
  <c r="BU139" i="81"/>
  <c r="BU140" i="81"/>
  <c r="BU143" i="81"/>
  <c r="BU144" i="81"/>
  <c r="BE147" i="81"/>
  <c r="BG147" i="81" s="1"/>
  <c r="BG150" i="81"/>
  <c r="BU150" i="81"/>
  <c r="BX152" i="81"/>
  <c r="BE153" i="81"/>
  <c r="BG153" i="81" s="1"/>
  <c r="BE155" i="81"/>
  <c r="BG155" i="81" s="1"/>
  <c r="BG158" i="81"/>
  <c r="BU158" i="81"/>
  <c r="BX160" i="81"/>
  <c r="BE161" i="81"/>
  <c r="BG161" i="81" s="1"/>
  <c r="BE163" i="81"/>
  <c r="BG163" i="81" s="1"/>
  <c r="BG164" i="81"/>
  <c r="BG165" i="81"/>
  <c r="BP165" i="81"/>
  <c r="BU166" i="81"/>
  <c r="BU168" i="81"/>
  <c r="BG173" i="81"/>
  <c r="BU174" i="81"/>
  <c r="BU176" i="81"/>
  <c r="BX177" i="81"/>
  <c r="BE178" i="81"/>
  <c r="BG178" i="81" s="1"/>
  <c r="BE180" i="81"/>
  <c r="BG180" i="81" s="1"/>
  <c r="BE184" i="81"/>
  <c r="BG184" i="81" s="1"/>
  <c r="BU185" i="81"/>
  <c r="BP195" i="81"/>
  <c r="BG195" i="81"/>
  <c r="BG199" i="81"/>
  <c r="BP150" i="81"/>
  <c r="BP154" i="81"/>
  <c r="BP158" i="81"/>
  <c r="BP162" i="81"/>
  <c r="Z164" i="81"/>
  <c r="BS169" i="81"/>
  <c r="BP171" i="81"/>
  <c r="BP179" i="81"/>
  <c r="BP183" i="81"/>
  <c r="BB187" i="81"/>
  <c r="BD187" i="81" s="1"/>
  <c r="BE187" i="81" s="1"/>
  <c r="BB190" i="81"/>
  <c r="BD190" i="81" s="1"/>
  <c r="BE190" i="81" s="1"/>
  <c r="BU192" i="81"/>
  <c r="BG194" i="81"/>
  <c r="BU196" i="81"/>
  <c r="BG198" i="81"/>
  <c r="X201" i="81"/>
  <c r="AP201" i="81" s="1"/>
  <c r="AQ201" i="81" s="1"/>
  <c r="AS201" i="81" s="1"/>
  <c r="BE201" i="81"/>
  <c r="BG203" i="81"/>
  <c r="CA204" i="81"/>
  <c r="BR206" i="81"/>
  <c r="BR207" i="81"/>
  <c r="BP207" i="81"/>
  <c r="BU209" i="81"/>
  <c r="X217" i="81"/>
  <c r="AP217" i="81" s="1"/>
  <c r="AQ217" i="81" s="1"/>
  <c r="AS217" i="81" s="1"/>
  <c r="BE217" i="81"/>
  <c r="AR219" i="81"/>
  <c r="AS219" i="81" s="1"/>
  <c r="BG220" i="81"/>
  <c r="CA220" i="81"/>
  <c r="BR222" i="81"/>
  <c r="BR223" i="81"/>
  <c r="BP223" i="81"/>
  <c r="BU225" i="81"/>
  <c r="BB226" i="81"/>
  <c r="BD226" i="81" s="1"/>
  <c r="BE226" i="81" s="1"/>
  <c r="BG235" i="81"/>
  <c r="BX236" i="81"/>
  <c r="BG237" i="81"/>
  <c r="BE237" i="81"/>
  <c r="BX237" i="81"/>
  <c r="BE240" i="81"/>
  <c r="BG240" i="81" s="1"/>
  <c r="BG247" i="81"/>
  <c r="BU247" i="81"/>
  <c r="BG251" i="81"/>
  <c r="BU251" i="81"/>
  <c r="BG271" i="81"/>
  <c r="BE289" i="81"/>
  <c r="BG289" i="81" s="1"/>
  <c r="BE293" i="81"/>
  <c r="BG293" i="81" s="1"/>
  <c r="BB186" i="81"/>
  <c r="BD186" i="81" s="1"/>
  <c r="BE186" i="81" s="1"/>
  <c r="BR187" i="81"/>
  <c r="AR188" i="81"/>
  <c r="BB191" i="81"/>
  <c r="BD191" i="81" s="1"/>
  <c r="BE191" i="81" s="1"/>
  <c r="BE205" i="81"/>
  <c r="BG205" i="81" s="1"/>
  <c r="BG207" i="81"/>
  <c r="CA208" i="81"/>
  <c r="BG210" i="81"/>
  <c r="BX210" i="81"/>
  <c r="BR211" i="81"/>
  <c r="BU213" i="81"/>
  <c r="BE221" i="81"/>
  <c r="BG221" i="81" s="1"/>
  <c r="BG223" i="81"/>
  <c r="CA224" i="81"/>
  <c r="BX226" i="81"/>
  <c r="BR227" i="81"/>
  <c r="BU229" i="81"/>
  <c r="BX232" i="81"/>
  <c r="BE233" i="81"/>
  <c r="BG233" i="81" s="1"/>
  <c r="BG234" i="81"/>
  <c r="BU234" i="81"/>
  <c r="BE236" i="81"/>
  <c r="BG236" i="81" s="1"/>
  <c r="BG243" i="81"/>
  <c r="BU243" i="81"/>
  <c r="BG246" i="81"/>
  <c r="BU246" i="81"/>
  <c r="BG250" i="81"/>
  <c r="BU250" i="81"/>
  <c r="BG255" i="81"/>
  <c r="BU255" i="81"/>
  <c r="BG259" i="81"/>
  <c r="BU259" i="81"/>
  <c r="BG263" i="81"/>
  <c r="BU263" i="81"/>
  <c r="BU273" i="81"/>
  <c r="BG279" i="81"/>
  <c r="BP187" i="81"/>
  <c r="BG192" i="81"/>
  <c r="X193" i="81"/>
  <c r="AP193" i="81" s="1"/>
  <c r="AQ193" i="81" s="1"/>
  <c r="AS193" i="81" s="1"/>
  <c r="BG196" i="81"/>
  <c r="X197" i="81"/>
  <c r="AP197" i="81" s="1"/>
  <c r="AQ197" i="81" s="1"/>
  <c r="AS197" i="81" s="1"/>
  <c r="BU201" i="81"/>
  <c r="BB202" i="81"/>
  <c r="BD202" i="81" s="1"/>
  <c r="BE202" i="81" s="1"/>
  <c r="BE209" i="81"/>
  <c r="BG209" i="81" s="1"/>
  <c r="AR211" i="81"/>
  <c r="BG212" i="81"/>
  <c r="CA212" i="81"/>
  <c r="BG214" i="81"/>
  <c r="BX214" i="81"/>
  <c r="BR215" i="81"/>
  <c r="BU217" i="81"/>
  <c r="BB218" i="81"/>
  <c r="BD218" i="81" s="1"/>
  <c r="BE218" i="81" s="1"/>
  <c r="BE225" i="81"/>
  <c r="BG225" i="81" s="1"/>
  <c r="AR227" i="81"/>
  <c r="AS227" i="81" s="1"/>
  <c r="BG228" i="81"/>
  <c r="CA228" i="81"/>
  <c r="BG230" i="81"/>
  <c r="BX230" i="81"/>
  <c r="BR231" i="81"/>
  <c r="BE232" i="81"/>
  <c r="BG232" i="81" s="1"/>
  <c r="BX233" i="81"/>
  <c r="BG239" i="81"/>
  <c r="BU239" i="81"/>
  <c r="BG242" i="81"/>
  <c r="BU242" i="81"/>
  <c r="BX244" i="81"/>
  <c r="BE245" i="81"/>
  <c r="BG245" i="81" s="1"/>
  <c r="BX245" i="81"/>
  <c r="BE248" i="81"/>
  <c r="BG248" i="81"/>
  <c r="BX248" i="81"/>
  <c r="BE249" i="81"/>
  <c r="BG249" i="81" s="1"/>
  <c r="BX249" i="81"/>
  <c r="BE252" i="81"/>
  <c r="BG252" i="81" s="1"/>
  <c r="BX252" i="81"/>
  <c r="BV252" i="81"/>
  <c r="BE253" i="81"/>
  <c r="BG253" i="81" s="1"/>
  <c r="BG254" i="81"/>
  <c r="BU254" i="81"/>
  <c r="BG258" i="81"/>
  <c r="BU258" i="81"/>
  <c r="BX260" i="81"/>
  <c r="BG261" i="81"/>
  <c r="BE261" i="81"/>
  <c r="BG262" i="81"/>
  <c r="BU262" i="81"/>
  <c r="BG266" i="81"/>
  <c r="BE277" i="81"/>
  <c r="BE281" i="81"/>
  <c r="BG281" i="81" s="1"/>
  <c r="BE297" i="81"/>
  <c r="BG297" i="81" s="1"/>
  <c r="BR190" i="81"/>
  <c r="BP190" i="81"/>
  <c r="CA191" i="81"/>
  <c r="BX193" i="81"/>
  <c r="BR194" i="81"/>
  <c r="BP194" i="81"/>
  <c r="CA195" i="81"/>
  <c r="BX197" i="81"/>
  <c r="BR198" i="81"/>
  <c r="BP198" i="81"/>
  <c r="CA199" i="81"/>
  <c r="BG200" i="81"/>
  <c r="CA200" i="81"/>
  <c r="BR202" i="81"/>
  <c r="BR203" i="81"/>
  <c r="BP203" i="81"/>
  <c r="BU205" i="81"/>
  <c r="BB206" i="81"/>
  <c r="BD206" i="81" s="1"/>
  <c r="BE206" i="81" s="1"/>
  <c r="X213" i="81"/>
  <c r="AP213" i="81" s="1"/>
  <c r="AQ213" i="81" s="1"/>
  <c r="AS213" i="81" s="1"/>
  <c r="BE213" i="81"/>
  <c r="AR215" i="81"/>
  <c r="BG216" i="81"/>
  <c r="CA216" i="81"/>
  <c r="BR218" i="81"/>
  <c r="BR219" i="81"/>
  <c r="BP219" i="81"/>
  <c r="BU221" i="81"/>
  <c r="BB222" i="81"/>
  <c r="BD222" i="81" s="1"/>
  <c r="BE222" i="81" s="1"/>
  <c r="BE229" i="81"/>
  <c r="BG229" i="81" s="1"/>
  <c r="AR231" i="81"/>
  <c r="BS235" i="81"/>
  <c r="BU235" i="81"/>
  <c r="BG238" i="81"/>
  <c r="BU238" i="81"/>
  <c r="BX240" i="81"/>
  <c r="BE241" i="81"/>
  <c r="BG241" i="81" s="1"/>
  <c r="BX241" i="81"/>
  <c r="BE244" i="81"/>
  <c r="BG244" i="81" s="1"/>
  <c r="BX253" i="81"/>
  <c r="BE256" i="81"/>
  <c r="BG256" i="81" s="1"/>
  <c r="BX256" i="81"/>
  <c r="BE257" i="81"/>
  <c r="BG257" i="81" s="1"/>
  <c r="BX257" i="81"/>
  <c r="BE260" i="81"/>
  <c r="BG260" i="81" s="1"/>
  <c r="BX261" i="81"/>
  <c r="BE264" i="81"/>
  <c r="BG264" i="81" s="1"/>
  <c r="BX264" i="81"/>
  <c r="BV264" i="81"/>
  <c r="BE265" i="81"/>
  <c r="BG265" i="81" s="1"/>
  <c r="BX265" i="81"/>
  <c r="BU269" i="81"/>
  <c r="BE285" i="81"/>
  <c r="BG285" i="81" s="1"/>
  <c r="BR266" i="81"/>
  <c r="BU268" i="81"/>
  <c r="BG270" i="81"/>
  <c r="BU272" i="81"/>
  <c r="BU276" i="81"/>
  <c r="BG278" i="81"/>
  <c r="BX281" i="81"/>
  <c r="BR282" i="81"/>
  <c r="BP282" i="81"/>
  <c r="BX289" i="81"/>
  <c r="BR290" i="81"/>
  <c r="BP290" i="81"/>
  <c r="BU292" i="81"/>
  <c r="BU295" i="81"/>
  <c r="BE296" i="81"/>
  <c r="BG298" i="81"/>
  <c r="BR302" i="81"/>
  <c r="BP302" i="81"/>
  <c r="BE304" i="81"/>
  <c r="BG304" i="81" s="1"/>
  <c r="BU305" i="81"/>
  <c r="BG310" i="81"/>
  <c r="BU310" i="81"/>
  <c r="BU311" i="81"/>
  <c r="BG318" i="81"/>
  <c r="BU318" i="81"/>
  <c r="BU319" i="81"/>
  <c r="BG322" i="81"/>
  <c r="BU322" i="81"/>
  <c r="BS322" i="81"/>
  <c r="BU323" i="81"/>
  <c r="BX328" i="81"/>
  <c r="BE329" i="81"/>
  <c r="BG329" i="81" s="1"/>
  <c r="BE331" i="81"/>
  <c r="BG331" i="81" s="1"/>
  <c r="BE332" i="81"/>
  <c r="BG332" i="81" s="1"/>
  <c r="BU333" i="81"/>
  <c r="BG336" i="81"/>
  <c r="BE336" i="81"/>
  <c r="BU337" i="81"/>
  <c r="BG342" i="81"/>
  <c r="BU342" i="81"/>
  <c r="BU343" i="81"/>
  <c r="BX344" i="81"/>
  <c r="BE345" i="81"/>
  <c r="BG345" i="81" s="1"/>
  <c r="BG349" i="81"/>
  <c r="BP349" i="81"/>
  <c r="BX352" i="81"/>
  <c r="BE355" i="81"/>
  <c r="BG355" i="81" s="1"/>
  <c r="BX356" i="81"/>
  <c r="BE357" i="81"/>
  <c r="BG357" i="81" s="1"/>
  <c r="BG359" i="81"/>
  <c r="BG360" i="81"/>
  <c r="BP239" i="81"/>
  <c r="BP243" i="81"/>
  <c r="BP247" i="81"/>
  <c r="BP251" i="81"/>
  <c r="BP255" i="81"/>
  <c r="BP259" i="81"/>
  <c r="BP263" i="81"/>
  <c r="BP266" i="81"/>
  <c r="BB267" i="81"/>
  <c r="BD267" i="81" s="1"/>
  <c r="BE267" i="81" s="1"/>
  <c r="BB269" i="81"/>
  <c r="BD269" i="81" s="1"/>
  <c r="BE269" i="81" s="1"/>
  <c r="BB271" i="81"/>
  <c r="BD271" i="81" s="1"/>
  <c r="BE271" i="81" s="1"/>
  <c r="BB273" i="81"/>
  <c r="BD273" i="81" s="1"/>
  <c r="BE273" i="81" s="1"/>
  <c r="BB275" i="81"/>
  <c r="BD275" i="81" s="1"/>
  <c r="BE275" i="81" s="1"/>
  <c r="BG282" i="81"/>
  <c r="BU284" i="81"/>
  <c r="BS284" i="81"/>
  <c r="BU287" i="81"/>
  <c r="BE288" i="81"/>
  <c r="BG290" i="81"/>
  <c r="BR294" i="81"/>
  <c r="BP294" i="81"/>
  <c r="BU296" i="81"/>
  <c r="BX301" i="81"/>
  <c r="BE301" i="81"/>
  <c r="BG302" i="81"/>
  <c r="BG306" i="81"/>
  <c r="BU306" i="81"/>
  <c r="BU307" i="81"/>
  <c r="BX312" i="81"/>
  <c r="BE313" i="81"/>
  <c r="BG313" i="81" s="1"/>
  <c r="BE315" i="81"/>
  <c r="BG315" i="81" s="1"/>
  <c r="BX324" i="81"/>
  <c r="BG325" i="81"/>
  <c r="BE325" i="81"/>
  <c r="BE327" i="81"/>
  <c r="BG327" i="81" s="1"/>
  <c r="BE328" i="81"/>
  <c r="BG328" i="81" s="1"/>
  <c r="BU329" i="81"/>
  <c r="BG334" i="81"/>
  <c r="BU334" i="81"/>
  <c r="BU335" i="81"/>
  <c r="BG338" i="81"/>
  <c r="BU338" i="81"/>
  <c r="BU339" i="81"/>
  <c r="BG341" i="81"/>
  <c r="BP341" i="81"/>
  <c r="BU345" i="81"/>
  <c r="BE347" i="81"/>
  <c r="BG347" i="81" s="1"/>
  <c r="BX348" i="81"/>
  <c r="BE351" i="81"/>
  <c r="BG351" i="81" s="1"/>
  <c r="BE352" i="81"/>
  <c r="BG352" i="81" s="1"/>
  <c r="BU353" i="81"/>
  <c r="BE356" i="81"/>
  <c r="BG356" i="81" s="1"/>
  <c r="BU357" i="81"/>
  <c r="BU360" i="81"/>
  <c r="BP202" i="81"/>
  <c r="BP206" i="81"/>
  <c r="BP210" i="81"/>
  <c r="BP218" i="81"/>
  <c r="BP222" i="81"/>
  <c r="BP226" i="81"/>
  <c r="BP230" i="81"/>
  <c r="BP234" i="81"/>
  <c r="BP238" i="81"/>
  <c r="BP242" i="81"/>
  <c r="BP246" i="81"/>
  <c r="BP250" i="81"/>
  <c r="BS252" i="81"/>
  <c r="BP254" i="81"/>
  <c r="BP258" i="81"/>
  <c r="BS264" i="81"/>
  <c r="BG268" i="81"/>
  <c r="X269" i="81"/>
  <c r="AP269" i="81" s="1"/>
  <c r="AQ269" i="81" s="1"/>
  <c r="AS269" i="81" s="1"/>
  <c r="BG272" i="81"/>
  <c r="X273" i="81"/>
  <c r="AP273" i="81" s="1"/>
  <c r="AQ273" i="81" s="1"/>
  <c r="AS273" i="81" s="1"/>
  <c r="BG276" i="81"/>
  <c r="X277" i="81"/>
  <c r="AP277" i="81" s="1"/>
  <c r="AQ277" i="81" s="1"/>
  <c r="AS277" i="81" s="1"/>
  <c r="BG280" i="81"/>
  <c r="BU280" i="81"/>
  <c r="BR286" i="81"/>
  <c r="BP286" i="81"/>
  <c r="BU288" i="81"/>
  <c r="BX293" i="81"/>
  <c r="AR294" i="81"/>
  <c r="AS294" i="81" s="1"/>
  <c r="BG295" i="81"/>
  <c r="X296" i="81"/>
  <c r="AP296" i="81" s="1"/>
  <c r="AQ296" i="81" s="1"/>
  <c r="AS296" i="81" s="1"/>
  <c r="BU299" i="81"/>
  <c r="BE300" i="81"/>
  <c r="BG300" i="81" s="1"/>
  <c r="BX308" i="81"/>
  <c r="BE309" i="81"/>
  <c r="BG309" i="81" s="1"/>
  <c r="BG311" i="81"/>
  <c r="BE311" i="81"/>
  <c r="BE312" i="81"/>
  <c r="BG312" i="81" s="1"/>
  <c r="BU313" i="81"/>
  <c r="BE316" i="81"/>
  <c r="BG316" i="81" s="1"/>
  <c r="BX316" i="81"/>
  <c r="BE317" i="81"/>
  <c r="BG317" i="81" s="1"/>
  <c r="BE319" i="81"/>
  <c r="BG319" i="81" s="1"/>
  <c r="BX320" i="81"/>
  <c r="BE321" i="81"/>
  <c r="BG321" i="81" s="1"/>
  <c r="BE323" i="81"/>
  <c r="BG323" i="81" s="1"/>
  <c r="BE324" i="81"/>
  <c r="BG324" i="81" s="1"/>
  <c r="BU325" i="81"/>
  <c r="BG330" i="81"/>
  <c r="BU330" i="81"/>
  <c r="BU331" i="81"/>
  <c r="BX340" i="81"/>
  <c r="BE343" i="81"/>
  <c r="BG343" i="81" s="1"/>
  <c r="BE348" i="81"/>
  <c r="BG348" i="81" s="1"/>
  <c r="BU349" i="81"/>
  <c r="BG354" i="81"/>
  <c r="BU354" i="81"/>
  <c r="BU355" i="81"/>
  <c r="CA267" i="81"/>
  <c r="BR270" i="81"/>
  <c r="BP270" i="81"/>
  <c r="CA271" i="81"/>
  <c r="X274" i="81"/>
  <c r="AP274" i="81" s="1"/>
  <c r="AQ274" i="81" s="1"/>
  <c r="AS274" i="81" s="1"/>
  <c r="BR274" i="81"/>
  <c r="CA275" i="81"/>
  <c r="BX277" i="81"/>
  <c r="BR278" i="81"/>
  <c r="BP278" i="81"/>
  <c r="CA279" i="81"/>
  <c r="BU283" i="81"/>
  <c r="BE284" i="81"/>
  <c r="BG284" i="81" s="1"/>
  <c r="BX285" i="81"/>
  <c r="BG286" i="81"/>
  <c r="BG287" i="81"/>
  <c r="X288" i="81"/>
  <c r="AP288" i="81" s="1"/>
  <c r="AQ288" i="81" s="1"/>
  <c r="AS288" i="81" s="1"/>
  <c r="BU291" i="81"/>
  <c r="BE292" i="81"/>
  <c r="BG292" i="81" s="1"/>
  <c r="BX297" i="81"/>
  <c r="BV297" i="81"/>
  <c r="BR298" i="81"/>
  <c r="BP298" i="81"/>
  <c r="BU300" i="81"/>
  <c r="BS300" i="81"/>
  <c r="X301" i="81"/>
  <c r="AP301" i="81" s="1"/>
  <c r="AQ301" i="81" s="1"/>
  <c r="AS301" i="81" s="1"/>
  <c r="BU303" i="81"/>
  <c r="BX304" i="81"/>
  <c r="BE305" i="81"/>
  <c r="BG305" i="81" s="1"/>
  <c r="BE307" i="81"/>
  <c r="BG307" i="81" s="1"/>
  <c r="BE308" i="81"/>
  <c r="BG308" i="81" s="1"/>
  <c r="BU309" i="81"/>
  <c r="BG314" i="81"/>
  <c r="BU314" i="81"/>
  <c r="BS314" i="81"/>
  <c r="BU315" i="81"/>
  <c r="BS315" i="81"/>
  <c r="BU317" i="81"/>
  <c r="BE320" i="81"/>
  <c r="BG320" i="81" s="1"/>
  <c r="BU321" i="81"/>
  <c r="BG326" i="81"/>
  <c r="BU326" i="81"/>
  <c r="BU327" i="81"/>
  <c r="BX332" i="81"/>
  <c r="BE333" i="81"/>
  <c r="BG333" i="81" s="1"/>
  <c r="BE335" i="81"/>
  <c r="BG335" i="81" s="1"/>
  <c r="BX336" i="81"/>
  <c r="BE337" i="81"/>
  <c r="BG337" i="81" s="1"/>
  <c r="BE339" i="81"/>
  <c r="BG339" i="81" s="1"/>
  <c r="BE340" i="81"/>
  <c r="BG340" i="81" s="1"/>
  <c r="BU341" i="81"/>
  <c r="BP344" i="81"/>
  <c r="BG344" i="81"/>
  <c r="BG346" i="81"/>
  <c r="BU346" i="81"/>
  <c r="BU347" i="81"/>
  <c r="BS347" i="81"/>
  <c r="BG350" i="81"/>
  <c r="BU350" i="81"/>
  <c r="BU351" i="81"/>
  <c r="BG353" i="81"/>
  <c r="BP353" i="81"/>
  <c r="BP306" i="81"/>
  <c r="BP310" i="81"/>
  <c r="BP314" i="81"/>
  <c r="BS316" i="81"/>
  <c r="BP318" i="81"/>
  <c r="BP322" i="81"/>
  <c r="BP326" i="81"/>
  <c r="BP330" i="81"/>
  <c r="BP334" i="81"/>
  <c r="BP338" i="81"/>
  <c r="BP342" i="81"/>
  <c r="BS344" i="81"/>
  <c r="BP346" i="81"/>
  <c r="BP350" i="81"/>
  <c r="BP354" i="81"/>
  <c r="BP360" i="81"/>
  <c r="BE361" i="81"/>
  <c r="BG361" i="81"/>
  <c r="BG362" i="81"/>
  <c r="BR363" i="81"/>
  <c r="BP363" i="81"/>
  <c r="BU365" i="81"/>
  <c r="X366" i="81"/>
  <c r="AP366" i="81" s="1"/>
  <c r="AQ366" i="81" s="1"/>
  <c r="AS366" i="81" s="1"/>
  <c r="BB366" i="81"/>
  <c r="BD366" i="81" s="1"/>
  <c r="BE366" i="81" s="1"/>
  <c r="AR371" i="81"/>
  <c r="BG379" i="81"/>
  <c r="BE381" i="81"/>
  <c r="BG381" i="81" s="1"/>
  <c r="BX381" i="81"/>
  <c r="BE384" i="81"/>
  <c r="BG384" i="81" s="1"/>
  <c r="BS384" i="81"/>
  <c r="BE385" i="81"/>
  <c r="BG385" i="81" s="1"/>
  <c r="BX385" i="81"/>
  <c r="BE388" i="81"/>
  <c r="BG388" i="81" s="1"/>
  <c r="BG395" i="81"/>
  <c r="BU395" i="81"/>
  <c r="BG399" i="81"/>
  <c r="AR358" i="81"/>
  <c r="BR358" i="81"/>
  <c r="BG363" i="81"/>
  <c r="BG364" i="81"/>
  <c r="BR367" i="81"/>
  <c r="BP367" i="81"/>
  <c r="BG375" i="81"/>
  <c r="BU375" i="81"/>
  <c r="BG378" i="81"/>
  <c r="BG380" i="81"/>
  <c r="BE380" i="81"/>
  <c r="BG391" i="81"/>
  <c r="BU391" i="81"/>
  <c r="BG394" i="81"/>
  <c r="BP394" i="81"/>
  <c r="BG398" i="81"/>
  <c r="BU399" i="81"/>
  <c r="X365" i="81"/>
  <c r="AP365" i="81" s="1"/>
  <c r="AQ365" i="81" s="1"/>
  <c r="AS365" i="81" s="1"/>
  <c r="BE365" i="81"/>
  <c r="BG367" i="81"/>
  <c r="BU369" i="81"/>
  <c r="BS369" i="81"/>
  <c r="BG374" i="81"/>
  <c r="BP374" i="81"/>
  <c r="BE377" i="81"/>
  <c r="BG377" i="81" s="1"/>
  <c r="BX377" i="81"/>
  <c r="BG383" i="81"/>
  <c r="BU383" i="81"/>
  <c r="BG387" i="81"/>
  <c r="BU387" i="81"/>
  <c r="BG390" i="81"/>
  <c r="BE393" i="81"/>
  <c r="BG393" i="81" s="1"/>
  <c r="BX393" i="81"/>
  <c r="BG396" i="81"/>
  <c r="BE396" i="81"/>
  <c r="BS396" i="81"/>
  <c r="BE397" i="81"/>
  <c r="BG397" i="81"/>
  <c r="BX397" i="81"/>
  <c r="BU400" i="81"/>
  <c r="BR359" i="81"/>
  <c r="BU361" i="81"/>
  <c r="BE369" i="81"/>
  <c r="BG369" i="81" s="1"/>
  <c r="BG370" i="81"/>
  <c r="BP370" i="81"/>
  <c r="BR371" i="81"/>
  <c r="BE372" i="81"/>
  <c r="BG372" i="81" s="1"/>
  <c r="BS372" i="81"/>
  <c r="BE373" i="81"/>
  <c r="BG373" i="81" s="1"/>
  <c r="BX373" i="81"/>
  <c r="BE376" i="81"/>
  <c r="BG376" i="81" s="1"/>
  <c r="BU379" i="81"/>
  <c r="BS379" i="81"/>
  <c r="BG382" i="81"/>
  <c r="BG386" i="81"/>
  <c r="BP386" i="81"/>
  <c r="BE389" i="81"/>
  <c r="BG389" i="81" s="1"/>
  <c r="BX389" i="81"/>
  <c r="BE392" i="81"/>
  <c r="BG392" i="81" s="1"/>
  <c r="BG402" i="81"/>
  <c r="BR362" i="81"/>
  <c r="BU364" i="81"/>
  <c r="BR366" i="81"/>
  <c r="BU368" i="81"/>
  <c r="BR370" i="81"/>
  <c r="BU372" i="81"/>
  <c r="BR374" i="81"/>
  <c r="BU376" i="81"/>
  <c r="BR378" i="81"/>
  <c r="BU380" i="81"/>
  <c r="BR382" i="81"/>
  <c r="BU384" i="81"/>
  <c r="BR386" i="81"/>
  <c r="BU388" i="81"/>
  <c r="BR390" i="81"/>
  <c r="BU392" i="81"/>
  <c r="BR394" i="81"/>
  <c r="BU396" i="81"/>
  <c r="BB401" i="81"/>
  <c r="BD401" i="81" s="1"/>
  <c r="BE401" i="81" s="1"/>
  <c r="BG403" i="81"/>
  <c r="CA403" i="81"/>
  <c r="BR405" i="81"/>
  <c r="BR406" i="81"/>
  <c r="BP406" i="81"/>
  <c r="BU408" i="81"/>
  <c r="BB409" i="81"/>
  <c r="BD409" i="81" s="1"/>
  <c r="BE409" i="81" s="1"/>
  <c r="X416" i="81"/>
  <c r="AP416" i="81" s="1"/>
  <c r="AQ416" i="81" s="1"/>
  <c r="AS416" i="81" s="1"/>
  <c r="BE416" i="81"/>
  <c r="BR417" i="81"/>
  <c r="BR418" i="81"/>
  <c r="BP418" i="81"/>
  <c r="BU420" i="81"/>
  <c r="BB421" i="81"/>
  <c r="BD421" i="81" s="1"/>
  <c r="BE421" i="81" s="1"/>
  <c r="X428" i="81"/>
  <c r="AP428" i="81" s="1"/>
  <c r="AQ428" i="81" s="1"/>
  <c r="AS428" i="81" s="1"/>
  <c r="BG435" i="81"/>
  <c r="BE439" i="81"/>
  <c r="BG439" i="81"/>
  <c r="BE443" i="81"/>
  <c r="BG443" i="81" s="1"/>
  <c r="BE457" i="81"/>
  <c r="BG457" i="81"/>
  <c r="BR398" i="81"/>
  <c r="BE404" i="81"/>
  <c r="BG406" i="81"/>
  <c r="CA407" i="81"/>
  <c r="BG409" i="81"/>
  <c r="BX409" i="81"/>
  <c r="BR410" i="81"/>
  <c r="BU412" i="81"/>
  <c r="BG418" i="81"/>
  <c r="CA419" i="81"/>
  <c r="BX421" i="81"/>
  <c r="BR422" i="81"/>
  <c r="BU424" i="81"/>
  <c r="BE430" i="81"/>
  <c r="BG430" i="81" s="1"/>
  <c r="BE451" i="81"/>
  <c r="BG451" i="81"/>
  <c r="BP375" i="81"/>
  <c r="BP383" i="81"/>
  <c r="BP387" i="81"/>
  <c r="BP391" i="81"/>
  <c r="BP395" i="81"/>
  <c r="BP398" i="81"/>
  <c r="BP399" i="81"/>
  <c r="BG408" i="81"/>
  <c r="BE408" i="81"/>
  <c r="AR410" i="81"/>
  <c r="AS410" i="81" s="1"/>
  <c r="CA411" i="81"/>
  <c r="BG413" i="81"/>
  <c r="BX413" i="81"/>
  <c r="BR414" i="81"/>
  <c r="BS421" i="81"/>
  <c r="AR422" i="81"/>
  <c r="AS422" i="81" s="1"/>
  <c r="CA423" i="81"/>
  <c r="BG425" i="81"/>
  <c r="BX425" i="81"/>
  <c r="BR426" i="81"/>
  <c r="BU428" i="81"/>
  <c r="CA432" i="81"/>
  <c r="BE433" i="81"/>
  <c r="BG433" i="81" s="1"/>
  <c r="BU434" i="81"/>
  <c r="BS434" i="81"/>
  <c r="BE441" i="81"/>
  <c r="BG441" i="81" s="1"/>
  <c r="BE445" i="81"/>
  <c r="BG445" i="81"/>
  <c r="BE455" i="81"/>
  <c r="BG455" i="81" s="1"/>
  <c r="BE400" i="81"/>
  <c r="BG400" i="81" s="1"/>
  <c r="BR401" i="81"/>
  <c r="BP401" i="81"/>
  <c r="CA402" i="81"/>
  <c r="BU404" i="81"/>
  <c r="BB405" i="81"/>
  <c r="BD405" i="81" s="1"/>
  <c r="BE405" i="81" s="1"/>
  <c r="BE412" i="81"/>
  <c r="BG412" i="81" s="1"/>
  <c r="AR414" i="81"/>
  <c r="BG415" i="81"/>
  <c r="CA415" i="81"/>
  <c r="BU416" i="81"/>
  <c r="BB417" i="81"/>
  <c r="BD417" i="81" s="1"/>
  <c r="BE417" i="81" s="1"/>
  <c r="BG420" i="81"/>
  <c r="BP420" i="81"/>
  <c r="AR426" i="81"/>
  <c r="AS426" i="81" s="1"/>
  <c r="BG427" i="81"/>
  <c r="CA427" i="81"/>
  <c r="BG429" i="81"/>
  <c r="BU429" i="81"/>
  <c r="BU430" i="81"/>
  <c r="BG431" i="81"/>
  <c r="BU433" i="81"/>
  <c r="BE437" i="81"/>
  <c r="BG437" i="81" s="1"/>
  <c r="BE447" i="81"/>
  <c r="BG447" i="81" s="1"/>
  <c r="BE449" i="81"/>
  <c r="BG449" i="81" s="1"/>
  <c r="BE453" i="81"/>
  <c r="BG453" i="81" s="1"/>
  <c r="BP442" i="81"/>
  <c r="BP446" i="81"/>
  <c r="BP450" i="81"/>
  <c r="BR458" i="81"/>
  <c r="BP458" i="81"/>
  <c r="BG464" i="81"/>
  <c r="E23" i="77"/>
  <c r="D38" i="77"/>
  <c r="D39" i="77" s="1"/>
  <c r="D29" i="77"/>
  <c r="D26" i="77"/>
  <c r="D32" i="77" s="1"/>
  <c r="BS403" i="81"/>
  <c r="BP409" i="81"/>
  <c r="BP413" i="81"/>
  <c r="BP417" i="81"/>
  <c r="BP421" i="81"/>
  <c r="BP425" i="81"/>
  <c r="BP429" i="81"/>
  <c r="BR431" i="81"/>
  <c r="AR432" i="81"/>
  <c r="BB434" i="81"/>
  <c r="BD434" i="81" s="1"/>
  <c r="BE434" i="81" s="1"/>
  <c r="BR435" i="81"/>
  <c r="AR436" i="81"/>
  <c r="BX436" i="81"/>
  <c r="BG438" i="81"/>
  <c r="BR438" i="81"/>
  <c r="BX440" i="81"/>
  <c r="BG442" i="81"/>
  <c r="BR442" i="81"/>
  <c r="BX444" i="81"/>
  <c r="BG446" i="81"/>
  <c r="BR446" i="81"/>
  <c r="BX448" i="81"/>
  <c r="BG450" i="81"/>
  <c r="BR450" i="81"/>
  <c r="BX452" i="81"/>
  <c r="BG454" i="81"/>
  <c r="BR454" i="81"/>
  <c r="BX456" i="81"/>
  <c r="BG458" i="81"/>
  <c r="BG460" i="81"/>
  <c r="BG462" i="81"/>
  <c r="BU462" i="81"/>
  <c r="BU463" i="81"/>
  <c r="BX464" i="81"/>
  <c r="BE465" i="81"/>
  <c r="BG465" i="81" s="1"/>
  <c r="D7" i="77"/>
  <c r="C26" i="77" s="1"/>
  <c r="E11" i="77"/>
  <c r="E7" i="77" s="1"/>
  <c r="C27" i="77" s="1"/>
  <c r="AC44" i="21"/>
  <c r="W44" i="21"/>
  <c r="BP431" i="81"/>
  <c r="BP434" i="81"/>
  <c r="BP435" i="81"/>
  <c r="BR439" i="81"/>
  <c r="X440" i="81"/>
  <c r="AP440" i="81" s="1"/>
  <c r="AQ440" i="81" s="1"/>
  <c r="BS441" i="81"/>
  <c r="BR443" i="81"/>
  <c r="X444" i="81"/>
  <c r="AP444" i="81" s="1"/>
  <c r="AQ444" i="81" s="1"/>
  <c r="BR447" i="81"/>
  <c r="X448" i="81"/>
  <c r="AP448" i="81" s="1"/>
  <c r="AQ448" i="81" s="1"/>
  <c r="BR451" i="81"/>
  <c r="X452" i="81"/>
  <c r="AP452" i="81" s="1"/>
  <c r="AQ452" i="81" s="1"/>
  <c r="BS453" i="81"/>
  <c r="BR455" i="81"/>
  <c r="X456" i="81"/>
  <c r="AP456" i="81" s="1"/>
  <c r="AQ456" i="81" s="1"/>
  <c r="BX460" i="81"/>
  <c r="BE461" i="81"/>
  <c r="BG461" i="81" s="1"/>
  <c r="BU465" i="81"/>
  <c r="BG434" i="81"/>
  <c r="AR440" i="81"/>
  <c r="AR444" i="81"/>
  <c r="BP444" i="81" s="1"/>
  <c r="AR448" i="81"/>
  <c r="AR452" i="81"/>
  <c r="AR456" i="81"/>
  <c r="BU459" i="81"/>
  <c r="BS459" i="81"/>
  <c r="BU461" i="81"/>
  <c r="BS461" i="81"/>
  <c r="BE463" i="81"/>
  <c r="BG463" i="81" s="1"/>
  <c r="R25" i="77"/>
  <c r="R5" i="77"/>
  <c r="U5" i="77" s="1"/>
  <c r="AA46" i="21"/>
  <c r="S46" i="21"/>
  <c r="C29" i="77"/>
  <c r="C32" i="77"/>
  <c r="C38" i="77" s="1"/>
  <c r="C39" i="77" s="1"/>
  <c r="AB8" i="21"/>
  <c r="W9" i="21"/>
  <c r="S11" i="21"/>
  <c r="U12" i="21"/>
  <c r="W13" i="21"/>
  <c r="S25" i="21"/>
  <c r="U26" i="21"/>
  <c r="W27" i="21"/>
  <c r="S29" i="21"/>
  <c r="U30" i="21"/>
  <c r="W31" i="21"/>
  <c r="S33" i="21"/>
  <c r="U34" i="21"/>
  <c r="W35" i="21"/>
  <c r="S37" i="21"/>
  <c r="U38" i="21"/>
  <c r="W39" i="21"/>
  <c r="S41" i="21"/>
  <c r="U42" i="21"/>
  <c r="W43" i="21"/>
  <c r="S45" i="21"/>
  <c r="U46" i="21"/>
  <c r="W10" i="33"/>
  <c r="AC11" i="33"/>
  <c r="U14" i="33"/>
  <c r="W15" i="33"/>
  <c r="AA17" i="33"/>
  <c r="S19" i="33"/>
  <c r="AB19" i="33"/>
  <c r="S23" i="33"/>
  <c r="S32" i="33"/>
  <c r="AC27" i="33"/>
  <c r="W27" i="33"/>
  <c r="AC29" i="33"/>
  <c r="W29" i="33"/>
  <c r="S27" i="34"/>
  <c r="AA27" i="34"/>
  <c r="BS460" i="81"/>
  <c r="BP462" i="81"/>
  <c r="BS464" i="81"/>
  <c r="D23" i="67"/>
  <c r="S10" i="21"/>
  <c r="U11" i="21"/>
  <c r="W12" i="21"/>
  <c r="S14" i="21"/>
  <c r="S15" i="21"/>
  <c r="S17" i="21"/>
  <c r="S19" i="21"/>
  <c r="S21" i="21"/>
  <c r="S23" i="21"/>
  <c r="U25" i="21"/>
  <c r="W26" i="21"/>
  <c r="S28" i="21"/>
  <c r="U29" i="21"/>
  <c r="W30" i="21"/>
  <c r="S32" i="21"/>
  <c r="U33" i="21"/>
  <c r="W34" i="21"/>
  <c r="S36" i="21"/>
  <c r="U37" i="21"/>
  <c r="W38" i="21"/>
  <c r="S40" i="21"/>
  <c r="U41" i="21"/>
  <c r="W42" i="21"/>
  <c r="F44" i="21"/>
  <c r="U45" i="21"/>
  <c r="J46" i="21"/>
  <c r="K145" i="21"/>
  <c r="U8" i="33"/>
  <c r="AB9" i="33"/>
  <c r="AA10" i="33"/>
  <c r="AA13" i="33"/>
  <c r="AA15" i="33"/>
  <c r="AB17" i="33"/>
  <c r="AC19" i="33"/>
  <c r="AA21" i="33"/>
  <c r="W23" i="33"/>
  <c r="AA26" i="33"/>
  <c r="S9" i="21"/>
  <c r="U10" i="21"/>
  <c r="W11" i="21"/>
  <c r="S13" i="21"/>
  <c r="U14" i="21"/>
  <c r="U15" i="21"/>
  <c r="U17" i="21"/>
  <c r="U19" i="21"/>
  <c r="U21" i="21"/>
  <c r="U23" i="21"/>
  <c r="W25" i="21"/>
  <c r="S27" i="21"/>
  <c r="U28" i="21"/>
  <c r="W29" i="21"/>
  <c r="S31" i="21"/>
  <c r="U32" i="21"/>
  <c r="W33" i="21"/>
  <c r="S35" i="21"/>
  <c r="U36" i="21"/>
  <c r="W37" i="21"/>
  <c r="S39" i="21"/>
  <c r="U40" i="21"/>
  <c r="W41" i="21"/>
  <c r="S43" i="21"/>
  <c r="U44" i="21"/>
  <c r="W45" i="21"/>
  <c r="AB15" i="33"/>
  <c r="AC17" i="33"/>
  <c r="AC45" i="33"/>
  <c r="W45" i="33"/>
  <c r="U9" i="21"/>
  <c r="W10" i="21"/>
  <c r="S12" i="21"/>
  <c r="U13" i="21"/>
  <c r="W14" i="21"/>
  <c r="W15" i="21"/>
  <c r="W17" i="21"/>
  <c r="W19" i="21"/>
  <c r="W21" i="21"/>
  <c r="W23" i="21"/>
  <c r="S26" i="21"/>
  <c r="U27" i="21"/>
  <c r="W28" i="21"/>
  <c r="S30" i="21"/>
  <c r="U31" i="21"/>
  <c r="W32" i="21"/>
  <c r="S34" i="21"/>
  <c r="U35" i="21"/>
  <c r="W36" i="21"/>
  <c r="S38" i="21"/>
  <c r="U39" i="21"/>
  <c r="W40" i="21"/>
  <c r="S42" i="21"/>
  <c r="U43" i="21"/>
  <c r="K144" i="21"/>
  <c r="AA8" i="33"/>
  <c r="W9" i="33"/>
  <c r="S11" i="33"/>
  <c r="U12" i="33"/>
  <c r="W13" i="33"/>
  <c r="S25" i="33"/>
  <c r="U26" i="33"/>
  <c r="F29" i="33"/>
  <c r="U30" i="33"/>
  <c r="W31" i="33"/>
  <c r="S33" i="33"/>
  <c r="U34" i="33"/>
  <c r="W35" i="33"/>
  <c r="S37" i="33"/>
  <c r="U38" i="33"/>
  <c r="W39" i="33"/>
  <c r="S41" i="33"/>
  <c r="U42" i="33"/>
  <c r="W43" i="33"/>
  <c r="F45" i="33"/>
  <c r="U46" i="33"/>
  <c r="W9" i="34"/>
  <c r="AA11" i="34"/>
  <c r="W13" i="34"/>
  <c r="W14" i="34"/>
  <c r="AA15" i="34"/>
  <c r="W17" i="34"/>
  <c r="AA19" i="34"/>
  <c r="W21" i="34"/>
  <c r="AA23" i="34"/>
  <c r="U27" i="34"/>
  <c r="AC27" i="34"/>
  <c r="AC38" i="34"/>
  <c r="S42" i="34"/>
  <c r="F45" i="34"/>
  <c r="AA13" i="34"/>
  <c r="S13" i="34"/>
  <c r="H32" i="34"/>
  <c r="J32" i="34"/>
  <c r="AA8" i="37"/>
  <c r="AC10" i="37"/>
  <c r="AC14" i="37"/>
  <c r="W23" i="37"/>
  <c r="U29" i="37"/>
  <c r="AB29" i="37"/>
  <c r="F25" i="37"/>
  <c r="J25" i="37"/>
  <c r="W11" i="35"/>
  <c r="AC11" i="35"/>
  <c r="W34" i="33"/>
  <c r="S36" i="33"/>
  <c r="U37" i="33"/>
  <c r="W38" i="33"/>
  <c r="S40" i="33"/>
  <c r="U41" i="33"/>
  <c r="W42" i="33"/>
  <c r="S44" i="33"/>
  <c r="U45" i="33"/>
  <c r="W46" i="33"/>
  <c r="AA25" i="34"/>
  <c r="AA29" i="34"/>
  <c r="AA32" i="34"/>
  <c r="AB35" i="34"/>
  <c r="S46" i="34"/>
  <c r="AB14" i="34"/>
  <c r="U14" i="34"/>
  <c r="AC45" i="34"/>
  <c r="W45" i="34"/>
  <c r="AB8" i="37"/>
  <c r="U8" i="37"/>
  <c r="S19" i="37"/>
  <c r="U21" i="37"/>
  <c r="S30" i="37"/>
  <c r="U40" i="37"/>
  <c r="S22" i="35"/>
  <c r="AC28" i="35"/>
  <c r="W28" i="35"/>
  <c r="J34" i="35"/>
  <c r="H34" i="35"/>
  <c r="F34" i="35"/>
  <c r="W10" i="36"/>
  <c r="AC10" i="36"/>
  <c r="U21" i="33"/>
  <c r="U23" i="33"/>
  <c r="W25" i="33"/>
  <c r="S27" i="33"/>
  <c r="U28" i="33"/>
  <c r="S31" i="33"/>
  <c r="U32" i="33"/>
  <c r="W33" i="33"/>
  <c r="S35" i="33"/>
  <c r="U36" i="33"/>
  <c r="W37" i="33"/>
  <c r="S39" i="33"/>
  <c r="U40" i="33"/>
  <c r="W41" i="33"/>
  <c r="S43" i="33"/>
  <c r="U44" i="33"/>
  <c r="AB12" i="34"/>
  <c r="AA17" i="34"/>
  <c r="S30" i="34"/>
  <c r="W40" i="34"/>
  <c r="AC40" i="34"/>
  <c r="W43" i="34"/>
  <c r="AC43" i="34"/>
  <c r="U46" i="34"/>
  <c r="U9" i="37"/>
  <c r="AB9" i="37"/>
  <c r="W12" i="37"/>
  <c r="AC12" i="37"/>
  <c r="U13" i="37"/>
  <c r="AB13" i="37"/>
  <c r="AB19" i="37"/>
  <c r="U25" i="37"/>
  <c r="AB25" i="37"/>
  <c r="S26" i="37"/>
  <c r="W8" i="35"/>
  <c r="AC8" i="35"/>
  <c r="AC10" i="35"/>
  <c r="W10" i="35"/>
  <c r="AB25" i="35"/>
  <c r="U25" i="35"/>
  <c r="S16" i="36"/>
  <c r="U27" i="33"/>
  <c r="W28" i="33"/>
  <c r="S30" i="33"/>
  <c r="U31" i="33"/>
  <c r="W32" i="33"/>
  <c r="S34" i="33"/>
  <c r="U35" i="33"/>
  <c r="W36" i="33"/>
  <c r="S38" i="33"/>
  <c r="U39" i="33"/>
  <c r="W40" i="33"/>
  <c r="S42" i="33"/>
  <c r="U43" i="33"/>
  <c r="W44" i="33"/>
  <c r="S46" i="33"/>
  <c r="U29" i="34"/>
  <c r="U34" i="34"/>
  <c r="U37" i="34"/>
  <c r="U45" i="34"/>
  <c r="F31" i="34"/>
  <c r="J31" i="34"/>
  <c r="U28" i="37"/>
  <c r="AB28" i="37"/>
  <c r="S40" i="37"/>
  <c r="AA40" i="37"/>
  <c r="AA9" i="35"/>
  <c r="S20" i="35"/>
  <c r="U36" i="35"/>
  <c r="AB36" i="35"/>
  <c r="H12" i="35"/>
  <c r="J12" i="35"/>
  <c r="F12" i="35"/>
  <c r="AB12" i="36"/>
  <c r="U12" i="36"/>
  <c r="AC13" i="37"/>
  <c r="W13" i="37"/>
  <c r="S14" i="35"/>
  <c r="U20" i="35"/>
  <c r="U22" i="35"/>
  <c r="J26" i="35"/>
  <c r="S27" i="35"/>
  <c r="S29" i="35"/>
  <c r="S30" i="35"/>
  <c r="S31" i="35"/>
  <c r="S33" i="35"/>
  <c r="AB30" i="36"/>
  <c r="AB32" i="36"/>
  <c r="AB34" i="36"/>
  <c r="AB12" i="39"/>
  <c r="AB37" i="39"/>
  <c r="AB45" i="39"/>
  <c r="S9" i="40"/>
  <c r="U14" i="40"/>
  <c r="AB14" i="40"/>
  <c r="AB36" i="40"/>
  <c r="U36" i="40"/>
  <c r="S39" i="40"/>
  <c r="AA39" i="40"/>
  <c r="S9" i="34"/>
  <c r="U10" i="34"/>
  <c r="W11" i="34"/>
  <c r="U15" i="34"/>
  <c r="U17" i="34"/>
  <c r="U19" i="34"/>
  <c r="U21" i="34"/>
  <c r="U23" i="34"/>
  <c r="W25" i="34"/>
  <c r="AA38" i="34"/>
  <c r="AA41" i="34"/>
  <c r="AA44" i="34"/>
  <c r="H47" i="34"/>
  <c r="AC29" i="34"/>
  <c r="W29" i="34"/>
  <c r="AA10" i="37"/>
  <c r="AA14" i="37"/>
  <c r="AB15" i="37"/>
  <c r="AC17" i="37"/>
  <c r="AA21" i="37"/>
  <c r="AB23" i="37"/>
  <c r="AC28" i="37"/>
  <c r="AB32" i="37"/>
  <c r="AB35" i="37"/>
  <c r="AA36" i="37"/>
  <c r="F38" i="37"/>
  <c r="AB39" i="37"/>
  <c r="AC9" i="37"/>
  <c r="W9" i="37"/>
  <c r="AC27" i="37"/>
  <c r="W27" i="37"/>
  <c r="U11" i="35"/>
  <c r="S16" i="35"/>
  <c r="F26" i="35"/>
  <c r="W31" i="35"/>
  <c r="W35" i="35"/>
  <c r="J9" i="35"/>
  <c r="H9" i="35"/>
  <c r="F36" i="35"/>
  <c r="J36" i="35"/>
  <c r="U8" i="36"/>
  <c r="AB8" i="36"/>
  <c r="AC11" i="36"/>
  <c r="AC22" i="36"/>
  <c r="W25" i="36"/>
  <c r="S28" i="36"/>
  <c r="S31" i="36"/>
  <c r="H11" i="36"/>
  <c r="F11" i="36"/>
  <c r="H23" i="36"/>
  <c r="F23" i="36"/>
  <c r="AA13" i="39"/>
  <c r="AA14" i="39"/>
  <c r="U19" i="39"/>
  <c r="U27" i="39"/>
  <c r="S38" i="39"/>
  <c r="F36" i="39"/>
  <c r="J36" i="39"/>
  <c r="S11" i="40"/>
  <c r="U15" i="40"/>
  <c r="AB15" i="40"/>
  <c r="AB23" i="40"/>
  <c r="U23" i="40"/>
  <c r="F33" i="40"/>
  <c r="J33" i="40"/>
  <c r="H40" i="40"/>
  <c r="F40" i="40"/>
  <c r="AA47" i="34"/>
  <c r="S47" i="34"/>
  <c r="F13" i="37"/>
  <c r="AB38" i="37"/>
  <c r="U38" i="37"/>
  <c r="H26" i="35"/>
  <c r="AB35" i="35"/>
  <c r="C79" i="35"/>
  <c r="S9" i="36"/>
  <c r="AC23" i="36"/>
  <c r="J32" i="36"/>
  <c r="F32" i="36"/>
  <c r="AB9" i="39"/>
  <c r="S31" i="39"/>
  <c r="S40" i="39"/>
  <c r="J14" i="39"/>
  <c r="H14" i="39"/>
  <c r="W8" i="40"/>
  <c r="AC8" i="40"/>
  <c r="W17" i="40"/>
  <c r="W25" i="40"/>
  <c r="H30" i="40"/>
  <c r="F30" i="40"/>
  <c r="J30" i="40"/>
  <c r="AC32" i="40"/>
  <c r="W32" i="40"/>
  <c r="AB33" i="40"/>
  <c r="U33" i="40"/>
  <c r="AC40" i="40"/>
  <c r="W40" i="40"/>
  <c r="S20" i="36"/>
  <c r="U24" i="36"/>
  <c r="AC31" i="36"/>
  <c r="U15" i="39"/>
  <c r="U23" i="39"/>
  <c r="W31" i="39"/>
  <c r="S35" i="39"/>
  <c r="AC38" i="39"/>
  <c r="W40" i="39"/>
  <c r="AC41" i="39"/>
  <c r="S43" i="39"/>
  <c r="J44" i="39"/>
  <c r="F44" i="39"/>
  <c r="AC13" i="40"/>
  <c r="W13" i="40"/>
  <c r="U21" i="40"/>
  <c r="AB21" i="40"/>
  <c r="W27" i="40"/>
  <c r="U37" i="40"/>
  <c r="AB37" i="40"/>
  <c r="J31" i="40"/>
  <c r="F31" i="40"/>
  <c r="H31" i="40"/>
  <c r="H38" i="40"/>
  <c r="J38" i="40"/>
  <c r="F38" i="40"/>
  <c r="U28" i="34"/>
  <c r="W33" i="34"/>
  <c r="S35" i="34"/>
  <c r="U36" i="34"/>
  <c r="W37" i="34"/>
  <c r="S39" i="34"/>
  <c r="U40" i="34"/>
  <c r="W41" i="34"/>
  <c r="S43" i="34"/>
  <c r="U44" i="34"/>
  <c r="S11" i="37"/>
  <c r="U12" i="37"/>
  <c r="U26" i="37"/>
  <c r="S29" i="37"/>
  <c r="U30" i="37"/>
  <c r="W31" i="37"/>
  <c r="S33" i="37"/>
  <c r="U34" i="37"/>
  <c r="W35" i="37"/>
  <c r="S37" i="37"/>
  <c r="W39" i="37"/>
  <c r="AC13" i="35"/>
  <c r="W13" i="35"/>
  <c r="AA23" i="35"/>
  <c r="S23" i="35"/>
  <c r="U8" i="40"/>
  <c r="J14" i="40"/>
  <c r="W21" i="40"/>
  <c r="F27" i="40"/>
  <c r="AA34" i="40"/>
  <c r="AA35" i="40"/>
  <c r="J12" i="40"/>
  <c r="H12" i="40"/>
  <c r="AC25" i="35"/>
  <c r="W25" i="35"/>
  <c r="AB13" i="39"/>
  <c r="U13" i="39"/>
  <c r="AA14" i="40"/>
  <c r="S14" i="40"/>
  <c r="AB27" i="40"/>
  <c r="U27" i="40"/>
  <c r="J39" i="40"/>
  <c r="H39" i="40"/>
  <c r="S11" i="35"/>
  <c r="W14" i="35"/>
  <c r="W16" i="35"/>
  <c r="W18" i="35"/>
  <c r="W20" i="35"/>
  <c r="U24" i="35"/>
  <c r="S28" i="35"/>
  <c r="U29" i="35"/>
  <c r="W30" i="35"/>
  <c r="S32" i="35"/>
  <c r="U33" i="35"/>
  <c r="S10" i="36"/>
  <c r="W12" i="36"/>
  <c r="S22" i="36"/>
  <c r="W24" i="36"/>
  <c r="S26" i="36"/>
  <c r="U27" i="36"/>
  <c r="W28" i="36"/>
  <c r="S30" i="36"/>
  <c r="U31" i="36"/>
  <c r="S34" i="36"/>
  <c r="S9" i="39"/>
  <c r="S12" i="39"/>
  <c r="W15" i="39"/>
  <c r="W17" i="39"/>
  <c r="W19" i="39"/>
  <c r="W21" i="39"/>
  <c r="W23" i="39"/>
  <c r="W25" i="39"/>
  <c r="W27" i="39"/>
  <c r="W29" i="39"/>
  <c r="S32" i="39"/>
  <c r="U34" i="39"/>
  <c r="W35" i="39"/>
  <c r="S37" i="39"/>
  <c r="U38" i="39"/>
  <c r="W39" i="39"/>
  <c r="S41" i="39"/>
  <c r="U42" i="39"/>
  <c r="W43" i="39"/>
  <c r="S45" i="39"/>
  <c r="C21" i="11"/>
  <c r="C40" i="11"/>
  <c r="AH6" i="79"/>
  <c r="W6" i="79"/>
  <c r="AK6" i="79" s="1"/>
  <c r="S10" i="79"/>
  <c r="AG10" i="79" s="1"/>
  <c r="S7" i="79"/>
  <c r="AG7" i="79" s="1"/>
  <c r="S14" i="79"/>
  <c r="AG14" i="79" s="1"/>
  <c r="S13" i="79"/>
  <c r="AG13" i="79" s="1"/>
  <c r="S11" i="79"/>
  <c r="AG11" i="79" s="1"/>
  <c r="W15" i="79"/>
  <c r="AK15" i="79" s="1"/>
  <c r="AH15" i="79"/>
  <c r="U16" i="79"/>
  <c r="AI16" i="79" s="1"/>
  <c r="U15" i="79"/>
  <c r="AI15" i="79" s="1"/>
  <c r="S21" i="79"/>
  <c r="AG21" i="79" s="1"/>
  <c r="S19" i="79"/>
  <c r="AG19" i="79" s="1"/>
  <c r="S17" i="79"/>
  <c r="AG17" i="79" s="1"/>
  <c r="L3" i="79"/>
  <c r="P5" i="79"/>
  <c r="T3" i="79"/>
  <c r="W3" i="79" s="1"/>
  <c r="T5" i="79"/>
  <c r="M3" i="79"/>
  <c r="P3" i="79" s="1"/>
  <c r="P7" i="79"/>
  <c r="T7" i="79"/>
  <c r="U8" i="79"/>
  <c r="AI8" i="79" s="1"/>
  <c r="AH10" i="79"/>
  <c r="W10" i="79"/>
  <c r="AK10" i="79" s="1"/>
  <c r="U10" i="79"/>
  <c r="AI10" i="79" s="1"/>
  <c r="AD11" i="79"/>
  <c r="AA3" i="79"/>
  <c r="AD3" i="79" s="1"/>
  <c r="W14" i="79"/>
  <c r="AK14" i="79" s="1"/>
  <c r="AH14" i="79"/>
  <c r="U14" i="79"/>
  <c r="AI14" i="79" s="1"/>
  <c r="AH20" i="79"/>
  <c r="W20" i="79"/>
  <c r="AK20" i="79" s="1"/>
  <c r="AH47" i="79"/>
  <c r="W9" i="40"/>
  <c r="U11" i="40"/>
  <c r="S15" i="40"/>
  <c r="S17" i="40"/>
  <c r="S19" i="40"/>
  <c r="S21" i="40"/>
  <c r="S23" i="40"/>
  <c r="S25" i="40"/>
  <c r="U28" i="40"/>
  <c r="U34" i="40"/>
  <c r="W35" i="40"/>
  <c r="S37" i="40"/>
  <c r="U5" i="79"/>
  <c r="AI5" i="79" s="1"/>
  <c r="U7" i="79"/>
  <c r="AI7" i="79" s="1"/>
  <c r="R8" i="79"/>
  <c r="AF8" i="79" s="1"/>
  <c r="V8" i="79"/>
  <c r="AJ8" i="79" s="1"/>
  <c r="R9" i="79"/>
  <c r="AF9" i="79" s="1"/>
  <c r="R6" i="79"/>
  <c r="AF6" i="79" s="1"/>
  <c r="R3" i="79"/>
  <c r="V9" i="79"/>
  <c r="AJ9" i="79" s="1"/>
  <c r="V6" i="79"/>
  <c r="AJ6" i="79" s="1"/>
  <c r="V3" i="79"/>
  <c r="P11" i="79"/>
  <c r="T11" i="79"/>
  <c r="T8" i="79"/>
  <c r="V11" i="79"/>
  <c r="AJ11" i="79" s="1"/>
  <c r="S12" i="79"/>
  <c r="AG12" i="79" s="1"/>
  <c r="P13" i="79"/>
  <c r="T13" i="79"/>
  <c r="T12" i="79"/>
  <c r="V13" i="79"/>
  <c r="AJ13" i="79" s="1"/>
  <c r="R15" i="79"/>
  <c r="AF15" i="79" s="1"/>
  <c r="R14" i="79"/>
  <c r="AF14" i="79" s="1"/>
  <c r="R10" i="79"/>
  <c r="AF10" i="79" s="1"/>
  <c r="V15" i="79"/>
  <c r="AJ15" i="79" s="1"/>
  <c r="V14" i="79"/>
  <c r="AJ14" i="79" s="1"/>
  <c r="V10" i="79"/>
  <c r="AJ10" i="79" s="1"/>
  <c r="R17" i="79"/>
  <c r="AF17" i="79" s="1"/>
  <c r="V19" i="79"/>
  <c r="AJ19" i="79" s="1"/>
  <c r="Y3" i="79"/>
  <c r="AC3" i="79"/>
  <c r="U21" i="79"/>
  <c r="AI21" i="79" s="1"/>
  <c r="U22" i="79"/>
  <c r="AI22" i="79" s="1"/>
  <c r="S31" i="79"/>
  <c r="L31" i="79"/>
  <c r="S33" i="79"/>
  <c r="AG33" i="79" s="1"/>
  <c r="AA14" i="71"/>
  <c r="AA11" i="71"/>
  <c r="AA18" i="71"/>
  <c r="AA15" i="71"/>
  <c r="AA22" i="71"/>
  <c r="AA19" i="71"/>
  <c r="B20" i="71"/>
  <c r="U3" i="79"/>
  <c r="K3" i="79"/>
  <c r="O3" i="79"/>
  <c r="S6" i="79"/>
  <c r="AG6" i="79" s="1"/>
  <c r="S3" i="79"/>
  <c r="S5" i="79"/>
  <c r="AG5" i="79" s="1"/>
  <c r="S9" i="79"/>
  <c r="AG9" i="79" s="1"/>
  <c r="AH9" i="79"/>
  <c r="U11" i="79"/>
  <c r="AI11" i="79" s="1"/>
  <c r="U12" i="79"/>
  <c r="AI12" i="79" s="1"/>
  <c r="U9" i="79"/>
  <c r="AI9" i="79" s="1"/>
  <c r="U13" i="79"/>
  <c r="AI13" i="79" s="1"/>
  <c r="S15" i="79"/>
  <c r="AG15" i="79" s="1"/>
  <c r="S16" i="79"/>
  <c r="AG16" i="79" s="1"/>
  <c r="P17" i="79"/>
  <c r="T17" i="79"/>
  <c r="T16" i="79"/>
  <c r="S18" i="79"/>
  <c r="AG18" i="79" s="1"/>
  <c r="R22" i="79"/>
  <c r="AF22" i="79" s="1"/>
  <c r="R23" i="79"/>
  <c r="AF23" i="79" s="1"/>
  <c r="R21" i="79"/>
  <c r="AF21" i="79" s="1"/>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4" i="79"/>
  <c r="AI34" i="79" s="1"/>
  <c r="U36" i="79"/>
  <c r="AI36" i="79" s="1"/>
  <c r="U38" i="79"/>
  <c r="AI38" i="79" s="1"/>
  <c r="P39" i="79"/>
  <c r="T39" i="79"/>
  <c r="M31" i="79"/>
  <c r="P31" i="79" s="1"/>
  <c r="T35" i="79"/>
  <c r="U45" i="79"/>
  <c r="AI45" i="79" s="1"/>
  <c r="R20" i="79"/>
  <c r="AF20" i="79" s="1"/>
  <c r="V20" i="79"/>
  <c r="AJ20" i="79" s="1"/>
  <c r="T33" i="79"/>
  <c r="AB31" i="79"/>
  <c r="AD36" i="79"/>
  <c r="T37" i="79"/>
  <c r="T38" i="79"/>
  <c r="U39" i="79"/>
  <c r="AI39" i="79" s="1"/>
  <c r="AH42" i="79"/>
  <c r="W42" i="79"/>
  <c r="AK42" i="79" s="1"/>
  <c r="U44" i="79"/>
  <c r="AI44" i="79" s="1"/>
  <c r="AD46" i="79"/>
  <c r="T51" i="79"/>
  <c r="P51" i="79"/>
  <c r="X13" i="71"/>
  <c r="X17" i="71"/>
  <c r="C30" i="71"/>
  <c r="Y29" i="71"/>
  <c r="Z29" i="71" s="1"/>
  <c r="Y25" i="71"/>
  <c r="Z25" i="71" s="1"/>
  <c r="Y12" i="71"/>
  <c r="Z12" i="71" s="1"/>
  <c r="Y9" i="71"/>
  <c r="Z9" i="71" s="1"/>
  <c r="C44" i="71"/>
  <c r="D43" i="71"/>
  <c r="C63" i="71"/>
  <c r="D62" i="71"/>
  <c r="C5" i="11"/>
  <c r="N3" i="79"/>
  <c r="U33" i="79"/>
  <c r="AI33" i="79" s="1"/>
  <c r="T34" i="79"/>
  <c r="S35" i="79"/>
  <c r="AG35" i="79" s="1"/>
  <c r="U37" i="79"/>
  <c r="AI37" i="79" s="1"/>
  <c r="AD39" i="79"/>
  <c r="U41" i="79"/>
  <c r="AI41" i="79" s="1"/>
  <c r="U43" i="79"/>
  <c r="AI43" i="79" s="1"/>
  <c r="AD48" i="79"/>
  <c r="T49" i="79"/>
  <c r="T50" i="79"/>
  <c r="Y3" i="71"/>
  <c r="Z3" i="71" s="1"/>
  <c r="AA12" i="71"/>
  <c r="AB15" i="71"/>
  <c r="AB12" i="71"/>
  <c r="AB11" i="71"/>
  <c r="AB3" i="71"/>
  <c r="AB19" i="71"/>
  <c r="AB16" i="71"/>
  <c r="AB23" i="71"/>
  <c r="AB20" i="71"/>
  <c r="T18" i="79"/>
  <c r="U19" i="79"/>
  <c r="AI19" i="79" s="1"/>
  <c r="T19" i="79"/>
  <c r="T22" i="79"/>
  <c r="T23" i="79"/>
  <c r="U31" i="79"/>
  <c r="N31" i="79"/>
  <c r="AD38" i="79"/>
  <c r="S39" i="79"/>
  <c r="AG39" i="79" s="1"/>
  <c r="U40" i="79"/>
  <c r="AI40" i="79" s="1"/>
  <c r="T43" i="79"/>
  <c r="T45" i="79"/>
  <c r="T46" i="79"/>
  <c r="AA10" i="71"/>
  <c r="T36" i="79"/>
  <c r="T40" i="79"/>
  <c r="T44" i="79"/>
  <c r="T48" i="79"/>
  <c r="AA3" i="71"/>
  <c r="X9" i="71"/>
  <c r="AB10" i="71"/>
  <c r="Y11" i="71"/>
  <c r="Z11" i="71" s="1"/>
  <c r="AB14" i="71"/>
  <c r="X15" i="71"/>
  <c r="Y16" i="71"/>
  <c r="Z16" i="71" s="1"/>
  <c r="AB18" i="71"/>
  <c r="X19" i="71"/>
  <c r="Y20" i="71"/>
  <c r="Z20" i="71" s="1"/>
  <c r="AB22" i="71"/>
  <c r="AA32" i="71"/>
  <c r="AA34" i="71"/>
  <c r="C67" i="71"/>
  <c r="T68" i="71"/>
  <c r="O68" i="71"/>
  <c r="D68" i="71"/>
  <c r="X10" i="71"/>
  <c r="AA13" i="71"/>
  <c r="X14" i="71"/>
  <c r="Y15" i="71"/>
  <c r="Z15" i="71" s="1"/>
  <c r="AA16" i="71"/>
  <c r="AA17" i="71"/>
  <c r="X18" i="71"/>
  <c r="Y19" i="71"/>
  <c r="Z19" i="71" s="1"/>
  <c r="AA20" i="71"/>
  <c r="AA21" i="71"/>
  <c r="Y23" i="71"/>
  <c r="Z23" i="71" s="1"/>
  <c r="S24" i="71"/>
  <c r="Y26" i="71"/>
  <c r="Z26" i="71" s="1"/>
  <c r="AA27" i="71"/>
  <c r="AA9" i="71"/>
  <c r="Y10" i="71"/>
  <c r="Z10" i="71" s="1"/>
  <c r="AB13" i="71"/>
  <c r="Y14" i="71"/>
  <c r="Z14" i="71" s="1"/>
  <c r="AB17" i="71"/>
  <c r="Y18" i="71"/>
  <c r="Z18" i="71" s="1"/>
  <c r="AB21" i="71"/>
  <c r="Y22" i="71"/>
  <c r="Z22" i="71" s="1"/>
  <c r="T24" i="71"/>
  <c r="D24" i="71"/>
  <c r="U24" i="71" s="1"/>
  <c r="C23" i="71"/>
  <c r="Y24" i="71"/>
  <c r="Z24" i="71" s="1"/>
  <c r="X24" i="71"/>
  <c r="AA26" i="71"/>
  <c r="AB35" i="71"/>
  <c r="AB32" i="71"/>
  <c r="C79" i="71"/>
  <c r="T80" i="71"/>
  <c r="D80" i="71"/>
  <c r="Y27" i="71"/>
  <c r="Z27" i="71" s="1"/>
  <c r="AA29" i="71"/>
  <c r="X30" i="71"/>
  <c r="D34" i="71"/>
  <c r="C35" i="71"/>
  <c r="E35" i="71"/>
  <c r="E36" i="71" s="1"/>
  <c r="U36" i="71" s="1"/>
  <c r="AB34" i="71"/>
  <c r="X35" i="71"/>
  <c r="AA36" i="71"/>
  <c r="AA38" i="71"/>
  <c r="C51" i="71"/>
  <c r="D50" i="71"/>
  <c r="E55" i="71"/>
  <c r="E56" i="71" s="1"/>
  <c r="U56" i="71" s="1"/>
  <c r="C83" i="71"/>
  <c r="D84" i="71"/>
  <c r="C87" i="71"/>
  <c r="D88" i="71"/>
  <c r="C26" i="71"/>
  <c r="D26" i="71" s="1"/>
  <c r="T28" i="71"/>
  <c r="D28" i="71"/>
  <c r="U28" i="71" s="1"/>
  <c r="Y28" i="71"/>
  <c r="Z28" i="71" s="1"/>
  <c r="AB29" i="71"/>
  <c r="Y30" i="71"/>
  <c r="Z30" i="71" s="1"/>
  <c r="AA33" i="71"/>
  <c r="X34" i="71"/>
  <c r="AB36" i="71"/>
  <c r="D38" i="71"/>
  <c r="C39" i="71"/>
  <c r="E39" i="71"/>
  <c r="E40" i="71" s="1"/>
  <c r="U40" i="71" s="1"/>
  <c r="AB38" i="71"/>
  <c r="C55" i="71"/>
  <c r="D54" i="71"/>
  <c r="E59" i="71"/>
  <c r="E60" i="71" s="1"/>
  <c r="U60" i="71" s="1"/>
  <c r="C71" i="71"/>
  <c r="T72" i="71"/>
  <c r="D72" i="71"/>
  <c r="E23" i="71"/>
  <c r="E22" i="71" s="1"/>
  <c r="E21" i="71" s="1"/>
  <c r="E20" i="71" s="1"/>
  <c r="AB27" i="71"/>
  <c r="X28" i="71"/>
  <c r="X29" i="71"/>
  <c r="AA28" i="71"/>
  <c r="AA30" i="71"/>
  <c r="AB31" i="71"/>
  <c r="AB33" i="71"/>
  <c r="Y34" i="71"/>
  <c r="Z34" i="71" s="1"/>
  <c r="AA37" i="71"/>
  <c r="C59" i="71"/>
  <c r="D58" i="71"/>
  <c r="E63" i="71"/>
  <c r="E64" i="71" s="1"/>
  <c r="U64" i="71" s="1"/>
  <c r="C75" i="71"/>
  <c r="T76" i="71"/>
  <c r="D76" i="71"/>
  <c r="B30" i="71"/>
  <c r="B31" i="71" s="1"/>
  <c r="B32" i="71" s="1"/>
  <c r="S32" i="71" s="1"/>
  <c r="F30" i="71"/>
  <c r="F31" i="71" s="1"/>
  <c r="F32" i="71" s="1"/>
  <c r="V32" i="71" s="1"/>
  <c r="B34" i="71"/>
  <c r="B35" i="71" s="1"/>
  <c r="B36" i="71" s="1"/>
  <c r="S36" i="71" s="1"/>
  <c r="F34" i="71"/>
  <c r="F35" i="71" s="1"/>
  <c r="F36" i="71" s="1"/>
  <c r="V36" i="71" s="1"/>
  <c r="B38" i="71"/>
  <c r="B39" i="71" s="1"/>
  <c r="B40" i="71" s="1"/>
  <c r="S40" i="71" s="1"/>
  <c r="F38" i="71"/>
  <c r="F39" i="71" s="1"/>
  <c r="F40" i="71" s="1"/>
  <c r="V40" i="71" s="1"/>
  <c r="P68" i="71"/>
  <c r="Q68" i="71"/>
  <c r="AR8" i="1"/>
  <c r="AR9" i="1"/>
  <c r="AR7" i="1"/>
  <c r="D43" i="80"/>
  <c r="D44" i="80" s="1"/>
  <c r="AL13" i="3"/>
  <c r="AC13" i="3" s="1"/>
  <c r="AC5" i="3" s="1"/>
  <c r="O5" i="3"/>
  <c r="T9" i="1"/>
  <c r="AQ9" i="1"/>
  <c r="T11" i="1"/>
  <c r="AQ11" i="1"/>
  <c r="T13" i="1"/>
  <c r="AQ13" i="1"/>
  <c r="L27" i="6"/>
  <c r="C36" i="69"/>
  <c r="T7" i="1"/>
  <c r="AQ7" i="1"/>
  <c r="F14" i="80"/>
  <c r="I18" i="80" s="1"/>
  <c r="I17" i="80" s="1"/>
  <c r="H17" i="80"/>
  <c r="BD13" i="3"/>
  <c r="BD5" i="3" s="1"/>
  <c r="H13" i="3"/>
  <c r="BA14" i="3"/>
  <c r="AZ14" i="3" s="1"/>
  <c r="M5" i="3"/>
  <c r="AL5" i="3"/>
  <c r="BB5" i="3"/>
  <c r="F19" i="6"/>
  <c r="G19" i="6"/>
  <c r="AR10" i="1"/>
  <c r="AQ10" i="1"/>
  <c r="T10" i="1"/>
  <c r="D19" i="12"/>
  <c r="C19" i="12" s="1"/>
  <c r="D9" i="11"/>
  <c r="C9" i="11" s="1"/>
  <c r="D9" i="69"/>
  <c r="C9" i="69" s="1"/>
  <c r="O16" i="1"/>
  <c r="T8" i="1"/>
  <c r="AQ8" i="1"/>
  <c r="T12" i="1"/>
  <c r="AQ12" i="1"/>
  <c r="B3" i="35"/>
  <c r="B3" i="36"/>
  <c r="P16" i="1"/>
  <c r="C11" i="12" s="1"/>
  <c r="C15" i="12" s="1"/>
  <c r="C36" i="11"/>
  <c r="B11" i="49"/>
  <c r="D11" i="49" s="1"/>
  <c r="B4" i="49"/>
  <c r="D4" i="49" s="1"/>
  <c r="B8" i="49"/>
  <c r="D8" i="49" s="1"/>
  <c r="B5" i="49"/>
  <c r="D5" i="49" s="1"/>
  <c r="B9" i="49"/>
  <c r="D9" i="49" s="1"/>
  <c r="B13" i="49"/>
  <c r="D13" i="49" s="1"/>
  <c r="B7" i="49"/>
  <c r="D7" i="49" s="1"/>
  <c r="B12" i="49"/>
  <c r="D12" i="49" s="1"/>
  <c r="B6" i="49"/>
  <c r="D6" i="49" s="1"/>
  <c r="B10" i="49"/>
  <c r="D10" i="49" s="1"/>
  <c r="B14" i="49"/>
  <c r="D14" i="49" s="1"/>
  <c r="B9" i="70"/>
  <c r="B13" i="70"/>
  <c r="B8" i="70"/>
  <c r="B12" i="70"/>
  <c r="B7" i="70"/>
  <c r="B11" i="70"/>
  <c r="B10" i="70"/>
  <c r="B20" i="31"/>
  <c r="B21" i="31" s="1"/>
  <c r="I1" i="73"/>
  <c r="B39" i="1" s="1"/>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94" i="9"/>
  <c r="H110" i="9"/>
  <c r="F34" i="68"/>
  <c r="G1" i="73"/>
  <c r="BG138" i="81" l="1"/>
  <c r="AT138" i="81"/>
  <c r="BP405" i="81"/>
  <c r="AT405" i="81"/>
  <c r="BG405" i="81"/>
  <c r="AS456" i="81"/>
  <c r="AS440" i="81"/>
  <c r="BG421" i="81"/>
  <c r="AU61" i="81"/>
  <c r="BG89" i="81"/>
  <c r="BG213" i="81"/>
  <c r="BG186" i="81"/>
  <c r="BH17" i="81"/>
  <c r="BH20" i="81"/>
  <c r="AT424" i="81"/>
  <c r="BP424" i="81" s="1"/>
  <c r="BG424" i="81"/>
  <c r="BP40" i="81"/>
  <c r="BG40" i="81"/>
  <c r="BG75" i="81"/>
  <c r="AT75" i="81"/>
  <c r="BG107" i="81"/>
  <c r="BG83" i="81"/>
  <c r="BG141" i="81"/>
  <c r="BG57" i="81"/>
  <c r="BG77" i="81"/>
  <c r="BG53" i="81"/>
  <c r="BG275" i="81"/>
  <c r="BG81" i="81"/>
  <c r="BG69" i="81"/>
  <c r="BG45" i="81"/>
  <c r="BH6" i="81"/>
  <c r="BH34" i="81"/>
  <c r="BG21" i="81"/>
  <c r="BG23" i="81"/>
  <c r="BG20" i="81"/>
  <c r="BG49" i="81"/>
  <c r="BG93" i="81"/>
  <c r="BG65" i="81"/>
  <c r="BH4" i="81"/>
  <c r="BG404" i="81"/>
  <c r="BP41" i="81"/>
  <c r="BG113" i="81"/>
  <c r="BG61" i="81"/>
  <c r="BG4" i="81"/>
  <c r="BG32" i="81"/>
  <c r="AV272" i="81"/>
  <c r="BP272" i="81"/>
  <c r="AV295" i="81"/>
  <c r="BJ295" i="81" s="1"/>
  <c r="AV343" i="81"/>
  <c r="BS343" i="81"/>
  <c r="AV306" i="81"/>
  <c r="AV338" i="81"/>
  <c r="AV305" i="81"/>
  <c r="AV337" i="81"/>
  <c r="AV376" i="81"/>
  <c r="AV415" i="81"/>
  <c r="BG428" i="81"/>
  <c r="AT428" i="81"/>
  <c r="AT301" i="81"/>
  <c r="BH301" i="81" s="1"/>
  <c r="BG301" i="81"/>
  <c r="AT294" i="81"/>
  <c r="BG144" i="81"/>
  <c r="AT144" i="81"/>
  <c r="BG136" i="81"/>
  <c r="BP136" i="81"/>
  <c r="AT136" i="81"/>
  <c r="BH136" i="81" s="1"/>
  <c r="AT108" i="81"/>
  <c r="BH108" i="81" s="1"/>
  <c r="BG108" i="81"/>
  <c r="BG64" i="81"/>
  <c r="AT64" i="81"/>
  <c r="BH64" i="81" s="1"/>
  <c r="AT37" i="81"/>
  <c r="AT29" i="81"/>
  <c r="BP29" i="81"/>
  <c r="BJ50" i="81"/>
  <c r="AV50" i="81"/>
  <c r="AV66" i="81"/>
  <c r="AV82" i="81"/>
  <c r="BJ82" i="81" s="1"/>
  <c r="AV98" i="81"/>
  <c r="BJ88" i="81"/>
  <c r="AV88" i="81"/>
  <c r="AV104" i="81"/>
  <c r="AV229" i="81"/>
  <c r="BJ229" i="81" s="1"/>
  <c r="AV121" i="81"/>
  <c r="AV192" i="81"/>
  <c r="BJ192" i="81" s="1"/>
  <c r="AV233" i="81"/>
  <c r="BS233" i="81"/>
  <c r="AV249" i="81"/>
  <c r="BJ249" i="81" s="1"/>
  <c r="AV265" i="81"/>
  <c r="AV223" i="81"/>
  <c r="BJ223" i="81" s="1"/>
  <c r="AV280" i="81"/>
  <c r="AV278" i="81"/>
  <c r="AV313" i="81"/>
  <c r="AV329" i="81"/>
  <c r="BS329" i="81"/>
  <c r="BJ345" i="81"/>
  <c r="BS345" i="81"/>
  <c r="AV345" i="81"/>
  <c r="AV361" i="81"/>
  <c r="AV316" i="81"/>
  <c r="AV332" i="81"/>
  <c r="AV348" i="81"/>
  <c r="BS348" i="81"/>
  <c r="BJ370" i="81"/>
  <c r="AV370" i="81"/>
  <c r="AV386" i="81"/>
  <c r="AV408" i="81"/>
  <c r="BJ408" i="81" s="1"/>
  <c r="AV381" i="81"/>
  <c r="AV397" i="81"/>
  <c r="BJ397" i="81" s="1"/>
  <c r="AV368" i="81"/>
  <c r="BJ384" i="81"/>
  <c r="AV384" i="81"/>
  <c r="AV429" i="81"/>
  <c r="AV450" i="81"/>
  <c r="BJ450" i="81" s="1"/>
  <c r="AV463" i="81"/>
  <c r="AT456" i="81"/>
  <c r="BH456" i="81" s="1"/>
  <c r="AT440" i="81"/>
  <c r="BP422" i="81"/>
  <c r="AT422" i="81"/>
  <c r="BH422" i="81" s="1"/>
  <c r="AT416" i="81"/>
  <c r="BG416" i="81"/>
  <c r="AT365" i="81"/>
  <c r="BP365" i="81"/>
  <c r="BG365" i="81"/>
  <c r="AT288" i="81"/>
  <c r="AT273" i="81"/>
  <c r="BH273" i="81" s="1"/>
  <c r="BG288" i="81"/>
  <c r="BP193" i="81"/>
  <c r="AT193" i="81"/>
  <c r="BH193" i="81" s="1"/>
  <c r="BG193" i="81"/>
  <c r="BP217" i="81"/>
  <c r="AT217" i="81"/>
  <c r="BH217" i="81" s="1"/>
  <c r="BG217" i="81"/>
  <c r="AT201" i="81"/>
  <c r="BG201" i="81"/>
  <c r="BG137" i="81"/>
  <c r="AT137" i="81"/>
  <c r="BH124" i="81"/>
  <c r="AT124" i="81"/>
  <c r="BG124" i="81"/>
  <c r="AT112" i="81"/>
  <c r="BH112" i="81" s="1"/>
  <c r="BG112" i="81"/>
  <c r="BP112" i="81"/>
  <c r="AT60" i="81"/>
  <c r="BH60" i="81" s="1"/>
  <c r="BG60" i="81"/>
  <c r="BH56" i="81"/>
  <c r="BP56" i="81"/>
  <c r="BG56" i="81"/>
  <c r="AT56" i="81"/>
  <c r="BG52" i="81"/>
  <c r="AT52" i="81"/>
  <c r="BH52" i="81" s="1"/>
  <c r="AV14" i="81"/>
  <c r="BP6" i="81"/>
  <c r="AV54" i="81"/>
  <c r="BJ70" i="81"/>
  <c r="AV70" i="81"/>
  <c r="AV86" i="81"/>
  <c r="AV102" i="81"/>
  <c r="BJ102" i="81" s="1"/>
  <c r="BS41" i="81"/>
  <c r="AV41" i="81"/>
  <c r="AV89" i="81"/>
  <c r="BJ89" i="81" s="1"/>
  <c r="AV105" i="81"/>
  <c r="BP92" i="81"/>
  <c r="AV92" i="81"/>
  <c r="AV116" i="81"/>
  <c r="BJ116" i="81" s="1"/>
  <c r="AV51" i="81"/>
  <c r="BP51" i="81"/>
  <c r="AV67" i="81"/>
  <c r="BJ67" i="81" s="1"/>
  <c r="AV83" i="81"/>
  <c r="BJ300" i="81"/>
  <c r="AV300" i="81"/>
  <c r="AV234" i="81"/>
  <c r="AV250" i="81"/>
  <c r="BJ250" i="81" s="1"/>
  <c r="AV268" i="81"/>
  <c r="AV284" i="81"/>
  <c r="BJ284" i="81" s="1"/>
  <c r="AV281" i="81"/>
  <c r="BS281" i="81"/>
  <c r="AV297" i="81"/>
  <c r="BJ317" i="81"/>
  <c r="AV317" i="81"/>
  <c r="AV333" i="81"/>
  <c r="AV349" i="81"/>
  <c r="BJ349" i="81" s="1"/>
  <c r="AV304" i="81"/>
  <c r="AV320" i="81"/>
  <c r="BJ320" i="81" s="1"/>
  <c r="BS320" i="81"/>
  <c r="AV336" i="81"/>
  <c r="AV352" i="81"/>
  <c r="BJ352" i="81" s="1"/>
  <c r="AV399" i="81"/>
  <c r="BJ402" i="81"/>
  <c r="AV402" i="81"/>
  <c r="BP402" i="81"/>
  <c r="AV401" i="81"/>
  <c r="BJ401" i="81" s="1"/>
  <c r="AV438" i="81"/>
  <c r="AV454" i="81"/>
  <c r="BJ454" i="81" s="1"/>
  <c r="AV445" i="81"/>
  <c r="BJ461" i="81"/>
  <c r="AV461" i="81"/>
  <c r="AT48" i="81"/>
  <c r="BG48" i="81"/>
  <c r="BP44" i="81"/>
  <c r="AT44" i="81"/>
  <c r="BG44" i="81"/>
  <c r="AV239" i="81"/>
  <c r="AT366" i="81"/>
  <c r="BH366" i="81" s="1"/>
  <c r="BG366" i="81"/>
  <c r="AT274" i="81"/>
  <c r="BG274" i="81"/>
  <c r="BP274" i="81"/>
  <c r="BH296" i="81"/>
  <c r="BP296" i="81"/>
  <c r="AT296" i="81"/>
  <c r="BG296" i="81"/>
  <c r="AT213" i="81"/>
  <c r="BP213" i="81"/>
  <c r="BP227" i="81"/>
  <c r="AT227" i="81"/>
  <c r="AT140" i="81"/>
  <c r="BH140" i="81" s="1"/>
  <c r="BG140" i="81"/>
  <c r="AT132" i="81"/>
  <c r="BH132" i="81" s="1"/>
  <c r="BG132" i="81"/>
  <c r="BP132" i="81"/>
  <c r="AT33" i="81"/>
  <c r="BH33" i="81" s="1"/>
  <c r="BP33" i="81"/>
  <c r="BJ27" i="81"/>
  <c r="BP27" i="81"/>
  <c r="AV27" i="81"/>
  <c r="BJ45" i="81"/>
  <c r="AV45" i="81"/>
  <c r="AV93" i="81"/>
  <c r="AV129" i="81"/>
  <c r="BJ129" i="81" s="1"/>
  <c r="AV149" i="81"/>
  <c r="BP149" i="81"/>
  <c r="AV166" i="81"/>
  <c r="BJ166" i="81" s="1"/>
  <c r="AV182" i="81"/>
  <c r="AV241" i="81"/>
  <c r="BJ241" i="81" s="1"/>
  <c r="AV257" i="81"/>
  <c r="BJ187" i="81"/>
  <c r="AV187" i="81"/>
  <c r="AV255" i="81"/>
  <c r="AV206" i="81"/>
  <c r="BJ206" i="81" s="1"/>
  <c r="AV238" i="81"/>
  <c r="AV254" i="81"/>
  <c r="BJ254" i="81" s="1"/>
  <c r="AV279" i="81"/>
  <c r="AV311" i="81"/>
  <c r="BJ311" i="81" s="1"/>
  <c r="AV327" i="81"/>
  <c r="BJ322" i="81"/>
  <c r="AV322" i="81"/>
  <c r="BS354" i="81"/>
  <c r="AV354" i="81"/>
  <c r="BJ354" i="81" s="1"/>
  <c r="AV321" i="81"/>
  <c r="AV353" i="81"/>
  <c r="BJ353" i="81" s="1"/>
  <c r="AV392" i="81"/>
  <c r="AV404" i="81"/>
  <c r="BJ404" i="81" s="1"/>
  <c r="AV433" i="81"/>
  <c r="BS433" i="81"/>
  <c r="AV460" i="81"/>
  <c r="BJ460" i="81" s="1"/>
  <c r="AV449" i="81"/>
  <c r="BJ465" i="81"/>
  <c r="AV465" i="81"/>
  <c r="D5" i="43"/>
  <c r="C5" i="43"/>
  <c r="BP426" i="81"/>
  <c r="AT426" i="81"/>
  <c r="AT410" i="81"/>
  <c r="BH410" i="81" s="1"/>
  <c r="AT277" i="81"/>
  <c r="BG277" i="81"/>
  <c r="AT269" i="81"/>
  <c r="BG269" i="81"/>
  <c r="AT197" i="81"/>
  <c r="BH197" i="81" s="1"/>
  <c r="AT219" i="81"/>
  <c r="BH122" i="81"/>
  <c r="AT122" i="81"/>
  <c r="AT130" i="81"/>
  <c r="BG197" i="81"/>
  <c r="AT76" i="81"/>
  <c r="BS76" i="81"/>
  <c r="BG76" i="81"/>
  <c r="BG72" i="81"/>
  <c r="AT72" i="81"/>
  <c r="AT68" i="81"/>
  <c r="BH68" i="81" s="1"/>
  <c r="BG68" i="81"/>
  <c r="BJ49" i="81"/>
  <c r="AV49" i="81"/>
  <c r="BP81" i="81"/>
  <c r="AV81" i="81"/>
  <c r="BJ81" i="81" s="1"/>
  <c r="AV97" i="81"/>
  <c r="AV107" i="81"/>
  <c r="BJ107" i="81" s="1"/>
  <c r="AV209" i="81"/>
  <c r="AV245" i="81"/>
  <c r="BJ245" i="81" s="1"/>
  <c r="AV261" i="81"/>
  <c r="BS261" i="81"/>
  <c r="AV224" i="81"/>
  <c r="BJ224" i="81" s="1"/>
  <c r="BP224" i="81"/>
  <c r="BJ240" i="81"/>
  <c r="AV240" i="81"/>
  <c r="AV256" i="81"/>
  <c r="AV191" i="81"/>
  <c r="BJ191" i="81" s="1"/>
  <c r="AV207" i="81"/>
  <c r="AV290" i="81"/>
  <c r="BJ290" i="81" s="1"/>
  <c r="AV310" i="81"/>
  <c r="BJ326" i="81"/>
  <c r="AV326" i="81"/>
  <c r="BS342" i="81"/>
  <c r="AV342" i="81"/>
  <c r="BJ360" i="81"/>
  <c r="AV360" i="81"/>
  <c r="AV289" i="81"/>
  <c r="BJ289" i="81" s="1"/>
  <c r="BS289" i="81"/>
  <c r="AV312" i="81"/>
  <c r="AV328" i="81"/>
  <c r="BJ328" i="81" s="1"/>
  <c r="AV344" i="81"/>
  <c r="AV382" i="81"/>
  <c r="BJ382" i="81" s="1"/>
  <c r="AV400" i="81"/>
  <c r="BS400" i="81"/>
  <c r="AV377" i="81"/>
  <c r="BJ377" i="81" s="1"/>
  <c r="AV393" i="81"/>
  <c r="BJ393" i="81" s="1"/>
  <c r="AV364" i="81"/>
  <c r="BJ364" i="81" s="1"/>
  <c r="AV380" i="81"/>
  <c r="BJ380" i="81" s="1"/>
  <c r="AV396" i="81"/>
  <c r="BJ396" i="81" s="1"/>
  <c r="AV418" i="81"/>
  <c r="AV425" i="81"/>
  <c r="BJ425" i="81" s="1"/>
  <c r="AT46" i="81"/>
  <c r="BP46" i="81"/>
  <c r="C74" i="71"/>
  <c r="D74" i="71" s="1"/>
  <c r="D75" i="71"/>
  <c r="B19" i="71"/>
  <c r="B18" i="71" s="1"/>
  <c r="B17" i="71" s="1"/>
  <c r="B16" i="71" s="1"/>
  <c r="S20" i="71"/>
  <c r="W13" i="79"/>
  <c r="AK13" i="79" s="1"/>
  <c r="AH13" i="79"/>
  <c r="U26" i="35"/>
  <c r="AB26" i="35"/>
  <c r="AA11" i="36"/>
  <c r="S11" i="36"/>
  <c r="W12" i="35"/>
  <c r="AC12" i="35"/>
  <c r="BU455" i="81"/>
  <c r="BS455" i="81"/>
  <c r="BU443" i="81"/>
  <c r="BU417" i="81"/>
  <c r="BX408" i="81"/>
  <c r="BU394" i="81"/>
  <c r="BU386" i="81"/>
  <c r="BU378" i="81"/>
  <c r="BU370" i="81"/>
  <c r="BU362" i="81"/>
  <c r="BS362" i="81"/>
  <c r="BU371" i="81"/>
  <c r="BX387" i="81"/>
  <c r="BU358" i="81"/>
  <c r="BX395" i="81"/>
  <c r="CA381" i="81"/>
  <c r="BX347" i="81"/>
  <c r="BX314" i="81"/>
  <c r="BV314" i="81"/>
  <c r="BV300" i="81"/>
  <c r="BX300" i="81"/>
  <c r="CA297" i="81"/>
  <c r="CB297" i="81" s="1"/>
  <c r="BY297" i="81"/>
  <c r="BX291" i="81"/>
  <c r="BU270" i="81"/>
  <c r="BS270" i="81"/>
  <c r="BX355" i="81"/>
  <c r="BX349" i="81"/>
  <c r="CA316" i="81"/>
  <c r="CA308" i="81"/>
  <c r="BX299" i="81"/>
  <c r="BX288" i="81"/>
  <c r="BX280" i="81"/>
  <c r="BX353" i="81"/>
  <c r="BX335" i="81"/>
  <c r="BX329" i="81"/>
  <c r="BX296" i="81"/>
  <c r="BX287" i="81"/>
  <c r="BX323" i="81"/>
  <c r="BX310" i="81"/>
  <c r="BX295" i="81"/>
  <c r="BU290" i="81"/>
  <c r="BU282" i="81"/>
  <c r="BG273" i="81"/>
  <c r="BU266" i="81"/>
  <c r="BX269" i="81"/>
  <c r="BX238" i="81"/>
  <c r="BS219" i="81"/>
  <c r="BU219" i="81"/>
  <c r="BU203" i="81"/>
  <c r="BX258" i="81"/>
  <c r="CA252" i="81"/>
  <c r="CA248" i="81"/>
  <c r="CA244" i="81"/>
  <c r="BX239" i="81"/>
  <c r="BU231" i="81"/>
  <c r="BX263" i="81"/>
  <c r="BX229" i="81"/>
  <c r="CA226" i="81"/>
  <c r="BX213" i="81"/>
  <c r="CA210" i="81"/>
  <c r="BX247" i="81"/>
  <c r="BU223" i="81"/>
  <c r="BX196" i="81"/>
  <c r="BX166" i="81"/>
  <c r="BX158" i="81"/>
  <c r="BX143" i="81"/>
  <c r="BX139" i="81"/>
  <c r="BS126" i="81"/>
  <c r="BU126" i="81"/>
  <c r="BU114" i="81"/>
  <c r="BX108" i="81"/>
  <c r="BX189" i="81"/>
  <c r="BX180" i="81"/>
  <c r="BX163" i="81"/>
  <c r="BX116" i="81"/>
  <c r="BU110" i="81"/>
  <c r="BX183" i="81"/>
  <c r="BX146" i="81"/>
  <c r="BX159" i="81"/>
  <c r="BU138" i="81"/>
  <c r="BU134" i="81"/>
  <c r="BU130" i="81"/>
  <c r="BX104" i="81"/>
  <c r="BX96" i="81"/>
  <c r="BX88" i="81"/>
  <c r="BX80" i="81"/>
  <c r="BX99" i="81"/>
  <c r="CA69" i="81"/>
  <c r="CA53" i="81"/>
  <c r="D52" i="37"/>
  <c r="E52" i="37" s="1"/>
  <c r="F52" i="37" s="1"/>
  <c r="G52" i="37" s="1"/>
  <c r="H52" i="37" s="1"/>
  <c r="I52" i="37" s="1"/>
  <c r="J52" i="37" s="1"/>
  <c r="K52" i="37" s="1"/>
  <c r="L52" i="37" s="1"/>
  <c r="M52" i="37" s="1"/>
  <c r="N52" i="37" s="1"/>
  <c r="O52" i="37" s="1"/>
  <c r="J7" i="37"/>
  <c r="H7" i="37"/>
  <c r="D46" i="36"/>
  <c r="E46" i="36" s="1"/>
  <c r="F46" i="36" s="1"/>
  <c r="G46" i="36" s="1"/>
  <c r="H46" i="36" s="1"/>
  <c r="I46" i="36" s="1"/>
  <c r="J46" i="36" s="1"/>
  <c r="K46" i="36" s="1"/>
  <c r="L46" i="36" s="1"/>
  <c r="M46" i="36" s="1"/>
  <c r="N46" i="36" s="1"/>
  <c r="O46" i="36" s="1"/>
  <c r="F7" i="36"/>
  <c r="BX93" i="81"/>
  <c r="BS70" i="81"/>
  <c r="BU70" i="81"/>
  <c r="BS62" i="81"/>
  <c r="BU62" i="81"/>
  <c r="BS50" i="81"/>
  <c r="BU50" i="81"/>
  <c r="CA49" i="81"/>
  <c r="AU38" i="81"/>
  <c r="BU35" i="81"/>
  <c r="CA33" i="81"/>
  <c r="BH23" i="81"/>
  <c r="BH53" i="81"/>
  <c r="BH61" i="81"/>
  <c r="BH69" i="81"/>
  <c r="BH77" i="81"/>
  <c r="BP85" i="81"/>
  <c r="BP93" i="81"/>
  <c r="BH105" i="81"/>
  <c r="BH119" i="81"/>
  <c r="BG119" i="81"/>
  <c r="BH27" i="81"/>
  <c r="BH88" i="81"/>
  <c r="BH104" i="81"/>
  <c r="BH123" i="81"/>
  <c r="BH99" i="81"/>
  <c r="AS106" i="81"/>
  <c r="BH115" i="81"/>
  <c r="AT25" i="81"/>
  <c r="BH25" i="81" s="1"/>
  <c r="BH42" i="81"/>
  <c r="BH58" i="81"/>
  <c r="BH74" i="81"/>
  <c r="BH90" i="81"/>
  <c r="BH109" i="81"/>
  <c r="BH135" i="81"/>
  <c r="BG135" i="81"/>
  <c r="BH114" i="81"/>
  <c r="BH146" i="81"/>
  <c r="BH162" i="81"/>
  <c r="BH179" i="81"/>
  <c r="BH121" i="81"/>
  <c r="BP174" i="81"/>
  <c r="BH200" i="81"/>
  <c r="BH116" i="81"/>
  <c r="BH148" i="81"/>
  <c r="BH165" i="81"/>
  <c r="BH181" i="81"/>
  <c r="BH196" i="81"/>
  <c r="BH220" i="81"/>
  <c r="BH151" i="81"/>
  <c r="BH159" i="81"/>
  <c r="BH164" i="81"/>
  <c r="BH172" i="81"/>
  <c r="BH184" i="81"/>
  <c r="BP196" i="81"/>
  <c r="BH260" i="81"/>
  <c r="BH203" i="81"/>
  <c r="BH235" i="81"/>
  <c r="BH251" i="81"/>
  <c r="BH266" i="81"/>
  <c r="BH186" i="81"/>
  <c r="BH202" i="81"/>
  <c r="BH218" i="81"/>
  <c r="BH234" i="81"/>
  <c r="BH250" i="81"/>
  <c r="BH268" i="81"/>
  <c r="BH299" i="81"/>
  <c r="BG299" i="81"/>
  <c r="BP229" i="81"/>
  <c r="BH241" i="81"/>
  <c r="BH249" i="81"/>
  <c r="BP268" i="81"/>
  <c r="BH291" i="81"/>
  <c r="BG291" i="81"/>
  <c r="BH290" i="81"/>
  <c r="BH306" i="81"/>
  <c r="BH322" i="81"/>
  <c r="BH338" i="81"/>
  <c r="BH354" i="81"/>
  <c r="BH368" i="81"/>
  <c r="BG368" i="81"/>
  <c r="BH289" i="81"/>
  <c r="BH309" i="81"/>
  <c r="BH317" i="81"/>
  <c r="BH325" i="81"/>
  <c r="BH333" i="81"/>
  <c r="BH341" i="81"/>
  <c r="BH357" i="81"/>
  <c r="BH324" i="81"/>
  <c r="BH332" i="81"/>
  <c r="BH340" i="81"/>
  <c r="BH311" i="81"/>
  <c r="BH323" i="81"/>
  <c r="BH331" i="81"/>
  <c r="BH351" i="81"/>
  <c r="BH361" i="81"/>
  <c r="BH373" i="81"/>
  <c r="BH381" i="81"/>
  <c r="BH389" i="81"/>
  <c r="BH397" i="81"/>
  <c r="BH411" i="81"/>
  <c r="BG411" i="81"/>
  <c r="BH372" i="81"/>
  <c r="BP380" i="81"/>
  <c r="BH392" i="81"/>
  <c r="BH415" i="81"/>
  <c r="BH367" i="81"/>
  <c r="BH383" i="81"/>
  <c r="BH398" i="81"/>
  <c r="BP415" i="81"/>
  <c r="BH362" i="81"/>
  <c r="BH378" i="81"/>
  <c r="BH394" i="81"/>
  <c r="BH406" i="81"/>
  <c r="BH413" i="81"/>
  <c r="BH429" i="81"/>
  <c r="BP404" i="81"/>
  <c r="AS436" i="81"/>
  <c r="BG436" i="81" s="1"/>
  <c r="BH451" i="81"/>
  <c r="BH446" i="81"/>
  <c r="BH462" i="81"/>
  <c r="D126" i="9"/>
  <c r="D19" i="53"/>
  <c r="C24" i="12"/>
  <c r="C13" i="12"/>
  <c r="BG105" i="81"/>
  <c r="BX103" i="81"/>
  <c r="BG99" i="81"/>
  <c r="BG88" i="81"/>
  <c r="BX68" i="81"/>
  <c r="BX67" i="81"/>
  <c r="BV67" i="81"/>
  <c r="BX60" i="81"/>
  <c r="BX59" i="81"/>
  <c r="BV59" i="81"/>
  <c r="BX52" i="81"/>
  <c r="BX51" i="81"/>
  <c r="C48" i="11"/>
  <c r="C30" i="11"/>
  <c r="BP104" i="81"/>
  <c r="BH43" i="81"/>
  <c r="BG37" i="81"/>
  <c r="AT11" i="81"/>
  <c r="AU99" i="81"/>
  <c r="AU141" i="81"/>
  <c r="BI141" i="81" s="1"/>
  <c r="AU128" i="81"/>
  <c r="AU160" i="81"/>
  <c r="AU177" i="81"/>
  <c r="BI177" i="81" s="1"/>
  <c r="AU111" i="81"/>
  <c r="BI111" i="81" s="1"/>
  <c r="AU127" i="81"/>
  <c r="AU143" i="81"/>
  <c r="AU159" i="81"/>
  <c r="BI159" i="81" s="1"/>
  <c r="AU172" i="81"/>
  <c r="BI172" i="81" s="1"/>
  <c r="AU185" i="81"/>
  <c r="AU194" i="81"/>
  <c r="AU138" i="81"/>
  <c r="BI138" i="81" s="1"/>
  <c r="AU154" i="81"/>
  <c r="BI154" i="81" s="1"/>
  <c r="AU171" i="81"/>
  <c r="AU225" i="81"/>
  <c r="AU208" i="81"/>
  <c r="AU359" i="81"/>
  <c r="AU375" i="81"/>
  <c r="AU391" i="81"/>
  <c r="AU443" i="81"/>
  <c r="BS443" i="81" s="1"/>
  <c r="F48" i="68"/>
  <c r="C30" i="68"/>
  <c r="C48" i="68"/>
  <c r="BX9" i="81"/>
  <c r="BJ5" i="81"/>
  <c r="BI10" i="81"/>
  <c r="CA17" i="81"/>
  <c r="B24" i="72"/>
  <c r="D9" i="53"/>
  <c r="B25" i="72" s="1"/>
  <c r="BX16" i="81"/>
  <c r="BX12" i="81"/>
  <c r="CA10" i="81"/>
  <c r="CA5" i="81"/>
  <c r="C77" i="9"/>
  <c r="C74" i="9" s="1"/>
  <c r="C30" i="69"/>
  <c r="S27" i="40"/>
  <c r="AA27" i="40"/>
  <c r="AC9" i="35"/>
  <c r="W9" i="35"/>
  <c r="BX465" i="81"/>
  <c r="CA456" i="81"/>
  <c r="BU422" i="81"/>
  <c r="CA409" i="81"/>
  <c r="AH6" i="1"/>
  <c r="D33" i="43"/>
  <c r="W44" i="79"/>
  <c r="AK44" i="79" s="1"/>
  <c r="AH44" i="79"/>
  <c r="AH23" i="79"/>
  <c r="W23" i="79"/>
  <c r="AK23" i="79" s="1"/>
  <c r="AH18" i="79"/>
  <c r="W18" i="79"/>
  <c r="AK18" i="79" s="1"/>
  <c r="AH49" i="79"/>
  <c r="W49" i="79"/>
  <c r="AK49" i="79" s="1"/>
  <c r="AH11" i="79"/>
  <c r="W11" i="79"/>
  <c r="AK11" i="79" s="1"/>
  <c r="AB39" i="40"/>
  <c r="U39" i="40"/>
  <c r="AC12" i="40"/>
  <c r="W12" i="40"/>
  <c r="U31" i="40"/>
  <c r="AB31" i="40"/>
  <c r="AB14" i="39"/>
  <c r="U14" i="39"/>
  <c r="AA33" i="40"/>
  <c r="S33" i="40"/>
  <c r="AB11" i="36"/>
  <c r="U11" i="36"/>
  <c r="AC36" i="35"/>
  <c r="W36" i="35"/>
  <c r="U47" i="34"/>
  <c r="AB47" i="34"/>
  <c r="AB12" i="35"/>
  <c r="U12" i="35"/>
  <c r="AC34" i="35"/>
  <c r="W34" i="35"/>
  <c r="AC25" i="37"/>
  <c r="W25" i="37"/>
  <c r="AA45" i="33"/>
  <c r="S45" i="33"/>
  <c r="AA29" i="33"/>
  <c r="S29" i="33"/>
  <c r="AC46" i="21"/>
  <c r="W46" i="21"/>
  <c r="BX461" i="81"/>
  <c r="BV461" i="81"/>
  <c r="BS454" i="81"/>
  <c r="BU454" i="81"/>
  <c r="CA444" i="81"/>
  <c r="BS438" i="81"/>
  <c r="BU438" i="81"/>
  <c r="BU435" i="81"/>
  <c r="BU431" i="81"/>
  <c r="E38" i="77"/>
  <c r="E39" i="77" s="1"/>
  <c r="E29" i="77"/>
  <c r="E26" i="77"/>
  <c r="E32" i="77" s="1"/>
  <c r="BX433" i="81"/>
  <c r="BX429" i="81"/>
  <c r="BX404" i="81"/>
  <c r="BU401" i="81"/>
  <c r="BS401" i="81"/>
  <c r="BV434" i="81"/>
  <c r="BX434" i="81"/>
  <c r="BU426" i="81"/>
  <c r="BP410" i="81"/>
  <c r="BX420" i="81"/>
  <c r="BG417" i="81"/>
  <c r="BX392" i="81"/>
  <c r="BX384" i="81"/>
  <c r="BV384" i="81"/>
  <c r="BX376" i="81"/>
  <c r="BX368" i="81"/>
  <c r="CA389" i="81"/>
  <c r="BX379" i="81"/>
  <c r="CA373" i="81"/>
  <c r="BX400" i="81"/>
  <c r="BV369" i="81"/>
  <c r="BX369" i="81"/>
  <c r="BX391" i="81"/>
  <c r="CA385" i="81"/>
  <c r="BX365" i="81"/>
  <c r="BX350" i="81"/>
  <c r="CA332" i="81"/>
  <c r="BX326" i="81"/>
  <c r="BX303" i="81"/>
  <c r="BX331" i="81"/>
  <c r="BX325" i="81"/>
  <c r="BX357" i="81"/>
  <c r="BX338" i="81"/>
  <c r="CA324" i="81"/>
  <c r="BX307" i="81"/>
  <c r="CA356" i="81"/>
  <c r="CA352" i="81"/>
  <c r="BX343" i="81"/>
  <c r="BX337" i="81"/>
  <c r="BX333" i="81"/>
  <c r="BX319" i="81"/>
  <c r="BX276" i="81"/>
  <c r="CA265" i="81"/>
  <c r="CA261" i="81"/>
  <c r="CA257" i="81"/>
  <c r="CA253" i="81"/>
  <c r="CA241" i="81"/>
  <c r="BU218" i="81"/>
  <c r="BU202" i="81"/>
  <c r="BU198" i="81"/>
  <c r="BX262" i="81"/>
  <c r="BX217" i="81"/>
  <c r="CA214" i="81"/>
  <c r="BX201" i="81"/>
  <c r="BX246" i="81"/>
  <c r="BX234" i="81"/>
  <c r="BG226" i="81"/>
  <c r="BX251" i="81"/>
  <c r="CA237" i="81"/>
  <c r="BU222" i="81"/>
  <c r="BS207" i="81"/>
  <c r="BU207" i="81"/>
  <c r="BG190" i="81"/>
  <c r="BX176" i="81"/>
  <c r="BX150" i="81"/>
  <c r="BX135" i="81"/>
  <c r="BX131" i="81"/>
  <c r="BX178" i="81"/>
  <c r="CA169" i="81"/>
  <c r="BX161" i="81"/>
  <c r="BX155" i="81"/>
  <c r="BX127" i="81"/>
  <c r="BU122" i="81"/>
  <c r="CA121" i="81"/>
  <c r="BX172" i="81"/>
  <c r="CA156" i="81"/>
  <c r="BX123" i="81"/>
  <c r="CA117" i="81"/>
  <c r="BX112" i="81"/>
  <c r="BG191" i="81"/>
  <c r="CA173" i="81"/>
  <c r="BX157" i="81"/>
  <c r="BU142" i="81"/>
  <c r="BX120" i="81"/>
  <c r="BU102" i="81"/>
  <c r="BU94" i="81"/>
  <c r="BU86" i="81"/>
  <c r="BS86" i="81"/>
  <c r="BU78" i="81"/>
  <c r="BX83" i="81"/>
  <c r="CA73" i="81"/>
  <c r="BJ65" i="81"/>
  <c r="CA57" i="81"/>
  <c r="BU38" i="81"/>
  <c r="BH36" i="81"/>
  <c r="BJ15" i="81"/>
  <c r="BJ6" i="81"/>
  <c r="BI23" i="81"/>
  <c r="BI41" i="81"/>
  <c r="BI89" i="81"/>
  <c r="BI105" i="81"/>
  <c r="BI129" i="81"/>
  <c r="BI241" i="81"/>
  <c r="BI257" i="81"/>
  <c r="BI280" i="81"/>
  <c r="BI281" i="81"/>
  <c r="BI297" i="81"/>
  <c r="BI313" i="81"/>
  <c r="BI329" i="81"/>
  <c r="BI345" i="81"/>
  <c r="BI312" i="81"/>
  <c r="BI328" i="81"/>
  <c r="BI344" i="81"/>
  <c r="BI376" i="81"/>
  <c r="BI392" i="81"/>
  <c r="BI425" i="81"/>
  <c r="BI463" i="81"/>
  <c r="J7" i="21"/>
  <c r="D58" i="21"/>
  <c r="E58" i="21" s="1"/>
  <c r="F58" i="21" s="1"/>
  <c r="G58" i="21" s="1"/>
  <c r="H58" i="21" s="1"/>
  <c r="I58" i="21" s="1"/>
  <c r="J58" i="21" s="1"/>
  <c r="K58" i="21" s="1"/>
  <c r="L58" i="21" s="1"/>
  <c r="M58" i="21" s="1"/>
  <c r="N58" i="21" s="1"/>
  <c r="O58" i="21" s="1"/>
  <c r="F7" i="21"/>
  <c r="F7" i="35"/>
  <c r="D48" i="35"/>
  <c r="E48" i="35" s="1"/>
  <c r="F48" i="35" s="1"/>
  <c r="G48" i="35" s="1"/>
  <c r="H48" i="35" s="1"/>
  <c r="I48" i="35" s="1"/>
  <c r="J48" i="35" s="1"/>
  <c r="K48" i="35" s="1"/>
  <c r="L48" i="35" s="1"/>
  <c r="M48" i="35" s="1"/>
  <c r="N48" i="35" s="1"/>
  <c r="O48" i="35" s="1"/>
  <c r="H7" i="35"/>
  <c r="BX105" i="81"/>
  <c r="BX81" i="81"/>
  <c r="BU74" i="81"/>
  <c r="BS54" i="81"/>
  <c r="BU54" i="81"/>
  <c r="CA37" i="81"/>
  <c r="AU26" i="81"/>
  <c r="BJ17" i="81"/>
  <c r="BH14" i="81"/>
  <c r="BH8" i="81"/>
  <c r="BI4" i="81"/>
  <c r="BH45" i="81"/>
  <c r="BP53" i="81"/>
  <c r="BP69" i="81"/>
  <c r="BH81" i="81"/>
  <c r="BH89" i="81"/>
  <c r="BH97" i="81"/>
  <c r="BP105" i="81"/>
  <c r="AS31" i="81"/>
  <c r="BG31" i="81" s="1"/>
  <c r="BH92" i="81"/>
  <c r="BH107" i="81"/>
  <c r="BH79" i="81"/>
  <c r="BH87" i="81"/>
  <c r="BP107" i="81"/>
  <c r="BH62" i="81"/>
  <c r="BH78" i="81"/>
  <c r="BH94" i="81"/>
  <c r="BH139" i="81"/>
  <c r="BG139" i="81"/>
  <c r="BH118" i="81"/>
  <c r="AS134" i="81"/>
  <c r="BH150" i="81"/>
  <c r="BH167" i="81"/>
  <c r="BH183" i="81"/>
  <c r="BH195" i="81"/>
  <c r="BH228" i="81"/>
  <c r="BH125" i="81"/>
  <c r="BH145" i="81"/>
  <c r="BH153" i="81"/>
  <c r="BH161" i="81"/>
  <c r="BH170" i="81"/>
  <c r="BH178" i="81"/>
  <c r="BP228" i="81"/>
  <c r="BH120" i="81"/>
  <c r="BH152" i="81"/>
  <c r="BH169" i="81"/>
  <c r="BH187" i="81"/>
  <c r="BP200" i="81"/>
  <c r="BP151" i="81"/>
  <c r="BP172" i="81"/>
  <c r="BH185" i="81"/>
  <c r="BH232" i="81"/>
  <c r="BH240" i="81"/>
  <c r="BH248" i="81"/>
  <c r="BP260" i="81"/>
  <c r="BH271" i="81"/>
  <c r="BH279" i="81"/>
  <c r="BH295" i="81"/>
  <c r="BH207" i="81"/>
  <c r="BH223" i="81"/>
  <c r="BH239" i="81"/>
  <c r="BH255" i="81"/>
  <c r="BH190" i="81"/>
  <c r="BH206" i="81"/>
  <c r="BH222" i="81"/>
  <c r="BH238" i="81"/>
  <c r="BH254" i="81"/>
  <c r="BH272" i="81"/>
  <c r="BH209" i="81"/>
  <c r="BH225" i="81"/>
  <c r="BH233" i="81"/>
  <c r="BP241" i="81"/>
  <c r="BP249" i="81"/>
  <c r="BH261" i="81"/>
  <c r="BP299" i="81"/>
  <c r="BH278" i="81"/>
  <c r="BH310" i="81"/>
  <c r="BH326" i="81"/>
  <c r="BH342" i="81"/>
  <c r="BH359" i="81"/>
  <c r="BH281" i="81"/>
  <c r="BH293" i="81"/>
  <c r="BP309" i="81"/>
  <c r="BP317" i="81"/>
  <c r="BP325" i="81"/>
  <c r="BP333" i="81"/>
  <c r="BH345" i="81"/>
  <c r="BH292" i="81"/>
  <c r="BH300" i="81"/>
  <c r="BH308" i="81"/>
  <c r="BH316" i="81"/>
  <c r="BP324" i="81"/>
  <c r="BP332" i="81"/>
  <c r="BP340" i="81"/>
  <c r="BH352" i="81"/>
  <c r="BP357" i="81"/>
  <c r="BP311" i="81"/>
  <c r="BP323" i="81"/>
  <c r="BP331" i="81"/>
  <c r="BH343" i="81"/>
  <c r="BP351" i="81"/>
  <c r="BP373" i="81"/>
  <c r="BP381" i="81"/>
  <c r="BP389" i="81"/>
  <c r="BP397" i="81"/>
  <c r="BH376" i="81"/>
  <c r="BH384" i="81"/>
  <c r="BP392" i="81"/>
  <c r="AS371" i="81"/>
  <c r="BH387" i="81"/>
  <c r="BH399" i="81"/>
  <c r="BH382" i="81"/>
  <c r="BH400" i="81"/>
  <c r="BH437" i="81"/>
  <c r="BH445" i="81"/>
  <c r="BH453" i="81"/>
  <c r="BH401" i="81"/>
  <c r="BH417" i="81"/>
  <c r="BH408" i="81"/>
  <c r="BH431" i="81"/>
  <c r="BH439" i="81"/>
  <c r="BH455" i="81"/>
  <c r="BH434" i="81"/>
  <c r="BH450" i="81"/>
  <c r="BH461" i="81"/>
  <c r="AS444" i="81"/>
  <c r="BH460" i="81"/>
  <c r="BP102" i="81"/>
  <c r="BS87" i="81"/>
  <c r="BX76" i="81"/>
  <c r="BX75" i="81"/>
  <c r="BH67" i="81"/>
  <c r="BH59" i="81"/>
  <c r="BH51" i="81"/>
  <c r="C28" i="67"/>
  <c r="BG104" i="81"/>
  <c r="BX85" i="81"/>
  <c r="BX79" i="81"/>
  <c r="BX48" i="81"/>
  <c r="BX47" i="81"/>
  <c r="BX40" i="81"/>
  <c r="BX39" i="81"/>
  <c r="BG25" i="81"/>
  <c r="AU19" i="81"/>
  <c r="BI19" i="81" s="1"/>
  <c r="AU55" i="81"/>
  <c r="AU71" i="81"/>
  <c r="AU87" i="81"/>
  <c r="AU103" i="81"/>
  <c r="AU145" i="81"/>
  <c r="AU113" i="81"/>
  <c r="AU148" i="81"/>
  <c r="AU165" i="81"/>
  <c r="AU181" i="81"/>
  <c r="AU115" i="81"/>
  <c r="BI115" i="81" s="1"/>
  <c r="AU131" i="81"/>
  <c r="BI131" i="81" s="1"/>
  <c r="AU147" i="81"/>
  <c r="AU163" i="81"/>
  <c r="AU176" i="81"/>
  <c r="BI176" i="81" s="1"/>
  <c r="AU186" i="81"/>
  <c r="BI186" i="81" s="1"/>
  <c r="AU198" i="81"/>
  <c r="BI198" i="81" s="1"/>
  <c r="AU126" i="81"/>
  <c r="AU142" i="81"/>
  <c r="BI142" i="81" s="1"/>
  <c r="AU158" i="81"/>
  <c r="BI158" i="81" s="1"/>
  <c r="AU175" i="81"/>
  <c r="BI175" i="81" s="1"/>
  <c r="AU153" i="81"/>
  <c r="AU170" i="81"/>
  <c r="AU196" i="81"/>
  <c r="AU212" i="81"/>
  <c r="BI212" i="81" s="1"/>
  <c r="AU228" i="81"/>
  <c r="AU244" i="81"/>
  <c r="BI244" i="81" s="1"/>
  <c r="AU260" i="81"/>
  <c r="BI260" i="81" s="1"/>
  <c r="AU195" i="81"/>
  <c r="BI195" i="81" s="1"/>
  <c r="AU243" i="81"/>
  <c r="AU259" i="81"/>
  <c r="BI259" i="81" s="1"/>
  <c r="AU267" i="81"/>
  <c r="AU283" i="81"/>
  <c r="AU299" i="81"/>
  <c r="AU315" i="81"/>
  <c r="BI315" i="81" s="1"/>
  <c r="AU331" i="81"/>
  <c r="AU347" i="81"/>
  <c r="AU362" i="81"/>
  <c r="AU363" i="81"/>
  <c r="BI363" i="81" s="1"/>
  <c r="AU379" i="81"/>
  <c r="BI379" i="81" s="1"/>
  <c r="AU395" i="81"/>
  <c r="BI395" i="81" s="1"/>
  <c r="AU420" i="81"/>
  <c r="AU403" i="81"/>
  <c r="AU419" i="81"/>
  <c r="AU434" i="81"/>
  <c r="AU406" i="81"/>
  <c r="AU431" i="81"/>
  <c r="BI431" i="81" s="1"/>
  <c r="AU447" i="81"/>
  <c r="BI447" i="81" s="1"/>
  <c r="BX19" i="81"/>
  <c r="BH15" i="81"/>
  <c r="BH10" i="81"/>
  <c r="BX4" i="81"/>
  <c r="BH75" i="81"/>
  <c r="BX14" i="81"/>
  <c r="CA7" i="81"/>
  <c r="BG5" i="81"/>
  <c r="C82" i="71"/>
  <c r="D82" i="71" s="1"/>
  <c r="D83" i="71"/>
  <c r="AH34" i="79"/>
  <c r="W34" i="79"/>
  <c r="AK34" i="79" s="1"/>
  <c r="AH51" i="79"/>
  <c r="W51" i="79"/>
  <c r="AK51" i="79" s="1"/>
  <c r="AH8" i="79"/>
  <c r="W8" i="79"/>
  <c r="AK8" i="79" s="1"/>
  <c r="AB12" i="40"/>
  <c r="U12" i="40"/>
  <c r="AA26" i="35"/>
  <c r="S26" i="35"/>
  <c r="C40" i="77"/>
  <c r="BU451" i="81"/>
  <c r="BS451" i="81"/>
  <c r="BU439" i="81"/>
  <c r="CA413" i="81"/>
  <c r="BU398" i="81"/>
  <c r="D35" i="71"/>
  <c r="C36" i="71"/>
  <c r="AH46" i="79"/>
  <c r="W46" i="79"/>
  <c r="AK46" i="79" s="1"/>
  <c r="AH7" i="79"/>
  <c r="W7" i="79"/>
  <c r="AK7" i="79" s="1"/>
  <c r="D39" i="71"/>
  <c r="C40" i="71"/>
  <c r="C86" i="71"/>
  <c r="D86" i="71" s="1"/>
  <c r="D87" i="71"/>
  <c r="D23" i="71"/>
  <c r="C22" i="71"/>
  <c r="C66" i="71"/>
  <c r="D67" i="71"/>
  <c r="O67" i="71"/>
  <c r="W40" i="79"/>
  <c r="AK40" i="79" s="1"/>
  <c r="AH40" i="79"/>
  <c r="AH45" i="79"/>
  <c r="W45" i="79"/>
  <c r="AK45" i="79" s="1"/>
  <c r="AH22" i="79"/>
  <c r="W22" i="79"/>
  <c r="AK22" i="79" s="1"/>
  <c r="AH38" i="79"/>
  <c r="W38" i="79"/>
  <c r="AK38" i="79" s="1"/>
  <c r="AH33" i="79"/>
  <c r="W33" i="79"/>
  <c r="AK33" i="79" s="1"/>
  <c r="W35" i="79"/>
  <c r="AK35" i="79" s="1"/>
  <c r="AH35" i="79"/>
  <c r="AC39" i="40"/>
  <c r="W39" i="40"/>
  <c r="AC14" i="40"/>
  <c r="W14" i="40"/>
  <c r="AA38" i="40"/>
  <c r="S38" i="40"/>
  <c r="AA31" i="40"/>
  <c r="S31" i="40"/>
  <c r="W30" i="40"/>
  <c r="AC30" i="40"/>
  <c r="AC14" i="39"/>
  <c r="W14" i="39"/>
  <c r="AA32" i="36"/>
  <c r="S32" i="36"/>
  <c r="AA40" i="40"/>
  <c r="S40" i="40"/>
  <c r="AA23" i="36"/>
  <c r="S23" i="36"/>
  <c r="AA36" i="35"/>
  <c r="S36" i="35"/>
  <c r="W31" i="34"/>
  <c r="AC31" i="34"/>
  <c r="AA25" i="37"/>
  <c r="S25" i="37"/>
  <c r="AC32" i="34"/>
  <c r="W32" i="34"/>
  <c r="S45" i="34"/>
  <c r="AA45" i="34"/>
  <c r="BG456" i="81"/>
  <c r="BG440" i="81"/>
  <c r="BP456" i="81"/>
  <c r="BP452" i="81"/>
  <c r="BX463" i="81"/>
  <c r="CA448" i="81"/>
  <c r="BU442" i="81"/>
  <c r="BX416" i="81"/>
  <c r="BU414" i="81"/>
  <c r="BP436" i="81"/>
  <c r="BX424" i="81"/>
  <c r="CA421" i="81"/>
  <c r="BS410" i="81"/>
  <c r="BU410" i="81"/>
  <c r="BU406" i="81"/>
  <c r="BG401" i="81"/>
  <c r="BU390" i="81"/>
  <c r="BU382" i="81"/>
  <c r="BS382" i="81"/>
  <c r="BU374" i="81"/>
  <c r="BU366" i="81"/>
  <c r="BX361" i="81"/>
  <c r="CA393" i="81"/>
  <c r="CA377" i="81"/>
  <c r="BU367" i="81"/>
  <c r="BX346" i="81"/>
  <c r="BX341" i="81"/>
  <c r="BX315" i="81"/>
  <c r="BX309" i="81"/>
  <c r="BU298" i="81"/>
  <c r="CA285" i="81"/>
  <c r="BX283" i="81"/>
  <c r="BU278" i="81"/>
  <c r="BS278" i="81"/>
  <c r="BX354" i="81"/>
  <c r="CA320" i="81"/>
  <c r="CA293" i="81"/>
  <c r="BU286" i="81"/>
  <c r="BX360" i="81"/>
  <c r="BX345" i="81"/>
  <c r="BX334" i="81"/>
  <c r="CA301" i="81"/>
  <c r="BU294" i="81"/>
  <c r="BV284" i="81"/>
  <c r="BX284" i="81"/>
  <c r="CA328" i="81"/>
  <c r="BX322" i="81"/>
  <c r="BV322" i="81"/>
  <c r="BX311" i="81"/>
  <c r="BX305" i="81"/>
  <c r="BX292" i="81"/>
  <c r="CA289" i="81"/>
  <c r="CA281" i="81"/>
  <c r="BX272" i="81"/>
  <c r="CA264" i="81"/>
  <c r="CA256" i="81"/>
  <c r="CA240" i="81"/>
  <c r="BX235" i="81"/>
  <c r="BX221" i="81"/>
  <c r="BG218" i="81"/>
  <c r="BX205" i="81"/>
  <c r="BG202" i="81"/>
  <c r="CA197" i="81"/>
  <c r="BU194" i="81"/>
  <c r="BG267" i="81"/>
  <c r="CA260" i="81"/>
  <c r="BX242" i="81"/>
  <c r="CA230" i="81"/>
  <c r="BX255" i="81"/>
  <c r="BX250" i="81"/>
  <c r="CA232" i="81"/>
  <c r="BU227" i="81"/>
  <c r="BU211" i="81"/>
  <c r="BS187" i="81"/>
  <c r="BU187" i="81"/>
  <c r="CA236" i="81"/>
  <c r="BX225" i="81"/>
  <c r="BG222" i="81"/>
  <c r="BG219" i="81"/>
  <c r="BU206" i="81"/>
  <c r="BX174" i="81"/>
  <c r="CA160" i="81"/>
  <c r="BX144" i="81"/>
  <c r="BX140" i="81"/>
  <c r="BU129" i="81"/>
  <c r="CA113" i="81"/>
  <c r="BX186" i="81"/>
  <c r="CA184" i="81"/>
  <c r="CA181" i="81"/>
  <c r="BX175" i="81"/>
  <c r="BX164" i="81"/>
  <c r="BX153" i="81"/>
  <c r="BX147" i="81"/>
  <c r="BX115" i="81"/>
  <c r="CA188" i="81"/>
  <c r="BX182" i="81"/>
  <c r="BX179" i="81"/>
  <c r="BX170" i="81"/>
  <c r="BX162" i="81"/>
  <c r="CA148" i="81"/>
  <c r="CA165" i="81"/>
  <c r="BX151" i="81"/>
  <c r="BU141" i="81"/>
  <c r="CA137" i="81"/>
  <c r="CA133" i="81"/>
  <c r="BX100" i="81"/>
  <c r="BX92" i="81"/>
  <c r="BX84" i="81"/>
  <c r="BX95" i="81"/>
  <c r="BX89" i="81"/>
  <c r="BX77" i="81"/>
  <c r="AU69" i="81"/>
  <c r="CA61" i="81"/>
  <c r="AU53" i="81"/>
  <c r="BI53" i="81" s="1"/>
  <c r="BI27" i="81"/>
  <c r="BI14" i="81"/>
  <c r="BI50" i="81"/>
  <c r="BI66" i="81"/>
  <c r="BI82" i="81"/>
  <c r="BI98" i="81"/>
  <c r="AT28" i="81"/>
  <c r="BI45" i="81"/>
  <c r="BI61" i="81"/>
  <c r="BI77" i="81"/>
  <c r="BI93" i="81"/>
  <c r="BI88" i="81"/>
  <c r="BI104" i="81"/>
  <c r="BI149" i="81"/>
  <c r="BI166" i="81"/>
  <c r="BI182" i="81"/>
  <c r="BI245" i="81"/>
  <c r="BI261" i="81"/>
  <c r="BI187" i="81"/>
  <c r="BI300" i="81"/>
  <c r="BI234" i="81"/>
  <c r="BI250" i="81"/>
  <c r="BI268" i="81"/>
  <c r="BI284" i="81"/>
  <c r="BI290" i="81"/>
  <c r="BI306" i="81"/>
  <c r="BI322" i="81"/>
  <c r="BI338" i="81"/>
  <c r="BI354" i="81"/>
  <c r="BI317" i="81"/>
  <c r="BI333" i="81"/>
  <c r="BI349" i="81"/>
  <c r="BI361" i="81"/>
  <c r="BI316" i="81"/>
  <c r="BI332" i="81"/>
  <c r="BI348" i="81"/>
  <c r="BI382" i="81"/>
  <c r="BI400" i="81"/>
  <c r="BI377" i="81"/>
  <c r="BI393" i="81"/>
  <c r="BI364" i="81"/>
  <c r="BI380" i="81"/>
  <c r="BI396" i="81"/>
  <c r="BI399" i="81"/>
  <c r="BI429" i="81"/>
  <c r="BI450" i="81"/>
  <c r="BI445" i="81"/>
  <c r="BI461" i="81"/>
  <c r="D58" i="33"/>
  <c r="E58" i="33" s="1"/>
  <c r="F58" i="33" s="1"/>
  <c r="G58" i="33" s="1"/>
  <c r="H58" i="33" s="1"/>
  <c r="I58" i="33" s="1"/>
  <c r="J58" i="33" s="1"/>
  <c r="K58" i="33" s="1"/>
  <c r="L58" i="33" s="1"/>
  <c r="M58" i="33" s="1"/>
  <c r="N58" i="33" s="1"/>
  <c r="O58" i="33" s="1"/>
  <c r="C65" i="40"/>
  <c r="D63" i="40"/>
  <c r="BS66" i="81"/>
  <c r="BU66" i="81"/>
  <c r="BS58" i="81"/>
  <c r="BU58" i="81"/>
  <c r="BG42" i="81"/>
  <c r="CA41" i="81"/>
  <c r="AU30" i="81"/>
  <c r="BU27" i="81"/>
  <c r="CA25" i="81"/>
  <c r="BH22" i="81"/>
  <c r="BH19" i="81"/>
  <c r="BJ10" i="81"/>
  <c r="AW460" i="81"/>
  <c r="AW465" i="81"/>
  <c r="AW461" i="81"/>
  <c r="AW454" i="81"/>
  <c r="AW450" i="81"/>
  <c r="AW438" i="81"/>
  <c r="AW463" i="81"/>
  <c r="AW449" i="81"/>
  <c r="AW445" i="81"/>
  <c r="AW433" i="81"/>
  <c r="AW408" i="81"/>
  <c r="AW404" i="81"/>
  <c r="AW429" i="81"/>
  <c r="AW425" i="81"/>
  <c r="AW401" i="81"/>
  <c r="AW386" i="81"/>
  <c r="BS386" i="81" s="1"/>
  <c r="AW382" i="81"/>
  <c r="AW370" i="81"/>
  <c r="BS370" i="81" s="1"/>
  <c r="AW415" i="81"/>
  <c r="AW402" i="81"/>
  <c r="AW400" i="81"/>
  <c r="AW399" i="81"/>
  <c r="AW396" i="81"/>
  <c r="AW392" i="81"/>
  <c r="AW384" i="81"/>
  <c r="AW376" i="81"/>
  <c r="AW397" i="81"/>
  <c r="AW393" i="81"/>
  <c r="AW381" i="81"/>
  <c r="AW377" i="81"/>
  <c r="AW361" i="81"/>
  <c r="AW360" i="81"/>
  <c r="AW343" i="81"/>
  <c r="BV343" i="81" s="1"/>
  <c r="AW311" i="81"/>
  <c r="AW352" i="81"/>
  <c r="AW348" i="81"/>
  <c r="AW344" i="81"/>
  <c r="AW336" i="81"/>
  <c r="AW332" i="81"/>
  <c r="AW328" i="81"/>
  <c r="AW320" i="81"/>
  <c r="AW316" i="81"/>
  <c r="AW312" i="81"/>
  <c r="AW304" i="81"/>
  <c r="AW300" i="81"/>
  <c r="AW284" i="81"/>
  <c r="AW368" i="81"/>
  <c r="AW353" i="81"/>
  <c r="AW349" i="81"/>
  <c r="AW345" i="81"/>
  <c r="AW337" i="81"/>
  <c r="AW333" i="81"/>
  <c r="AW329" i="81"/>
  <c r="AW321" i="81"/>
  <c r="AW317" i="81"/>
  <c r="AW313" i="81"/>
  <c r="AW305" i="81"/>
  <c r="AW297" i="81"/>
  <c r="AW289" i="81"/>
  <c r="AW281" i="81"/>
  <c r="AW364" i="81"/>
  <c r="AW354" i="81"/>
  <c r="AW342" i="81"/>
  <c r="AW338" i="81"/>
  <c r="AW326" i="81"/>
  <c r="AW322" i="81"/>
  <c r="AW310" i="81"/>
  <c r="AW306" i="81"/>
  <c r="AW290" i="81"/>
  <c r="AW278" i="81"/>
  <c r="AW265" i="81"/>
  <c r="AW261" i="81"/>
  <c r="AW257" i="81"/>
  <c r="AW249" i="81"/>
  <c r="AW245" i="81"/>
  <c r="AW241" i="81"/>
  <c r="AW233" i="81"/>
  <c r="AW229" i="81"/>
  <c r="AW209" i="81"/>
  <c r="AW279" i="81"/>
  <c r="AW254" i="81"/>
  <c r="AW250" i="81"/>
  <c r="AW238" i="81"/>
  <c r="AW234" i="81"/>
  <c r="AW206" i="81"/>
  <c r="BS206" i="81" s="1"/>
  <c r="AW295" i="81"/>
  <c r="AW255" i="81"/>
  <c r="AW239" i="81"/>
  <c r="AW223" i="81"/>
  <c r="BS223" i="81" s="1"/>
  <c r="AW280" i="81"/>
  <c r="AW272" i="81"/>
  <c r="AW268" i="81"/>
  <c r="AW256" i="81"/>
  <c r="AW240" i="81"/>
  <c r="AW191" i="81"/>
  <c r="AW116" i="81"/>
  <c r="AW187" i="81"/>
  <c r="AW182" i="81"/>
  <c r="AW166" i="81"/>
  <c r="AW149" i="81"/>
  <c r="AW129" i="81"/>
  <c r="AW121" i="81"/>
  <c r="AW224" i="81"/>
  <c r="AW192" i="81"/>
  <c r="BP192" i="81" s="1"/>
  <c r="AW107" i="81"/>
  <c r="AW102" i="81"/>
  <c r="AW98" i="81"/>
  <c r="AW86" i="81"/>
  <c r="AW82" i="81"/>
  <c r="AW70" i="81"/>
  <c r="AW66" i="81"/>
  <c r="AW54" i="81"/>
  <c r="AW50" i="81"/>
  <c r="AW83" i="81"/>
  <c r="AW104" i="81"/>
  <c r="BS104" i="81" s="1"/>
  <c r="AW92" i="81"/>
  <c r="AW88" i="81"/>
  <c r="AW39" i="81"/>
  <c r="AW27" i="81"/>
  <c r="AW105" i="81"/>
  <c r="AW97" i="81"/>
  <c r="AW93" i="81"/>
  <c r="AW89" i="81"/>
  <c r="AW81" i="81"/>
  <c r="AW65" i="81"/>
  <c r="AW49" i="81"/>
  <c r="AW45" i="81"/>
  <c r="AW41" i="81"/>
  <c r="AW7" i="81"/>
  <c r="BK7" i="81" s="1"/>
  <c r="AW5" i="81"/>
  <c r="BK5" i="81" s="1"/>
  <c r="AX2" i="81"/>
  <c r="CB432" i="81" s="1"/>
  <c r="AW67" i="81"/>
  <c r="AW51" i="81"/>
  <c r="AW14" i="81"/>
  <c r="AW13" i="81"/>
  <c r="AW12" i="81"/>
  <c r="AW20" i="81"/>
  <c r="BK20" i="81" s="1"/>
  <c r="AW15" i="81"/>
  <c r="AW6" i="81"/>
  <c r="BK6" i="81" s="1"/>
  <c r="AW4" i="81"/>
  <c r="BK4" i="81" s="1"/>
  <c r="AW17" i="81"/>
  <c r="AW16" i="81"/>
  <c r="AW10" i="81"/>
  <c r="BH57" i="81"/>
  <c r="BH65" i="81"/>
  <c r="BH73" i="81"/>
  <c r="BP89" i="81"/>
  <c r="BH101" i="81"/>
  <c r="BP109" i="81"/>
  <c r="AS35" i="81"/>
  <c r="BH80" i="81"/>
  <c r="BH96" i="81"/>
  <c r="BH111" i="81"/>
  <c r="BH91" i="81"/>
  <c r="BH103" i="81"/>
  <c r="BH127" i="81"/>
  <c r="BH50" i="81"/>
  <c r="BH66" i="81"/>
  <c r="BH82" i="81"/>
  <c r="BH98" i="81"/>
  <c r="BH143" i="81"/>
  <c r="BG143" i="81"/>
  <c r="BH138" i="81"/>
  <c r="BH154" i="81"/>
  <c r="BH171" i="81"/>
  <c r="BP185" i="81"/>
  <c r="BH199" i="81"/>
  <c r="BH212" i="81"/>
  <c r="BH113" i="81"/>
  <c r="BH129" i="81"/>
  <c r="BP212" i="81"/>
  <c r="BH156" i="81"/>
  <c r="BH173" i="81"/>
  <c r="AS188" i="81"/>
  <c r="BG188" i="81" s="1"/>
  <c r="BH204" i="81"/>
  <c r="BG204" i="81"/>
  <c r="BH147" i="81"/>
  <c r="BH155" i="81"/>
  <c r="BH163" i="81"/>
  <c r="BH168" i="81"/>
  <c r="BH176" i="81"/>
  <c r="BH189" i="81"/>
  <c r="BH208" i="81"/>
  <c r="BG208" i="81"/>
  <c r="BP232" i="81"/>
  <c r="BH252" i="81"/>
  <c r="BH264" i="81"/>
  <c r="BP271" i="81"/>
  <c r="AS211" i="81"/>
  <c r="BH243" i="81"/>
  <c r="BH259" i="81"/>
  <c r="BH287" i="81"/>
  <c r="BH194" i="81"/>
  <c r="BH210" i="81"/>
  <c r="BH226" i="81"/>
  <c r="BH242" i="81"/>
  <c r="BH258" i="81"/>
  <c r="BH276" i="81"/>
  <c r="BH237" i="81"/>
  <c r="BH245" i="81"/>
  <c r="BH253" i="81"/>
  <c r="BH265" i="81"/>
  <c r="BP276" i="81"/>
  <c r="BH303" i="81"/>
  <c r="BG303" i="81"/>
  <c r="BH282" i="81"/>
  <c r="BH298" i="81"/>
  <c r="BH314" i="81"/>
  <c r="BH330" i="81"/>
  <c r="BH346" i="81"/>
  <c r="BH360" i="81"/>
  <c r="BH285" i="81"/>
  <c r="BP293" i="81"/>
  <c r="BH305" i="81"/>
  <c r="BH313" i="81"/>
  <c r="BH321" i="81"/>
  <c r="BH329" i="81"/>
  <c r="BH337" i="81"/>
  <c r="BH349" i="81"/>
  <c r="BH284" i="81"/>
  <c r="BP308" i="81"/>
  <c r="BH320" i="81"/>
  <c r="BH328" i="81"/>
  <c r="BH336" i="81"/>
  <c r="BH344" i="81"/>
  <c r="BP352" i="81"/>
  <c r="BH307" i="81"/>
  <c r="BH315" i="81"/>
  <c r="BH327" i="81"/>
  <c r="BH335" i="81"/>
  <c r="BH355" i="81"/>
  <c r="BH377" i="81"/>
  <c r="BH385" i="81"/>
  <c r="BH393" i="81"/>
  <c r="BH402" i="81"/>
  <c r="BH423" i="81"/>
  <c r="BG423" i="81"/>
  <c r="BP376" i="81"/>
  <c r="BH388" i="81"/>
  <c r="BH396" i="81"/>
  <c r="BH427" i="81"/>
  <c r="BH375" i="81"/>
  <c r="BH391" i="81"/>
  <c r="BH403" i="81"/>
  <c r="BP427" i="81"/>
  <c r="BH370" i="81"/>
  <c r="BH386" i="81"/>
  <c r="BH407" i="81"/>
  <c r="BG407" i="81"/>
  <c r="AS414" i="81"/>
  <c r="BG414" i="81" s="1"/>
  <c r="BH430" i="81"/>
  <c r="BY437" i="81"/>
  <c r="BY445" i="81"/>
  <c r="BH405" i="81"/>
  <c r="BH421" i="81"/>
  <c r="BH420" i="81"/>
  <c r="AS432" i="81"/>
  <c r="BG432" i="81" s="1"/>
  <c r="BH443" i="81"/>
  <c r="BH433" i="81"/>
  <c r="BH459" i="81"/>
  <c r="BG459" i="81"/>
  <c r="BH438" i="81"/>
  <c r="BH454" i="81"/>
  <c r="BH465" i="81"/>
  <c r="AS448" i="81"/>
  <c r="BG448" i="81" s="1"/>
  <c r="BH464" i="81"/>
  <c r="BX97" i="81"/>
  <c r="BX87" i="81"/>
  <c r="BV72" i="81"/>
  <c r="BX72" i="81"/>
  <c r="BX71" i="81"/>
  <c r="BV71" i="81"/>
  <c r="BV64" i="81"/>
  <c r="BX64" i="81"/>
  <c r="BX63" i="81"/>
  <c r="BV56" i="81"/>
  <c r="BX56" i="81"/>
  <c r="BX55" i="81"/>
  <c r="BV55" i="81"/>
  <c r="BU42" i="81"/>
  <c r="BS32" i="81"/>
  <c r="BS28" i="81"/>
  <c r="BP4" i="81"/>
  <c r="AV23" i="81"/>
  <c r="BG109" i="81"/>
  <c r="BS96" i="81"/>
  <c r="BX91" i="81"/>
  <c r="BH47" i="81"/>
  <c r="BS43" i="81"/>
  <c r="BP38" i="81"/>
  <c r="BS33" i="81"/>
  <c r="BG29" i="81"/>
  <c r="AT18" i="81"/>
  <c r="BH18" i="81" s="1"/>
  <c r="AV9" i="81"/>
  <c r="AW9" i="81" s="1"/>
  <c r="AU43" i="81"/>
  <c r="AU59" i="81"/>
  <c r="BI59" i="81" s="1"/>
  <c r="AU75" i="81"/>
  <c r="AU91" i="81"/>
  <c r="AU109" i="81"/>
  <c r="AU42" i="81"/>
  <c r="BI42" i="81" s="1"/>
  <c r="AU58" i="81"/>
  <c r="BI58" i="81" s="1"/>
  <c r="AU74" i="81"/>
  <c r="BI74" i="81" s="1"/>
  <c r="AU90" i="81"/>
  <c r="AU133" i="81"/>
  <c r="BI133" i="81" s="1"/>
  <c r="AU80" i="81"/>
  <c r="BI80" i="81" s="1"/>
  <c r="AU96" i="81"/>
  <c r="AU125" i="81"/>
  <c r="AU120" i="81"/>
  <c r="BI120" i="81" s="1"/>
  <c r="AU152" i="81"/>
  <c r="AU169" i="81"/>
  <c r="AU202" i="81"/>
  <c r="AU119" i="81"/>
  <c r="BI119" i="81" s="1"/>
  <c r="AU135" i="81"/>
  <c r="BI135" i="81" s="1"/>
  <c r="AU151" i="81"/>
  <c r="AU164" i="81"/>
  <c r="AU180" i="81"/>
  <c r="BI180" i="81" s="1"/>
  <c r="AU189" i="81"/>
  <c r="BI189" i="81" s="1"/>
  <c r="AU114" i="81"/>
  <c r="AU146" i="81"/>
  <c r="AU162" i="81"/>
  <c r="BI162" i="81" s="1"/>
  <c r="AU179" i="81"/>
  <c r="BI179" i="81" s="1"/>
  <c r="AU210" i="81"/>
  <c r="BI210" i="81" s="1"/>
  <c r="AU157" i="81"/>
  <c r="AU174" i="81"/>
  <c r="BI174" i="81" s="1"/>
  <c r="AU214" i="81"/>
  <c r="AU242" i="81"/>
  <c r="AU258" i="81"/>
  <c r="AU200" i="81"/>
  <c r="BI200" i="81" s="1"/>
  <c r="AU216" i="81"/>
  <c r="AU232" i="81"/>
  <c r="AU248" i="81"/>
  <c r="AU264" i="81"/>
  <c r="BI264" i="81" s="1"/>
  <c r="AU199" i="81"/>
  <c r="AU247" i="81"/>
  <c r="AU263" i="81"/>
  <c r="AU271" i="81"/>
  <c r="BI271" i="81" s="1"/>
  <c r="AU287" i="81"/>
  <c r="BI287" i="81" s="1"/>
  <c r="AU303" i="81"/>
  <c r="BI303" i="81" s="1"/>
  <c r="AU319" i="81"/>
  <c r="AU335" i="81"/>
  <c r="BI335" i="81" s="1"/>
  <c r="AU351" i="81"/>
  <c r="BI351" i="81" s="1"/>
  <c r="AU282" i="81"/>
  <c r="BI282" i="81" s="1"/>
  <c r="AU298" i="81"/>
  <c r="AU314" i="81"/>
  <c r="BI314" i="81" s="1"/>
  <c r="AU330" i="81"/>
  <c r="BI330" i="81" s="1"/>
  <c r="AU346" i="81"/>
  <c r="BI346" i="81" s="1"/>
  <c r="AU367" i="81"/>
  <c r="AU383" i="81"/>
  <c r="AU374" i="81"/>
  <c r="BI374" i="81" s="1"/>
  <c r="AU390" i="81"/>
  <c r="BI390" i="81" s="1"/>
  <c r="AU405" i="81"/>
  <c r="AU369" i="81"/>
  <c r="AU385" i="81"/>
  <c r="AU409" i="81"/>
  <c r="BI409" i="81" s="1"/>
  <c r="AU398" i="81"/>
  <c r="AU424" i="81"/>
  <c r="BI424" i="81" s="1"/>
  <c r="AU407" i="81"/>
  <c r="AU423" i="81"/>
  <c r="AU437" i="81"/>
  <c r="AU453" i="81"/>
  <c r="BI453" i="81" s="1"/>
  <c r="AU435" i="81"/>
  <c r="AU451" i="81"/>
  <c r="AU464" i="81"/>
  <c r="AU442" i="81"/>
  <c r="BI442" i="81" s="1"/>
  <c r="AU458" i="81"/>
  <c r="BI458" i="81" s="1"/>
  <c r="BX20" i="81"/>
  <c r="BG19" i="81"/>
  <c r="BS8" i="81"/>
  <c r="BG73" i="81"/>
  <c r="BG36" i="81"/>
  <c r="BG28" i="81"/>
  <c r="CB23" i="81"/>
  <c r="BS18" i="81"/>
  <c r="D58" i="78"/>
  <c r="D62" i="78"/>
  <c r="C62" i="78" s="1"/>
  <c r="CA21" i="81"/>
  <c r="CB21" i="81" s="1"/>
  <c r="BY21" i="81"/>
  <c r="BG18" i="81"/>
  <c r="BV11" i="81"/>
  <c r="BX11" i="81"/>
  <c r="BS4" i="81"/>
  <c r="BX15" i="81"/>
  <c r="BV15" i="81"/>
  <c r="BG14" i="81"/>
  <c r="BG11" i="81"/>
  <c r="BV7" i="81"/>
  <c r="BG7" i="81"/>
  <c r="BH5" i="81"/>
  <c r="C48" i="69"/>
  <c r="C70" i="71"/>
  <c r="D70" i="71" s="1"/>
  <c r="D71" i="71"/>
  <c r="C78" i="71"/>
  <c r="D78" i="71" s="1"/>
  <c r="D79" i="71"/>
  <c r="W48" i="79"/>
  <c r="AK48" i="79" s="1"/>
  <c r="AH48" i="79"/>
  <c r="AH50" i="79"/>
  <c r="W50" i="79"/>
  <c r="AK50" i="79" s="1"/>
  <c r="D30" i="71"/>
  <c r="C31" i="71"/>
  <c r="W39" i="79"/>
  <c r="AK39" i="79" s="1"/>
  <c r="AH39" i="79"/>
  <c r="AH17" i="79"/>
  <c r="W17" i="79"/>
  <c r="AK17" i="79" s="1"/>
  <c r="AH5" i="79"/>
  <c r="W5" i="79"/>
  <c r="AK5" i="79" s="1"/>
  <c r="AB38" i="40"/>
  <c r="U38" i="40"/>
  <c r="W44" i="39"/>
  <c r="AC44" i="39"/>
  <c r="AB30" i="40"/>
  <c r="U30" i="40"/>
  <c r="AC33" i="40"/>
  <c r="W33" i="40"/>
  <c r="S36" i="39"/>
  <c r="AA36" i="39"/>
  <c r="S38" i="37"/>
  <c r="AA38" i="37"/>
  <c r="AB34" i="35"/>
  <c r="U34" i="35"/>
  <c r="BU447" i="81"/>
  <c r="BS450" i="81"/>
  <c r="BU450" i="81"/>
  <c r="BY440" i="81"/>
  <c r="CA440" i="81"/>
  <c r="BU458" i="81"/>
  <c r="BX430" i="81"/>
  <c r="CB415" i="81"/>
  <c r="BG410" i="81"/>
  <c r="BX412" i="81"/>
  <c r="BQ13" i="3"/>
  <c r="BL13" i="3" s="1"/>
  <c r="BL5" i="3" s="1"/>
  <c r="V20" i="71"/>
  <c r="E19" i="71"/>
  <c r="E18" i="71" s="1"/>
  <c r="E17" i="71" s="1"/>
  <c r="E16" i="71" s="1"/>
  <c r="C64" i="71"/>
  <c r="D63" i="71"/>
  <c r="D59" i="71"/>
  <c r="C60" i="71"/>
  <c r="C56" i="71"/>
  <c r="D55" i="71"/>
  <c r="C52" i="71"/>
  <c r="D51" i="71"/>
  <c r="W36" i="79"/>
  <c r="AK36" i="79" s="1"/>
  <c r="AH36" i="79"/>
  <c r="W43" i="79"/>
  <c r="AK43" i="79" s="1"/>
  <c r="AH43" i="79"/>
  <c r="AH19" i="79"/>
  <c r="W19" i="79"/>
  <c r="AK19" i="79" s="1"/>
  <c r="T44" i="71"/>
  <c r="D44" i="71"/>
  <c r="AH37" i="79"/>
  <c r="W37" i="79"/>
  <c r="AK37" i="79" s="1"/>
  <c r="AH16" i="79"/>
  <c r="W16" i="79"/>
  <c r="AK16" i="79" s="1"/>
  <c r="AH12" i="79"/>
  <c r="W12" i="79"/>
  <c r="AK12" i="79" s="1"/>
  <c r="AC38" i="40"/>
  <c r="W38" i="40"/>
  <c r="AC31" i="40"/>
  <c r="W31" i="40"/>
  <c r="S44" i="39"/>
  <c r="AA44" i="39"/>
  <c r="S30" i="40"/>
  <c r="AA30" i="40"/>
  <c r="AC32" i="36"/>
  <c r="W32" i="36"/>
  <c r="S13" i="37"/>
  <c r="AA13" i="37"/>
  <c r="U40" i="40"/>
  <c r="AB40" i="40"/>
  <c r="W36" i="39"/>
  <c r="AC36" i="39"/>
  <c r="AB23" i="36"/>
  <c r="U23" i="36"/>
  <c r="U9" i="35"/>
  <c r="AB9" i="35"/>
  <c r="AC26" i="35"/>
  <c r="W26" i="35"/>
  <c r="AA12" i="35"/>
  <c r="S12" i="35"/>
  <c r="AA31" i="34"/>
  <c r="S31" i="34"/>
  <c r="S34" i="35"/>
  <c r="AA34" i="35"/>
  <c r="AB32" i="34"/>
  <c r="U32" i="34"/>
  <c r="AA44" i="21"/>
  <c r="S44" i="21"/>
  <c r="BX459" i="81"/>
  <c r="BV459" i="81"/>
  <c r="BG444" i="81"/>
  <c r="CA460" i="81"/>
  <c r="CB460" i="81" s="1"/>
  <c r="CA464" i="81"/>
  <c r="CB464" i="81" s="1"/>
  <c r="BX462" i="81"/>
  <c r="BV462" i="81"/>
  <c r="CA452" i="81"/>
  <c r="BU446" i="81"/>
  <c r="CA436" i="81"/>
  <c r="BG426" i="81"/>
  <c r="BX428" i="81"/>
  <c r="BV428" i="81"/>
  <c r="CA425" i="81"/>
  <c r="BY425" i="81"/>
  <c r="BG422" i="81"/>
  <c r="CB411" i="81"/>
  <c r="BS418" i="81"/>
  <c r="BU418" i="81"/>
  <c r="BU405" i="81"/>
  <c r="BX396" i="81"/>
  <c r="BV396" i="81"/>
  <c r="BX388" i="81"/>
  <c r="BX380" i="81"/>
  <c r="BV380" i="81"/>
  <c r="BX372" i="81"/>
  <c r="BX364" i="81"/>
  <c r="BV364" i="81"/>
  <c r="BU359" i="81"/>
  <c r="CA397" i="81"/>
  <c r="CB397" i="81" s="1"/>
  <c r="BY397" i="81"/>
  <c r="BX383" i="81"/>
  <c r="BX399" i="81"/>
  <c r="BV399" i="81"/>
  <c r="BX375" i="81"/>
  <c r="BU363" i="81"/>
  <c r="BV351" i="81"/>
  <c r="BX351" i="81"/>
  <c r="CA336" i="81"/>
  <c r="CB336" i="81" s="1"/>
  <c r="BY336" i="81"/>
  <c r="BV327" i="81"/>
  <c r="BX327" i="81"/>
  <c r="BX321" i="81"/>
  <c r="BV321" i="81"/>
  <c r="BX317" i="81"/>
  <c r="CA304" i="81"/>
  <c r="CB304" i="81" s="1"/>
  <c r="BY304" i="81"/>
  <c r="CB279" i="81"/>
  <c r="CA277" i="81"/>
  <c r="BY277" i="81"/>
  <c r="BU274" i="81"/>
  <c r="CA340" i="81"/>
  <c r="BY340" i="81"/>
  <c r="BX330" i="81"/>
  <c r="BX313" i="81"/>
  <c r="BV313" i="81"/>
  <c r="BG294" i="81"/>
  <c r="CA348" i="81"/>
  <c r="CB348" i="81" s="1"/>
  <c r="BV339" i="81"/>
  <c r="BX339" i="81"/>
  <c r="CA312" i="81"/>
  <c r="CB312" i="81" s="1"/>
  <c r="BX306" i="81"/>
  <c r="BV306" i="81"/>
  <c r="CA344" i="81"/>
  <c r="CB344" i="81" s="1"/>
  <c r="BX342" i="81"/>
  <c r="BX318" i="81"/>
  <c r="BU302" i="81"/>
  <c r="BX268" i="81"/>
  <c r="CB195" i="81"/>
  <c r="CA193" i="81"/>
  <c r="CB193" i="81" s="1"/>
  <c r="BY193" i="81"/>
  <c r="BU190" i="81"/>
  <c r="BX254" i="81"/>
  <c r="BV254" i="81"/>
  <c r="CA249" i="81"/>
  <c r="BY249" i="81"/>
  <c r="CA245" i="81"/>
  <c r="CB245" i="81" s="1"/>
  <c r="BY245" i="81"/>
  <c r="CA233" i="81"/>
  <c r="BY233" i="81"/>
  <c r="BG227" i="81"/>
  <c r="BU215" i="81"/>
  <c r="BV273" i="81"/>
  <c r="BX273" i="81"/>
  <c r="BX259" i="81"/>
  <c r="BX243" i="81"/>
  <c r="CB224" i="81"/>
  <c r="BV209" i="81"/>
  <c r="BX209" i="81"/>
  <c r="BG206" i="81"/>
  <c r="BX192" i="81"/>
  <c r="BV192" i="81"/>
  <c r="BV185" i="81"/>
  <c r="BX185" i="81"/>
  <c r="CA177" i="81"/>
  <c r="BY177" i="81"/>
  <c r="BV168" i="81"/>
  <c r="BX168" i="81"/>
  <c r="CA152" i="81"/>
  <c r="BY152" i="81"/>
  <c r="BV136" i="81"/>
  <c r="BX136" i="81"/>
  <c r="BX132" i="81"/>
  <c r="BG122" i="81"/>
  <c r="BU109" i="81"/>
  <c r="BX167" i="81"/>
  <c r="BV167" i="81"/>
  <c r="BX128" i="81"/>
  <c r="CA125" i="81"/>
  <c r="CB125" i="81" s="1"/>
  <c r="BY125" i="81"/>
  <c r="BX154" i="81"/>
  <c r="BG130" i="81"/>
  <c r="BV124" i="81"/>
  <c r="BX124" i="81"/>
  <c r="BU118" i="81"/>
  <c r="BX111" i="81"/>
  <c r="BV111" i="81"/>
  <c r="BX106" i="81"/>
  <c r="BG187" i="81"/>
  <c r="BX171" i="81"/>
  <c r="BX149" i="81"/>
  <c r="BV149" i="81"/>
  <c r="BU145" i="81"/>
  <c r="BP138" i="81"/>
  <c r="BX119" i="81"/>
  <c r="BV119" i="81"/>
  <c r="BU98" i="81"/>
  <c r="BS98" i="81"/>
  <c r="BU90" i="81"/>
  <c r="BU82" i="81"/>
  <c r="BS82" i="81"/>
  <c r="BP96" i="81"/>
  <c r="AU73" i="81"/>
  <c r="CA65" i="81"/>
  <c r="BY65" i="81"/>
  <c r="AU57" i="81"/>
  <c r="BJ20" i="81"/>
  <c r="BK17" i="81"/>
  <c r="BJ4" i="81"/>
  <c r="BI54" i="81"/>
  <c r="BI70" i="81"/>
  <c r="BI86" i="81"/>
  <c r="BI102" i="81"/>
  <c r="AT32" i="81"/>
  <c r="BH32" i="81" s="1"/>
  <c r="BI49" i="81"/>
  <c r="BI65" i="81"/>
  <c r="BI81" i="81"/>
  <c r="BI97" i="81"/>
  <c r="BI92" i="81"/>
  <c r="BI116" i="81"/>
  <c r="BI51" i="81"/>
  <c r="BI67" i="81"/>
  <c r="BI83" i="81"/>
  <c r="BI99" i="81"/>
  <c r="BI107" i="81"/>
  <c r="BI139" i="81"/>
  <c r="BI209" i="81"/>
  <c r="BI229" i="81"/>
  <c r="BI121" i="81"/>
  <c r="BI153" i="81"/>
  <c r="BI170" i="81"/>
  <c r="BI192" i="81"/>
  <c r="BI233" i="81"/>
  <c r="BI249" i="81"/>
  <c r="BI265" i="81"/>
  <c r="BI208" i="81"/>
  <c r="BI224" i="81"/>
  <c r="BI240" i="81"/>
  <c r="BI256" i="81"/>
  <c r="BI191" i="81"/>
  <c r="BI207" i="81"/>
  <c r="BI223" i="81"/>
  <c r="BI239" i="81"/>
  <c r="BI255" i="81"/>
  <c r="BI206" i="81"/>
  <c r="BI238" i="81"/>
  <c r="BI254" i="81"/>
  <c r="BI272" i="81"/>
  <c r="BI279" i="81"/>
  <c r="BI295" i="81"/>
  <c r="BI311" i="81"/>
  <c r="BI327" i="81"/>
  <c r="BI343" i="81"/>
  <c r="BI278" i="81"/>
  <c r="BI310" i="81"/>
  <c r="BI326" i="81"/>
  <c r="BI342" i="81"/>
  <c r="BI360" i="81"/>
  <c r="BI289" i="81"/>
  <c r="BI305" i="81"/>
  <c r="BI321" i="81"/>
  <c r="BI337" i="81"/>
  <c r="BI353" i="81"/>
  <c r="BI304" i="81"/>
  <c r="BI320" i="81"/>
  <c r="BI336" i="81"/>
  <c r="BI352" i="81"/>
  <c r="BI370" i="81"/>
  <c r="BI386" i="81"/>
  <c r="BI408" i="81"/>
  <c r="BI381" i="81"/>
  <c r="BI397" i="81"/>
  <c r="BI368" i="81"/>
  <c r="BI384" i="81"/>
  <c r="BI404" i="81"/>
  <c r="BI415" i="81"/>
  <c r="BI433" i="81"/>
  <c r="BI402" i="81"/>
  <c r="BI418" i="81"/>
  <c r="BI401" i="81"/>
  <c r="BI438" i="81"/>
  <c r="BI454" i="81"/>
  <c r="BI460" i="81"/>
  <c r="BI449" i="81"/>
  <c r="BI465" i="81"/>
  <c r="D59" i="34"/>
  <c r="E59" i="34" s="1"/>
  <c r="F59" i="34" s="1"/>
  <c r="G59" i="34" s="1"/>
  <c r="H59" i="34" s="1"/>
  <c r="I59" i="34" s="1"/>
  <c r="J59" i="34" s="1"/>
  <c r="K59" i="34" s="1"/>
  <c r="L59" i="34" s="1"/>
  <c r="M59" i="34" s="1"/>
  <c r="N59" i="34" s="1"/>
  <c r="O59" i="34" s="1"/>
  <c r="H7" i="34"/>
  <c r="F7" i="34"/>
  <c r="D67" i="39"/>
  <c r="C69" i="39"/>
  <c r="BG46" i="81"/>
  <c r="CA45" i="81"/>
  <c r="CB45" i="81" s="1"/>
  <c r="BY45" i="81"/>
  <c r="AU34" i="81"/>
  <c r="BI34" i="81" s="1"/>
  <c r="BU31" i="81"/>
  <c r="BY29" i="81"/>
  <c r="CA29" i="81"/>
  <c r="BG27" i="81"/>
  <c r="BI15" i="81"/>
  <c r="BI9" i="81"/>
  <c r="BP9" i="81"/>
  <c r="BI6" i="81"/>
  <c r="BH41" i="81"/>
  <c r="BH49" i="81"/>
  <c r="BP65" i="81"/>
  <c r="BP73" i="81"/>
  <c r="BH85" i="81"/>
  <c r="BH93" i="81"/>
  <c r="BH84" i="81"/>
  <c r="BH100" i="81"/>
  <c r="BH83" i="81"/>
  <c r="BH95" i="81"/>
  <c r="AS24" i="81"/>
  <c r="BH54" i="81"/>
  <c r="BH70" i="81"/>
  <c r="BH86" i="81"/>
  <c r="BH102" i="81"/>
  <c r="BH131" i="81"/>
  <c r="BG131" i="81"/>
  <c r="AS110" i="81"/>
  <c r="BH126" i="81"/>
  <c r="BH142" i="81"/>
  <c r="BH158" i="81"/>
  <c r="BH175" i="81"/>
  <c r="BH191" i="81"/>
  <c r="BV216" i="81"/>
  <c r="BH117" i="81"/>
  <c r="BH133" i="81"/>
  <c r="BH141" i="81"/>
  <c r="BH149" i="81"/>
  <c r="BH157" i="81"/>
  <c r="BH166" i="81"/>
  <c r="BH174" i="81"/>
  <c r="BH182" i="81"/>
  <c r="BH216" i="81"/>
  <c r="BH128" i="81"/>
  <c r="BH160" i="81"/>
  <c r="BH177" i="81"/>
  <c r="BH192" i="81"/>
  <c r="BP216" i="81"/>
  <c r="BP147" i="81"/>
  <c r="BP155" i="81"/>
  <c r="BH180" i="81"/>
  <c r="BH224" i="81"/>
  <c r="BG224" i="81"/>
  <c r="BH236" i="81"/>
  <c r="BH244" i="81"/>
  <c r="BH256" i="81"/>
  <c r="BH267" i="81"/>
  <c r="BH275" i="81"/>
  <c r="BP303" i="81"/>
  <c r="AS215" i="81"/>
  <c r="AS231" i="81"/>
  <c r="BH247" i="81"/>
  <c r="BH263" i="81"/>
  <c r="BP295" i="81"/>
  <c r="BH198" i="81"/>
  <c r="BH214" i="81"/>
  <c r="BH230" i="81"/>
  <c r="BH246" i="81"/>
  <c r="BH262" i="81"/>
  <c r="BH280" i="81"/>
  <c r="BH205" i="81"/>
  <c r="BH221" i="81"/>
  <c r="BH229" i="81"/>
  <c r="BP237" i="81"/>
  <c r="BH257" i="81"/>
  <c r="BP265" i="81"/>
  <c r="BH283" i="81"/>
  <c r="BG283" i="81"/>
  <c r="BH270" i="81"/>
  <c r="BH286" i="81"/>
  <c r="BH302" i="81"/>
  <c r="BH318" i="81"/>
  <c r="BH334" i="81"/>
  <c r="BH350" i="81"/>
  <c r="BH297" i="81"/>
  <c r="BP305" i="81"/>
  <c r="BP313" i="81"/>
  <c r="BH353" i="81"/>
  <c r="BH304" i="81"/>
  <c r="BH312" i="81"/>
  <c r="BP336" i="81"/>
  <c r="BH348" i="81"/>
  <c r="BH356" i="81"/>
  <c r="BP307" i="81"/>
  <c r="BH319" i="81"/>
  <c r="BH339" i="81"/>
  <c r="BH347" i="81"/>
  <c r="BH364" i="81"/>
  <c r="BH369" i="81"/>
  <c r="BP377" i="81"/>
  <c r="BP385" i="81"/>
  <c r="BP393" i="81"/>
  <c r="BP407" i="81"/>
  <c r="BV427" i="81"/>
  <c r="BH380" i="81"/>
  <c r="BH363" i="81"/>
  <c r="BH379" i="81"/>
  <c r="BH395" i="81"/>
  <c r="BV407" i="81"/>
  <c r="AS358" i="81"/>
  <c r="BG358" i="81" s="1"/>
  <c r="BH374" i="81"/>
  <c r="BH390" i="81"/>
  <c r="BH419" i="81"/>
  <c r="BG419" i="81"/>
  <c r="BH418" i="81"/>
  <c r="BP430" i="81"/>
  <c r="BH441" i="81"/>
  <c r="BH449" i="81"/>
  <c r="BH457" i="81"/>
  <c r="BH409" i="81"/>
  <c r="BH425" i="81"/>
  <c r="BP449" i="81"/>
  <c r="BH404" i="81"/>
  <c r="BH412" i="81"/>
  <c r="BH424" i="81"/>
  <c r="BH435" i="81"/>
  <c r="BH447" i="81"/>
  <c r="BH463" i="81"/>
  <c r="BH442" i="81"/>
  <c r="BH458" i="81"/>
  <c r="BP465" i="81"/>
  <c r="AS452" i="81"/>
  <c r="H54" i="43"/>
  <c r="G54" i="43" s="1"/>
  <c r="H53" i="43"/>
  <c r="G53" i="43" s="1"/>
  <c r="H58" i="43"/>
  <c r="G58" i="43" s="1"/>
  <c r="H57" i="43"/>
  <c r="G57" i="43" s="1"/>
  <c r="H56" i="43"/>
  <c r="G56" i="43" s="1"/>
  <c r="H55" i="43"/>
  <c r="G55" i="43" s="1"/>
  <c r="H52" i="43"/>
  <c r="G52" i="43" s="1"/>
  <c r="H51" i="43"/>
  <c r="G51" i="43" s="1"/>
  <c r="H50" i="43"/>
  <c r="G50" i="43" s="1"/>
  <c r="BS92" i="81"/>
  <c r="BG86" i="81"/>
  <c r="BS72" i="81"/>
  <c r="BH71" i="81"/>
  <c r="BH63" i="81"/>
  <c r="BH55" i="81"/>
  <c r="BS51" i="81"/>
  <c r="BU46" i="81"/>
  <c r="BP42" i="81"/>
  <c r="BP31" i="81"/>
  <c r="BS7" i="81"/>
  <c r="AV61" i="81"/>
  <c r="BJ61" i="81" s="1"/>
  <c r="AV77" i="81"/>
  <c r="C28" i="15"/>
  <c r="BX101" i="81"/>
  <c r="BG90" i="81"/>
  <c r="BG80" i="81"/>
  <c r="BG78" i="81"/>
  <c r="BX44" i="81"/>
  <c r="BX43" i="81"/>
  <c r="BV43" i="81"/>
  <c r="AT40" i="81"/>
  <c r="BS37" i="81"/>
  <c r="AU36" i="81"/>
  <c r="BG33" i="81"/>
  <c r="BV26" i="81"/>
  <c r="AT21" i="81"/>
  <c r="BH21" i="81" s="1"/>
  <c r="AU8" i="81"/>
  <c r="BI8" i="81" s="1"/>
  <c r="AU47" i="81"/>
  <c r="AU63" i="81"/>
  <c r="BI63" i="81" s="1"/>
  <c r="AU79" i="81"/>
  <c r="AU95" i="81"/>
  <c r="AU117" i="81"/>
  <c r="AU62" i="81"/>
  <c r="BI62" i="81" s="1"/>
  <c r="AU78" i="81"/>
  <c r="BI78" i="81" s="1"/>
  <c r="AU94" i="81"/>
  <c r="AU85" i="81"/>
  <c r="AU101" i="81"/>
  <c r="BI101" i="81" s="1"/>
  <c r="AU22" i="81"/>
  <c r="BI22" i="81" s="1"/>
  <c r="AU84" i="81"/>
  <c r="BI84" i="81" s="1"/>
  <c r="AU100" i="81"/>
  <c r="AU156" i="81"/>
  <c r="AU173" i="81"/>
  <c r="AU218" i="81"/>
  <c r="AU123" i="81"/>
  <c r="AU139" i="81"/>
  <c r="AU155" i="81"/>
  <c r="BI155" i="81" s="1"/>
  <c r="AU168" i="81"/>
  <c r="AU184" i="81"/>
  <c r="AU190" i="81"/>
  <c r="BI190" i="81" s="1"/>
  <c r="AU222" i="81"/>
  <c r="AU118" i="81"/>
  <c r="AU150" i="81"/>
  <c r="AU167" i="81"/>
  <c r="BI167" i="81" s="1"/>
  <c r="AU183" i="81"/>
  <c r="BI183" i="81" s="1"/>
  <c r="AU226" i="81"/>
  <c r="AU161" i="81"/>
  <c r="AU178" i="81"/>
  <c r="AU230" i="81"/>
  <c r="AU246" i="81"/>
  <c r="AU262" i="81"/>
  <c r="BI262" i="81" s="1"/>
  <c r="AU205" i="81"/>
  <c r="AU221" i="81"/>
  <c r="BI221" i="81" s="1"/>
  <c r="AU237" i="81"/>
  <c r="AU253" i="81"/>
  <c r="BI253" i="81" s="1"/>
  <c r="AU270" i="81"/>
  <c r="BI270" i="81" s="1"/>
  <c r="AU204" i="81"/>
  <c r="BI204" i="81" s="1"/>
  <c r="AU220" i="81"/>
  <c r="BI220" i="81" s="1"/>
  <c r="AU236" i="81"/>
  <c r="AU252" i="81"/>
  <c r="BY252" i="81" s="1"/>
  <c r="AU266" i="81"/>
  <c r="BI266" i="81" s="1"/>
  <c r="AU293" i="81"/>
  <c r="AU203" i="81"/>
  <c r="BI203" i="81" s="1"/>
  <c r="AU235" i="81"/>
  <c r="AU251" i="81"/>
  <c r="AU285" i="81"/>
  <c r="AU276" i="81"/>
  <c r="AU292" i="81"/>
  <c r="BI292" i="81" s="1"/>
  <c r="AU308" i="81"/>
  <c r="BI308" i="81" s="1"/>
  <c r="AU324" i="81"/>
  <c r="BI324" i="81" s="1"/>
  <c r="AU340" i="81"/>
  <c r="AU356" i="81"/>
  <c r="BI356" i="81" s="1"/>
  <c r="AU275" i="81"/>
  <c r="AU291" i="81"/>
  <c r="AU307" i="81"/>
  <c r="BI307" i="81" s="1"/>
  <c r="AU323" i="81"/>
  <c r="AU339" i="81"/>
  <c r="AU355" i="81"/>
  <c r="BI355" i="81" s="1"/>
  <c r="AU286" i="81"/>
  <c r="AU302" i="81"/>
  <c r="BI302" i="81" s="1"/>
  <c r="AU318" i="81"/>
  <c r="BI318" i="81" s="1"/>
  <c r="AU334" i="81"/>
  <c r="BI334" i="81" s="1"/>
  <c r="AU350" i="81"/>
  <c r="AU309" i="81"/>
  <c r="BI309" i="81" s="1"/>
  <c r="AU325" i="81"/>
  <c r="BI325" i="81" s="1"/>
  <c r="AU341" i="81"/>
  <c r="AU357" i="81"/>
  <c r="BI357" i="81" s="1"/>
  <c r="AU387" i="81"/>
  <c r="AU378" i="81"/>
  <c r="BI378" i="81" s="1"/>
  <c r="AU394" i="81"/>
  <c r="BI394" i="81" s="1"/>
  <c r="AU417" i="81"/>
  <c r="BI417" i="81" s="1"/>
  <c r="AU373" i="81"/>
  <c r="AU389" i="81"/>
  <c r="AU421" i="81"/>
  <c r="AU372" i="81"/>
  <c r="BI372" i="81" s="1"/>
  <c r="AU388" i="81"/>
  <c r="AU413" i="81"/>
  <c r="BI413" i="81" s="1"/>
  <c r="AU412" i="81"/>
  <c r="AU411" i="81"/>
  <c r="AU427" i="81"/>
  <c r="BI427" i="81" s="1"/>
  <c r="AU441" i="81"/>
  <c r="AU457" i="81"/>
  <c r="AU430" i="81"/>
  <c r="AU439" i="81"/>
  <c r="BI439" i="81" s="1"/>
  <c r="AU455" i="81"/>
  <c r="BI455" i="81" s="1"/>
  <c r="AU459" i="81"/>
  <c r="AU446" i="81"/>
  <c r="AU462" i="81"/>
  <c r="BI462" i="81" s="1"/>
  <c r="BH38" i="81"/>
  <c r="BS20" i="81"/>
  <c r="BI17" i="81"/>
  <c r="BV13" i="81"/>
  <c r="BX13" i="81"/>
  <c r="BX8" i="81"/>
  <c r="BV8" i="81"/>
  <c r="BG6" i="81"/>
  <c r="BX18" i="81"/>
  <c r="BI20" i="81"/>
  <c r="CB26" i="81"/>
  <c r="BX22" i="81"/>
  <c r="BV22" i="81"/>
  <c r="BV17" i="81"/>
  <c r="BX6" i="81"/>
  <c r="K120" i="9"/>
  <c r="A18" i="62" s="1"/>
  <c r="B64" i="72" s="1"/>
  <c r="D6" i="52"/>
  <c r="D121" i="9"/>
  <c r="D7" i="52" s="1"/>
  <c r="BG22" i="81"/>
  <c r="BS15" i="81"/>
  <c r="BV10" i="81"/>
  <c r="C12" i="12"/>
  <c r="E19" i="6"/>
  <c r="K6" i="1" s="1"/>
  <c r="I22" i="80"/>
  <c r="I23" i="80" s="1"/>
  <c r="I4" i="6"/>
  <c r="G13" i="3"/>
  <c r="H5" i="3"/>
  <c r="BQ5" i="3"/>
  <c r="F28" i="6" s="1"/>
  <c r="E15" i="6"/>
  <c r="E13" i="6"/>
  <c r="E11" i="6"/>
  <c r="E8" i="6"/>
  <c r="E14" i="6"/>
  <c r="E12" i="6"/>
  <c r="E10" i="6"/>
  <c r="BA13" i="3"/>
  <c r="D42" i="43"/>
  <c r="G27" i="6"/>
  <c r="G31" i="6" s="1"/>
  <c r="B40" i="1"/>
  <c r="D18" i="53"/>
  <c r="B35" i="72" s="1"/>
  <c r="C7" i="74"/>
  <c r="F11" i="15"/>
  <c r="C53" i="15" s="1"/>
  <c r="M11" i="67"/>
  <c r="J10" i="67" s="1"/>
  <c r="F11" i="67"/>
  <c r="M11" i="15"/>
  <c r="J10" i="15" s="1"/>
  <c r="F36" i="15"/>
  <c r="F26" i="15"/>
  <c r="F27" i="68"/>
  <c r="F35" i="67"/>
  <c r="M6" i="15"/>
  <c r="F42" i="15"/>
  <c r="M9" i="67"/>
  <c r="L47" i="67"/>
  <c r="M27" i="67"/>
  <c r="M24" i="15"/>
  <c r="M23" i="67"/>
  <c r="C36" i="68"/>
  <c r="F8" i="15"/>
  <c r="F38" i="67"/>
  <c r="L48" i="15"/>
  <c r="J15" i="15"/>
  <c r="F26" i="67"/>
  <c r="C76" i="67"/>
  <c r="F42" i="67"/>
  <c r="M8" i="15"/>
  <c r="M29" i="15"/>
  <c r="L47" i="15"/>
  <c r="M9" i="15"/>
  <c r="F40" i="15"/>
  <c r="F43" i="15"/>
  <c r="F16" i="15"/>
  <c r="F16" i="67"/>
  <c r="M6" i="67"/>
  <c r="F37" i="15"/>
  <c r="F6" i="15"/>
  <c r="F6" i="67"/>
  <c r="F41" i="67"/>
  <c r="D9" i="68"/>
  <c r="F38" i="15"/>
  <c r="F37" i="67"/>
  <c r="M21" i="67"/>
  <c r="M26" i="15"/>
  <c r="M27" i="15"/>
  <c r="F13" i="15"/>
  <c r="F8" i="67"/>
  <c r="F43" i="67"/>
  <c r="M22" i="15"/>
  <c r="M28" i="67"/>
  <c r="M28" i="15"/>
  <c r="C76" i="15"/>
  <c r="M26" i="67"/>
  <c r="F13" i="67"/>
  <c r="F9" i="67"/>
  <c r="F7" i="67"/>
  <c r="L48" i="67"/>
  <c r="M8" i="67"/>
  <c r="F40" i="67"/>
  <c r="J15" i="67"/>
  <c r="F7" i="15"/>
  <c r="M29" i="67"/>
  <c r="F36" i="67"/>
  <c r="F9" i="15"/>
  <c r="M24" i="67"/>
  <c r="M22" i="67"/>
  <c r="M23" i="15"/>
  <c r="BS374" i="81" l="1"/>
  <c r="AW61" i="81"/>
  <c r="BS431" i="81"/>
  <c r="F50" i="67"/>
  <c r="M7" i="67"/>
  <c r="J6" i="67" s="1"/>
  <c r="F51" i="15"/>
  <c r="L59" i="15"/>
  <c r="L58" i="15"/>
  <c r="M59" i="15"/>
  <c r="N59" i="15"/>
  <c r="J57" i="15"/>
  <c r="J55" i="15" s="1"/>
  <c r="J58" i="15" s="1"/>
  <c r="Q50" i="15" s="1"/>
  <c r="I54" i="15"/>
  <c r="L60" i="15"/>
  <c r="J53" i="15"/>
  <c r="L56" i="15"/>
  <c r="L57" i="15"/>
  <c r="F64" i="67"/>
  <c r="F65" i="15"/>
  <c r="C27" i="15"/>
  <c r="C27" i="67"/>
  <c r="F71" i="67"/>
  <c r="J20" i="67"/>
  <c r="F68" i="67"/>
  <c r="F66" i="67"/>
  <c r="F69" i="67"/>
  <c r="F63" i="67"/>
  <c r="C62" i="67" s="1"/>
  <c r="C34" i="67"/>
  <c r="J53" i="67"/>
  <c r="J57" i="67"/>
  <c r="J55" i="67" s="1"/>
  <c r="J58" i="67" s="1"/>
  <c r="Q50" i="67" s="1"/>
  <c r="I54" i="67"/>
  <c r="L56" i="67"/>
  <c r="F51" i="67"/>
  <c r="C49" i="67" s="1"/>
  <c r="C61" i="67" s="1"/>
  <c r="F45" i="68"/>
  <c r="C29" i="68"/>
  <c r="D27" i="68" s="1"/>
  <c r="C47" i="68"/>
  <c r="D45" i="68" s="1"/>
  <c r="F68" i="15"/>
  <c r="Q71" i="67"/>
  <c r="L58" i="67"/>
  <c r="M59" i="67"/>
  <c r="L59" i="67"/>
  <c r="N59" i="67"/>
  <c r="C6" i="67"/>
  <c r="F65" i="67"/>
  <c r="C9" i="68"/>
  <c r="F66" i="15"/>
  <c r="Q71" i="15"/>
  <c r="F64" i="15"/>
  <c r="BS411" i="81"/>
  <c r="AV411" i="81"/>
  <c r="BJ411" i="81" s="1"/>
  <c r="AV350" i="81"/>
  <c r="AV276" i="81"/>
  <c r="BS276" i="81"/>
  <c r="AV236" i="81"/>
  <c r="BJ236" i="81" s="1"/>
  <c r="AV161" i="81"/>
  <c r="BJ161" i="81" s="1"/>
  <c r="AV150" i="81"/>
  <c r="BJ150" i="81" s="1"/>
  <c r="BS150" i="81"/>
  <c r="AV100" i="81"/>
  <c r="AV85" i="81"/>
  <c r="AV47" i="81"/>
  <c r="BJ47" i="81" s="1"/>
  <c r="BP47" i="81"/>
  <c r="BP36" i="81"/>
  <c r="AV36" i="81"/>
  <c r="BJ36" i="81" s="1"/>
  <c r="CA43" i="81"/>
  <c r="CB43" i="81" s="1"/>
  <c r="BY43" i="81"/>
  <c r="M51" i="43"/>
  <c r="N51" i="43" s="1"/>
  <c r="K51" i="43"/>
  <c r="M57" i="43"/>
  <c r="N57" i="43" s="1"/>
  <c r="K57" i="43"/>
  <c r="J57" i="43" s="1"/>
  <c r="D57" i="43" s="1"/>
  <c r="AT452" i="81"/>
  <c r="BP231" i="81"/>
  <c r="AT231" i="81"/>
  <c r="BH231" i="81" s="1"/>
  <c r="BV31" i="81"/>
  <c r="BX31" i="81"/>
  <c r="AA7" i="34"/>
  <c r="R49" i="34" s="1"/>
  <c r="S7" i="34"/>
  <c r="AV57" i="81"/>
  <c r="BJ57" i="81" s="1"/>
  <c r="BV90" i="81"/>
  <c r="BX90" i="81"/>
  <c r="CA119" i="81"/>
  <c r="CB119" i="81" s="1"/>
  <c r="BY119" i="81"/>
  <c r="CA111" i="81"/>
  <c r="CB111" i="81" s="1"/>
  <c r="BY111" i="81"/>
  <c r="CA209" i="81"/>
  <c r="CB209" i="81" s="1"/>
  <c r="BY209" i="81"/>
  <c r="CA273" i="81"/>
  <c r="CB273" i="81" s="1"/>
  <c r="BY273" i="81"/>
  <c r="CA254" i="81"/>
  <c r="CB254" i="81" s="1"/>
  <c r="BY254" i="81"/>
  <c r="BX302" i="81"/>
  <c r="BV302" i="81"/>
  <c r="CA339" i="81"/>
  <c r="CB339" i="81" s="1"/>
  <c r="BY339" i="81"/>
  <c r="CA330" i="81"/>
  <c r="CB330" i="81" s="1"/>
  <c r="BY330" i="81"/>
  <c r="BX274" i="81"/>
  <c r="BV274" i="81"/>
  <c r="BX363" i="81"/>
  <c r="BV363" i="81"/>
  <c r="BX418" i="81"/>
  <c r="CA428" i="81"/>
  <c r="CB428" i="81" s="1"/>
  <c r="BY428" i="81"/>
  <c r="BV446" i="81"/>
  <c r="BX446" i="81"/>
  <c r="CA459" i="81"/>
  <c r="BY459" i="81"/>
  <c r="T52" i="71"/>
  <c r="D52" i="71"/>
  <c r="BX458" i="81"/>
  <c r="BV458" i="81"/>
  <c r="BV450" i="81"/>
  <c r="BX450" i="81"/>
  <c r="D31" i="71"/>
  <c r="C32" i="71"/>
  <c r="CA11" i="81"/>
  <c r="CB11" i="81" s="1"/>
  <c r="BY11" i="81"/>
  <c r="AV464" i="81"/>
  <c r="BJ464" i="81" s="1"/>
  <c r="BP437" i="81"/>
  <c r="AV437" i="81"/>
  <c r="BJ437" i="81" s="1"/>
  <c r="AV398" i="81"/>
  <c r="BJ398" i="81" s="1"/>
  <c r="AV405" i="81"/>
  <c r="AV367" i="81"/>
  <c r="BJ367" i="81" s="1"/>
  <c r="AV298" i="81"/>
  <c r="AV319" i="81"/>
  <c r="BS263" i="81"/>
  <c r="AV263" i="81"/>
  <c r="BS248" i="81"/>
  <c r="AV248" i="81"/>
  <c r="BJ248" i="81" s="1"/>
  <c r="AV258" i="81"/>
  <c r="BJ258" i="81" s="1"/>
  <c r="AV157" i="81"/>
  <c r="BP146" i="81"/>
  <c r="AV146" i="81"/>
  <c r="BJ146" i="81" s="1"/>
  <c r="AV164" i="81"/>
  <c r="BJ164" i="81" s="1"/>
  <c r="BP164" i="81"/>
  <c r="AV202" i="81"/>
  <c r="BS125" i="81"/>
  <c r="AV125" i="81"/>
  <c r="BJ125" i="81" s="1"/>
  <c r="AV90" i="81"/>
  <c r="BJ90" i="81" s="1"/>
  <c r="BJ109" i="81"/>
  <c r="AV109" i="81"/>
  <c r="AV43" i="81"/>
  <c r="BJ43" i="81" s="1"/>
  <c r="CA97" i="81"/>
  <c r="CB97" i="81" s="1"/>
  <c r="BY97" i="81"/>
  <c r="BP211" i="81"/>
  <c r="AT211" i="81"/>
  <c r="BH211" i="81" s="1"/>
  <c r="BS229" i="81"/>
  <c r="BS306" i="81"/>
  <c r="BS305" i="81"/>
  <c r="BS353" i="81"/>
  <c r="BS361" i="81"/>
  <c r="BS377" i="81"/>
  <c r="BS393" i="81"/>
  <c r="BS404" i="81"/>
  <c r="BS465" i="81"/>
  <c r="CB25" i="81"/>
  <c r="AV30" i="81"/>
  <c r="BP30" i="81"/>
  <c r="BX58" i="81"/>
  <c r="D65" i="40"/>
  <c r="E63" i="40"/>
  <c r="F7" i="33"/>
  <c r="BI367" i="81"/>
  <c r="BI202" i="81"/>
  <c r="BY61" i="81"/>
  <c r="CA77" i="81"/>
  <c r="CB77" i="81" s="1"/>
  <c r="BY77" i="81"/>
  <c r="CA95" i="81"/>
  <c r="CB95" i="81" s="1"/>
  <c r="BY95" i="81"/>
  <c r="BY92" i="81"/>
  <c r="CA92" i="81"/>
  <c r="CB92" i="81" s="1"/>
  <c r="CB133" i="81"/>
  <c r="BX141" i="81"/>
  <c r="BV141" i="81"/>
  <c r="CB165" i="81"/>
  <c r="CA162" i="81"/>
  <c r="CB162" i="81" s="1"/>
  <c r="BY162" i="81"/>
  <c r="CA179" i="81"/>
  <c r="CB179" i="81" s="1"/>
  <c r="BY188" i="81"/>
  <c r="BV147" i="81"/>
  <c r="BV164" i="81"/>
  <c r="CB181" i="81"/>
  <c r="BV186" i="81"/>
  <c r="BX129" i="81"/>
  <c r="BV129" i="81"/>
  <c r="BY174" i="81"/>
  <c r="CA174" i="81"/>
  <c r="CB174" i="81" s="1"/>
  <c r="CB236" i="81"/>
  <c r="CB232" i="81"/>
  <c r="BY255" i="81"/>
  <c r="CA255" i="81"/>
  <c r="CB255" i="81" s="1"/>
  <c r="BV242" i="81"/>
  <c r="CB197" i="81"/>
  <c r="BV205" i="81"/>
  <c r="BV221" i="81"/>
  <c r="CB240" i="81"/>
  <c r="CB281" i="81"/>
  <c r="BV292" i="81"/>
  <c r="BV311" i="81"/>
  <c r="CB328" i="81"/>
  <c r="CA334" i="81"/>
  <c r="CB334" i="81" s="1"/>
  <c r="BY334" i="81"/>
  <c r="BV360" i="81"/>
  <c r="CB293" i="81"/>
  <c r="CA354" i="81"/>
  <c r="CB354" i="81" s="1"/>
  <c r="BY354" i="81"/>
  <c r="CA283" i="81"/>
  <c r="CB283" i="81" s="1"/>
  <c r="BY283" i="81"/>
  <c r="CA346" i="81"/>
  <c r="CB346" i="81" s="1"/>
  <c r="BY346" i="81"/>
  <c r="CB377" i="81"/>
  <c r="BV361" i="81"/>
  <c r="BX374" i="81"/>
  <c r="BX390" i="81"/>
  <c r="CB421" i="81"/>
  <c r="BX414" i="81"/>
  <c r="BV414" i="81"/>
  <c r="BS442" i="81"/>
  <c r="CA463" i="81"/>
  <c r="CB463" i="81" s="1"/>
  <c r="BY463" i="81"/>
  <c r="D22" i="71"/>
  <c r="C21" i="71"/>
  <c r="T40" i="71"/>
  <c r="D40" i="71"/>
  <c r="BX398" i="81"/>
  <c r="BV398" i="81"/>
  <c r="B2" i="77"/>
  <c r="B3" i="77" s="1"/>
  <c r="C41" i="77"/>
  <c r="BV14" i="81"/>
  <c r="BV4" i="81"/>
  <c r="CB34" i="81"/>
  <c r="BV19" i="81"/>
  <c r="AV406" i="81"/>
  <c r="BJ406" i="81" s="1"/>
  <c r="AV420" i="81"/>
  <c r="BJ420" i="81" s="1"/>
  <c r="AV362" i="81"/>
  <c r="BJ362" i="81" s="1"/>
  <c r="AV299" i="81"/>
  <c r="BJ299" i="81" s="1"/>
  <c r="AV243" i="81"/>
  <c r="BJ243" i="81" s="1"/>
  <c r="BS243" i="81"/>
  <c r="AV228" i="81"/>
  <c r="BJ228" i="81" s="1"/>
  <c r="AV153" i="81"/>
  <c r="AV126" i="81"/>
  <c r="BJ126" i="81" s="1"/>
  <c r="AV163" i="81"/>
  <c r="AV181" i="81"/>
  <c r="BS181" i="81"/>
  <c r="BP145" i="81"/>
  <c r="AV145" i="81"/>
  <c r="AV55" i="81"/>
  <c r="BP55" i="81"/>
  <c r="CA39" i="81"/>
  <c r="CB39" i="81" s="1"/>
  <c r="BY39" i="81"/>
  <c r="CA47" i="81"/>
  <c r="CB47" i="81" s="1"/>
  <c r="BY47" i="81"/>
  <c r="CA79" i="81"/>
  <c r="CB79" i="81" s="1"/>
  <c r="BY79" i="81"/>
  <c r="BS5" i="81"/>
  <c r="CA75" i="81"/>
  <c r="CB75" i="81" s="1"/>
  <c r="BY75" i="81"/>
  <c r="BY37" i="81"/>
  <c r="CA105" i="81"/>
  <c r="CB105" i="81" s="1"/>
  <c r="BY105" i="81"/>
  <c r="S7" i="35"/>
  <c r="AA7" i="35"/>
  <c r="R38" i="35" s="1"/>
  <c r="W7" i="21"/>
  <c r="AC7" i="21"/>
  <c r="V48" i="21" s="1"/>
  <c r="I48" i="21" s="1"/>
  <c r="BI181" i="81"/>
  <c r="BI161" i="81"/>
  <c r="BI57" i="81"/>
  <c r="BS38" i="81"/>
  <c r="CA83" i="81"/>
  <c r="CB83" i="81" s="1"/>
  <c r="BY83" i="81"/>
  <c r="BX86" i="81"/>
  <c r="BV102" i="81"/>
  <c r="BX102" i="81"/>
  <c r="CB173" i="81"/>
  <c r="BY156" i="81"/>
  <c r="BV127" i="81"/>
  <c r="BV161" i="81"/>
  <c r="BV178" i="81"/>
  <c r="CA131" i="81"/>
  <c r="CB131" i="81" s="1"/>
  <c r="BY131" i="81"/>
  <c r="CA150" i="81"/>
  <c r="CB150" i="81" s="1"/>
  <c r="BY150" i="81"/>
  <c r="CB204" i="81"/>
  <c r="BX222" i="81"/>
  <c r="BV222" i="81"/>
  <c r="BY251" i="81"/>
  <c r="CA251" i="81"/>
  <c r="CB251" i="81" s="1"/>
  <c r="CA234" i="81"/>
  <c r="CB234" i="81" s="1"/>
  <c r="BY234" i="81"/>
  <c r="BV201" i="81"/>
  <c r="BV217" i="81"/>
  <c r="BY253" i="81"/>
  <c r="BY261" i="81"/>
  <c r="BV333" i="81"/>
  <c r="CA343" i="81"/>
  <c r="CB343" i="81" s="1"/>
  <c r="BY343" i="81"/>
  <c r="BY356" i="81"/>
  <c r="BY324" i="81"/>
  <c r="BV357" i="81"/>
  <c r="CA331" i="81"/>
  <c r="CB331" i="81" s="1"/>
  <c r="BY331" i="81"/>
  <c r="BV303" i="81"/>
  <c r="BY332" i="81"/>
  <c r="CA365" i="81"/>
  <c r="CB365" i="81" s="1"/>
  <c r="BY365" i="81"/>
  <c r="CB385" i="81"/>
  <c r="CA369" i="81"/>
  <c r="BY369" i="81"/>
  <c r="BY373" i="81"/>
  <c r="BY389" i="81"/>
  <c r="BV376" i="81"/>
  <c r="BV392" i="81"/>
  <c r="BV420" i="81"/>
  <c r="BX401" i="81"/>
  <c r="BV401" i="81"/>
  <c r="BV429" i="81"/>
  <c r="BX431" i="81"/>
  <c r="BV438" i="81"/>
  <c r="BX438" i="81"/>
  <c r="BV454" i="81"/>
  <c r="BX454" i="81"/>
  <c r="CA461" i="81"/>
  <c r="CB461" i="81" s="1"/>
  <c r="BV465" i="81"/>
  <c r="CB10" i="81"/>
  <c r="BV16" i="81"/>
  <c r="BS22" i="81"/>
  <c r="BV9" i="81"/>
  <c r="AV391" i="81"/>
  <c r="BJ391" i="81" s="1"/>
  <c r="AV225" i="81"/>
  <c r="BJ225" i="81" s="1"/>
  <c r="AV194" i="81"/>
  <c r="BJ194" i="81" s="1"/>
  <c r="AV143" i="81"/>
  <c r="BJ143" i="81" s="1"/>
  <c r="AV160" i="81"/>
  <c r="BJ160" i="81" s="1"/>
  <c r="AU11" i="81"/>
  <c r="BI11" i="81" s="1"/>
  <c r="CB32" i="81"/>
  <c r="BY26" i="81"/>
  <c r="BV51" i="81"/>
  <c r="BS75" i="81"/>
  <c r="BV103" i="81"/>
  <c r="BS35" i="81"/>
  <c r="BV50" i="81"/>
  <c r="BX50" i="81"/>
  <c r="BV70" i="81"/>
  <c r="BX70" i="81"/>
  <c r="AA7" i="36"/>
  <c r="R36" i="36" s="1"/>
  <c r="S7" i="36"/>
  <c r="U7" i="37"/>
  <c r="AB7" i="37"/>
  <c r="T42" i="37" s="1"/>
  <c r="G42" i="37" s="1"/>
  <c r="BI464" i="81"/>
  <c r="BI406" i="81"/>
  <c r="BI391" i="81"/>
  <c r="BI276" i="81"/>
  <c r="BI55" i="81"/>
  <c r="BV99" i="81"/>
  <c r="BV88" i="81"/>
  <c r="BV104" i="81"/>
  <c r="BX134" i="81"/>
  <c r="BV134" i="81"/>
  <c r="CA159" i="81"/>
  <c r="CB159" i="81" s="1"/>
  <c r="BY159" i="81"/>
  <c r="BV146" i="81"/>
  <c r="BX110" i="81"/>
  <c r="BV110" i="81"/>
  <c r="CA163" i="81"/>
  <c r="CB163" i="81" s="1"/>
  <c r="BY163" i="81"/>
  <c r="CA189" i="81"/>
  <c r="CB189" i="81" s="1"/>
  <c r="BY189" i="81"/>
  <c r="BX114" i="81"/>
  <c r="BV114" i="81"/>
  <c r="BV139" i="81"/>
  <c r="BV158" i="81"/>
  <c r="BV196" i="81"/>
  <c r="CB210" i="81"/>
  <c r="CB226" i="81"/>
  <c r="BY263" i="81"/>
  <c r="CA263" i="81"/>
  <c r="CB263" i="81" s="1"/>
  <c r="BV239" i="81"/>
  <c r="BY248" i="81"/>
  <c r="BV258" i="81"/>
  <c r="BX203" i="81"/>
  <c r="CA269" i="81"/>
  <c r="CB269" i="81" s="1"/>
  <c r="BY269" i="81"/>
  <c r="CA310" i="81"/>
  <c r="CB310" i="81" s="1"/>
  <c r="BY310" i="81"/>
  <c r="CA287" i="81"/>
  <c r="CB287" i="81" s="1"/>
  <c r="BY287" i="81"/>
  <c r="BY329" i="81"/>
  <c r="CA329" i="81"/>
  <c r="CB329" i="81" s="1"/>
  <c r="BY353" i="81"/>
  <c r="CA353" i="81"/>
  <c r="CB353" i="81" s="1"/>
  <c r="BV288" i="81"/>
  <c r="CB308" i="81"/>
  <c r="BY349" i="81"/>
  <c r="CA349" i="81"/>
  <c r="CB349" i="81" s="1"/>
  <c r="BX270" i="81"/>
  <c r="BV270" i="81"/>
  <c r="BY381" i="81"/>
  <c r="BX371" i="81"/>
  <c r="BV371" i="81"/>
  <c r="CA408" i="81"/>
  <c r="CB408" i="81" s="1"/>
  <c r="BY408" i="81"/>
  <c r="AU46" i="81"/>
  <c r="BI46" i="81" s="1"/>
  <c r="BK393" i="81"/>
  <c r="BK289" i="81"/>
  <c r="BK342" i="81"/>
  <c r="AU72" i="81"/>
  <c r="BI72" i="81" s="1"/>
  <c r="AU130" i="81"/>
  <c r="AU219" i="81"/>
  <c r="AU277" i="81"/>
  <c r="BP277" i="81"/>
  <c r="AU426" i="81"/>
  <c r="BI426" i="81" s="1"/>
  <c r="BK449" i="81"/>
  <c r="BS449" i="81"/>
  <c r="BS327" i="81"/>
  <c r="BK279" i="81"/>
  <c r="BS279" i="81"/>
  <c r="BK238" i="81"/>
  <c r="BS238" i="81"/>
  <c r="BK255" i="81"/>
  <c r="BK257" i="81"/>
  <c r="BS257" i="81"/>
  <c r="BK182" i="81"/>
  <c r="BS182" i="81"/>
  <c r="BK65" i="81"/>
  <c r="AU227" i="81"/>
  <c r="BI227" i="81" s="1"/>
  <c r="BI213" i="81"/>
  <c r="AU213" i="81"/>
  <c r="AU274" i="81"/>
  <c r="BI274" i="81" s="1"/>
  <c r="BK399" i="81"/>
  <c r="BK336" i="81"/>
  <c r="BK281" i="81"/>
  <c r="BK268" i="81"/>
  <c r="BS268" i="81"/>
  <c r="BK234" i="81"/>
  <c r="BS234" i="81"/>
  <c r="BK83" i="81"/>
  <c r="BS83" i="81"/>
  <c r="BK105" i="81"/>
  <c r="BK41" i="81"/>
  <c r="AU137" i="81"/>
  <c r="BP137" i="81"/>
  <c r="AU201" i="81"/>
  <c r="BI201" i="81" s="1"/>
  <c r="BP201" i="81"/>
  <c r="BS416" i="81"/>
  <c r="AU416" i="81"/>
  <c r="BK332" i="81"/>
  <c r="BK361" i="81"/>
  <c r="BK313" i="81"/>
  <c r="BK280" i="81"/>
  <c r="BS280" i="81"/>
  <c r="BK265" i="81"/>
  <c r="BI29" i="81"/>
  <c r="AU29" i="81"/>
  <c r="BI294" i="81"/>
  <c r="AU294" i="81"/>
  <c r="BK415" i="81"/>
  <c r="BK337" i="81"/>
  <c r="BS337" i="81"/>
  <c r="BK338" i="81"/>
  <c r="BS338" i="81"/>
  <c r="J5" i="67"/>
  <c r="J26" i="67" s="1"/>
  <c r="J29" i="67" s="1"/>
  <c r="AV430" i="81"/>
  <c r="BJ430" i="81" s="1"/>
  <c r="AV417" i="81"/>
  <c r="BJ417" i="81" s="1"/>
  <c r="BJ286" i="81"/>
  <c r="AV286" i="81"/>
  <c r="AV340" i="81"/>
  <c r="BJ340" i="81" s="1"/>
  <c r="BJ203" i="81"/>
  <c r="AV203" i="81"/>
  <c r="BP262" i="81"/>
  <c r="AV262" i="81"/>
  <c r="BJ262" i="81" s="1"/>
  <c r="AV184" i="81"/>
  <c r="BS184" i="81"/>
  <c r="AV123" i="81"/>
  <c r="BJ123" i="81" s="1"/>
  <c r="BS123" i="81"/>
  <c r="AV117" i="81"/>
  <c r="CA18" i="81"/>
  <c r="CB18" i="81" s="1"/>
  <c r="BY18" i="81"/>
  <c r="CA8" i="81"/>
  <c r="CB8" i="81" s="1"/>
  <c r="BY8" i="81"/>
  <c r="AV459" i="81"/>
  <c r="BS412" i="81"/>
  <c r="AV412" i="81"/>
  <c r="BJ412" i="81" s="1"/>
  <c r="BJ394" i="81"/>
  <c r="AV394" i="81"/>
  <c r="AV334" i="81"/>
  <c r="BJ334" i="81" s="1"/>
  <c r="AV291" i="81"/>
  <c r="BJ291" i="81" s="1"/>
  <c r="AV285" i="81"/>
  <c r="BJ285" i="81" s="1"/>
  <c r="BS285" i="81"/>
  <c r="BS220" i="81"/>
  <c r="AV220" i="81"/>
  <c r="BJ220" i="81" s="1"/>
  <c r="BJ246" i="81"/>
  <c r="AV246" i="81"/>
  <c r="BS246" i="81"/>
  <c r="AV118" i="81"/>
  <c r="AV218" i="81"/>
  <c r="AV94" i="81"/>
  <c r="AV8" i="81"/>
  <c r="BJ8" i="81" s="1"/>
  <c r="BS77" i="81"/>
  <c r="M52" i="43"/>
  <c r="N52" i="43" s="1"/>
  <c r="K52" i="43"/>
  <c r="M58" i="43"/>
  <c r="N58" i="43" s="1"/>
  <c r="K58" i="43"/>
  <c r="J58" i="43" s="1"/>
  <c r="BP215" i="81"/>
  <c r="AT215" i="81"/>
  <c r="BH215" i="81" s="1"/>
  <c r="AT24" i="81"/>
  <c r="BH24" i="81" s="1"/>
  <c r="BI184" i="81"/>
  <c r="BY106" i="81"/>
  <c r="CA106" i="81"/>
  <c r="CB106" i="81" s="1"/>
  <c r="BY243" i="81"/>
  <c r="CA243" i="81"/>
  <c r="CB243" i="81" s="1"/>
  <c r="CA342" i="81"/>
  <c r="CB342" i="81" s="1"/>
  <c r="BY342" i="81"/>
  <c r="BY364" i="81"/>
  <c r="CA364" i="81"/>
  <c r="CB364" i="81" s="1"/>
  <c r="BY396" i="81"/>
  <c r="CA396" i="81"/>
  <c r="CB396" i="81" s="1"/>
  <c r="AV451" i="81"/>
  <c r="BV451" i="81" s="1"/>
  <c r="BJ423" i="81"/>
  <c r="BS423" i="81"/>
  <c r="AV423" i="81"/>
  <c r="AV346" i="81"/>
  <c r="BJ346" i="81" s="1"/>
  <c r="AV303" i="81"/>
  <c r="BJ303" i="81" s="1"/>
  <c r="AV232" i="81"/>
  <c r="BJ232" i="81" s="1"/>
  <c r="AV242" i="81"/>
  <c r="AV114" i="81"/>
  <c r="BJ114" i="81" s="1"/>
  <c r="AV169" i="81"/>
  <c r="AV74" i="81"/>
  <c r="BJ74" i="81" s="1"/>
  <c r="BK9" i="81"/>
  <c r="AT35" i="81"/>
  <c r="AW23" i="81"/>
  <c r="BK23" i="81" s="1"/>
  <c r="AX465" i="81"/>
  <c r="BM465" i="81" s="1"/>
  <c r="AX461" i="81"/>
  <c r="BM461" i="81" s="1"/>
  <c r="AX449" i="81"/>
  <c r="BM449" i="81" s="1"/>
  <c r="AX445" i="81"/>
  <c r="BM445" i="81" s="1"/>
  <c r="AX463" i="81"/>
  <c r="BM463" i="81" s="1"/>
  <c r="AX460" i="81"/>
  <c r="AX433" i="81"/>
  <c r="BM433" i="81" s="1"/>
  <c r="AX429" i="81"/>
  <c r="BM429" i="81" s="1"/>
  <c r="AX425" i="81"/>
  <c r="BM425" i="81" s="1"/>
  <c r="AX401" i="81"/>
  <c r="BM401" i="81" s="1"/>
  <c r="AX402" i="81"/>
  <c r="BM402" i="81" s="1"/>
  <c r="AX454" i="81"/>
  <c r="BM454" i="81" s="1"/>
  <c r="AX450" i="81"/>
  <c r="BM450" i="81" s="1"/>
  <c r="AX438" i="81"/>
  <c r="BM438" i="81" s="1"/>
  <c r="AX415" i="81"/>
  <c r="BM415" i="81" s="1"/>
  <c r="AX400" i="81"/>
  <c r="BM400" i="81" s="1"/>
  <c r="AX399" i="81"/>
  <c r="BM399" i="81" s="1"/>
  <c r="AX396" i="81"/>
  <c r="BM396" i="81" s="1"/>
  <c r="AX392" i="81"/>
  <c r="BM392" i="81" s="1"/>
  <c r="AX384" i="81"/>
  <c r="BM384" i="81" s="1"/>
  <c r="AX376" i="81"/>
  <c r="BM376" i="81" s="1"/>
  <c r="AX368" i="81"/>
  <c r="BM368" i="81" s="1"/>
  <c r="AX364" i="81"/>
  <c r="BM364" i="81" s="1"/>
  <c r="AX408" i="81"/>
  <c r="BM408" i="81" s="1"/>
  <c r="AX397" i="81"/>
  <c r="BM397" i="81" s="1"/>
  <c r="AX393" i="81"/>
  <c r="BM393" i="81" s="1"/>
  <c r="AX381" i="81"/>
  <c r="BM381" i="81" s="1"/>
  <c r="AX377" i="81"/>
  <c r="BM377" i="81" s="1"/>
  <c r="AX404" i="81"/>
  <c r="BM404" i="81" s="1"/>
  <c r="AX386" i="81"/>
  <c r="BM386" i="81" s="1"/>
  <c r="AX382" i="81"/>
  <c r="BM382" i="81" s="1"/>
  <c r="AX370" i="81"/>
  <c r="BM370" i="81" s="1"/>
  <c r="AX361" i="81"/>
  <c r="BM361" i="81" s="1"/>
  <c r="AX352" i="81"/>
  <c r="BM352" i="81" s="1"/>
  <c r="AX348" i="81"/>
  <c r="BM348" i="81" s="1"/>
  <c r="AX344" i="81"/>
  <c r="BM344" i="81" s="1"/>
  <c r="AX336" i="81"/>
  <c r="BM336" i="81" s="1"/>
  <c r="AX332" i="81"/>
  <c r="BM332" i="81" s="1"/>
  <c r="AX328" i="81"/>
  <c r="BM328" i="81" s="1"/>
  <c r="AX320" i="81"/>
  <c r="BM320" i="81" s="1"/>
  <c r="AX316" i="81"/>
  <c r="BM316" i="81" s="1"/>
  <c r="AX312" i="81"/>
  <c r="BM312" i="81" s="1"/>
  <c r="AX304" i="81"/>
  <c r="BM304" i="81" s="1"/>
  <c r="AX353" i="81"/>
  <c r="BM353" i="81" s="1"/>
  <c r="AX349" i="81"/>
  <c r="BM349" i="81" s="1"/>
  <c r="AX345" i="81"/>
  <c r="BM345" i="81" s="1"/>
  <c r="AX337" i="81"/>
  <c r="BM337" i="81" s="1"/>
  <c r="AX333" i="81"/>
  <c r="BM333" i="81" s="1"/>
  <c r="AX329" i="81"/>
  <c r="BM329" i="81" s="1"/>
  <c r="AX321" i="81"/>
  <c r="BM321" i="81" s="1"/>
  <c r="AX317" i="81"/>
  <c r="BM317" i="81" s="1"/>
  <c r="AX313" i="81"/>
  <c r="BM313" i="81" s="1"/>
  <c r="AX305" i="81"/>
  <c r="BM305" i="81" s="1"/>
  <c r="AX297" i="81"/>
  <c r="BM297" i="81" s="1"/>
  <c r="AX289" i="81"/>
  <c r="BM289" i="81" s="1"/>
  <c r="AX281" i="81"/>
  <c r="BM281" i="81" s="1"/>
  <c r="AX354" i="81"/>
  <c r="BM354" i="81" s="1"/>
  <c r="AX342" i="81"/>
  <c r="AX338" i="81"/>
  <c r="BM338" i="81" s="1"/>
  <c r="AX326" i="81"/>
  <c r="BM326" i="81" s="1"/>
  <c r="AX322" i="81"/>
  <c r="BM322" i="81" s="1"/>
  <c r="AX310" i="81"/>
  <c r="BM310" i="81" s="1"/>
  <c r="AX306" i="81"/>
  <c r="BM306" i="81" s="1"/>
  <c r="AX290" i="81"/>
  <c r="BM290" i="81" s="1"/>
  <c r="AX278" i="81"/>
  <c r="BM278" i="81" s="1"/>
  <c r="AX360" i="81"/>
  <c r="BM360" i="81" s="1"/>
  <c r="AX343" i="81"/>
  <c r="BM343" i="81" s="1"/>
  <c r="AX311" i="81"/>
  <c r="BM311" i="81" s="1"/>
  <c r="AX295" i="81"/>
  <c r="BM295" i="81" s="1"/>
  <c r="AX279" i="81"/>
  <c r="BM279" i="81" s="1"/>
  <c r="AX300" i="81"/>
  <c r="BM300" i="81" s="1"/>
  <c r="AX254" i="81"/>
  <c r="BM254" i="81" s="1"/>
  <c r="AX250" i="81"/>
  <c r="BM250" i="81" s="1"/>
  <c r="AX238" i="81"/>
  <c r="BM238" i="81" s="1"/>
  <c r="AX234" i="81"/>
  <c r="BM234" i="81" s="1"/>
  <c r="AX206" i="81"/>
  <c r="BM206" i="81" s="1"/>
  <c r="AX255" i="81"/>
  <c r="BM255" i="81" s="1"/>
  <c r="AX239" i="81"/>
  <c r="BM239" i="81" s="1"/>
  <c r="AX223" i="81"/>
  <c r="BM223" i="81" s="1"/>
  <c r="AX191" i="81"/>
  <c r="BM191" i="81" s="1"/>
  <c r="AX187" i="81"/>
  <c r="BM187" i="81" s="1"/>
  <c r="AX280" i="81"/>
  <c r="BM280" i="81" s="1"/>
  <c r="AX272" i="81"/>
  <c r="BM272" i="81" s="1"/>
  <c r="AX268" i="81"/>
  <c r="BM268" i="81" s="1"/>
  <c r="AX256" i="81"/>
  <c r="BM256" i="81" s="1"/>
  <c r="AX240" i="81"/>
  <c r="BM240" i="81" s="1"/>
  <c r="AX224" i="81"/>
  <c r="BM224" i="81" s="1"/>
  <c r="AX284" i="81"/>
  <c r="BM284" i="81" s="1"/>
  <c r="AX265" i="81"/>
  <c r="BM265" i="81" s="1"/>
  <c r="AX261" i="81"/>
  <c r="BM261" i="81" s="1"/>
  <c r="AX257" i="81"/>
  <c r="BM257" i="81" s="1"/>
  <c r="AX249" i="81"/>
  <c r="BM249" i="81" s="1"/>
  <c r="AX245" i="81"/>
  <c r="BM245" i="81" s="1"/>
  <c r="AX241" i="81"/>
  <c r="BM241" i="81" s="1"/>
  <c r="AX233" i="81"/>
  <c r="BM233" i="81" s="1"/>
  <c r="AX229" i="81"/>
  <c r="BM229" i="81" s="1"/>
  <c r="AX182" i="81"/>
  <c r="BM182" i="81" s="1"/>
  <c r="AX166" i="81"/>
  <c r="BM166" i="81" s="1"/>
  <c r="AX149" i="81"/>
  <c r="BM149" i="81" s="1"/>
  <c r="AX129" i="81"/>
  <c r="BM129" i="81" s="1"/>
  <c r="AX121" i="81"/>
  <c r="BM121" i="81" s="1"/>
  <c r="AX209" i="81"/>
  <c r="BM209" i="81" s="1"/>
  <c r="AX192" i="81"/>
  <c r="BM192" i="81" s="1"/>
  <c r="AX107" i="81"/>
  <c r="BM107" i="81" s="1"/>
  <c r="AX116" i="81"/>
  <c r="BM116" i="81" s="1"/>
  <c r="AX83" i="81"/>
  <c r="BM83" i="81" s="1"/>
  <c r="AX67" i="81"/>
  <c r="BM67" i="81" s="1"/>
  <c r="AX51" i="81"/>
  <c r="BM51" i="81" s="1"/>
  <c r="AX104" i="81"/>
  <c r="BM104" i="81" s="1"/>
  <c r="AX92" i="81"/>
  <c r="BM92" i="81" s="1"/>
  <c r="AX88" i="81"/>
  <c r="BM88" i="81" s="1"/>
  <c r="AX105" i="81"/>
  <c r="BM105" i="81" s="1"/>
  <c r="AX97" i="81"/>
  <c r="BM97" i="81" s="1"/>
  <c r="AX93" i="81"/>
  <c r="BM93" i="81" s="1"/>
  <c r="AX89" i="81"/>
  <c r="BM89" i="81" s="1"/>
  <c r="AX81" i="81"/>
  <c r="BM81" i="81" s="1"/>
  <c r="AX65" i="81"/>
  <c r="BM65" i="81" s="1"/>
  <c r="AX61" i="81"/>
  <c r="BM61" i="81" s="1"/>
  <c r="AX49" i="81"/>
  <c r="BM49" i="81" s="1"/>
  <c r="AX45" i="81"/>
  <c r="BM45" i="81" s="1"/>
  <c r="AX41" i="81"/>
  <c r="BM41" i="81" s="1"/>
  <c r="AX102" i="81"/>
  <c r="BM102" i="81" s="1"/>
  <c r="AX98" i="81"/>
  <c r="BM98" i="81" s="1"/>
  <c r="AX86" i="81"/>
  <c r="BM86" i="81" s="1"/>
  <c r="AX82" i="81"/>
  <c r="BM82" i="81" s="1"/>
  <c r="AX70" i="81"/>
  <c r="BM70" i="81" s="1"/>
  <c r="AX66" i="81"/>
  <c r="BM66" i="81" s="1"/>
  <c r="AX54" i="81"/>
  <c r="BM54" i="81" s="1"/>
  <c r="AX50" i="81"/>
  <c r="BM50" i="81" s="1"/>
  <c r="AX14" i="81"/>
  <c r="BM14" i="81" s="1"/>
  <c r="AX13" i="81"/>
  <c r="AX12" i="81"/>
  <c r="AX20" i="81"/>
  <c r="AX15" i="81"/>
  <c r="BM15" i="81" s="1"/>
  <c r="AX9" i="81"/>
  <c r="BM9" i="81" s="1"/>
  <c r="AX6" i="81"/>
  <c r="BM6" i="81" s="1"/>
  <c r="AX4" i="81"/>
  <c r="BM4" i="81" s="1"/>
  <c r="AX27" i="81"/>
  <c r="BM27" i="81" s="1"/>
  <c r="AX17" i="81"/>
  <c r="BM17" i="81" s="1"/>
  <c r="AX16" i="81"/>
  <c r="AX10" i="81"/>
  <c r="BM10" i="81" s="1"/>
  <c r="AX39" i="81"/>
  <c r="AX7" i="81"/>
  <c r="BM7" i="81" s="1"/>
  <c r="AX5" i="81"/>
  <c r="BM5" i="81" s="1"/>
  <c r="BY23" i="81"/>
  <c r="BV36" i="81"/>
  <c r="BV49" i="81"/>
  <c r="BS93" i="81"/>
  <c r="BP13" i="81"/>
  <c r="BS26" i="81"/>
  <c r="BS34" i="81"/>
  <c r="BV53" i="81"/>
  <c r="BS61" i="81"/>
  <c r="BV69" i="81"/>
  <c r="BS106" i="81"/>
  <c r="BS159" i="81"/>
  <c r="BS146" i="81"/>
  <c r="BS139" i="81"/>
  <c r="BY220" i="81"/>
  <c r="BY191" i="81"/>
  <c r="BY199" i="81"/>
  <c r="BV226" i="81"/>
  <c r="BS255" i="81"/>
  <c r="BY212" i="81"/>
  <c r="BV244" i="81"/>
  <c r="BY200" i="81"/>
  <c r="BV212" i="81"/>
  <c r="BS214" i="81"/>
  <c r="BY216" i="81"/>
  <c r="BS269" i="81"/>
  <c r="BS299" i="81"/>
  <c r="BV308" i="81"/>
  <c r="BV381" i="81"/>
  <c r="CB437" i="81"/>
  <c r="BY402" i="81"/>
  <c r="BV413" i="81"/>
  <c r="CB449" i="81"/>
  <c r="BS402" i="81"/>
  <c r="BY415" i="81"/>
  <c r="BV432" i="81"/>
  <c r="BV437" i="81"/>
  <c r="BS399" i="81"/>
  <c r="BP379" i="81"/>
  <c r="CB445" i="81"/>
  <c r="BV440" i="81"/>
  <c r="BV457" i="81"/>
  <c r="BV32" i="81"/>
  <c r="BV45" i="81"/>
  <c r="BP5" i="81"/>
  <c r="BY32" i="81"/>
  <c r="BV65" i="81"/>
  <c r="BV107" i="81"/>
  <c r="BS119" i="81"/>
  <c r="BY107" i="81"/>
  <c r="BS124" i="81"/>
  <c r="BS167" i="81"/>
  <c r="BV177" i="81"/>
  <c r="BS192" i="81"/>
  <c r="BV237" i="81"/>
  <c r="BS251" i="81"/>
  <c r="BV193" i="81"/>
  <c r="BY208" i="81"/>
  <c r="BY224" i="81"/>
  <c r="BV191" i="81"/>
  <c r="BV195" i="81"/>
  <c r="BV199" i="81"/>
  <c r="BV208" i="81"/>
  <c r="BV241" i="81"/>
  <c r="BV257" i="81"/>
  <c r="BV261" i="81"/>
  <c r="BV265" i="81"/>
  <c r="BP235" i="81"/>
  <c r="BY275" i="81"/>
  <c r="BS301" i="81"/>
  <c r="BV312" i="81"/>
  <c r="BV275" i="81"/>
  <c r="BV279" i="81"/>
  <c r="BV340" i="81"/>
  <c r="BS271" i="81"/>
  <c r="BV304" i="81"/>
  <c r="BV336" i="81"/>
  <c r="BV397" i="81"/>
  <c r="BY407" i="81"/>
  <c r="BY411" i="81"/>
  <c r="BV425" i="81"/>
  <c r="CB453" i="81"/>
  <c r="BV449" i="81"/>
  <c r="BV402" i="81"/>
  <c r="BS10" i="81"/>
  <c r="BV28" i="81"/>
  <c r="BS24" i="81"/>
  <c r="BS30" i="81"/>
  <c r="BV61" i="81"/>
  <c r="BS89" i="81"/>
  <c r="BV133" i="81"/>
  <c r="BV137" i="81"/>
  <c r="BV165" i="81"/>
  <c r="BV148" i="81"/>
  <c r="BV188" i="81"/>
  <c r="BS115" i="81"/>
  <c r="BS175" i="81"/>
  <c r="BS140" i="81"/>
  <c r="BV160" i="81"/>
  <c r="BS166" i="81"/>
  <c r="BV236" i="81"/>
  <c r="BY195" i="81"/>
  <c r="BV232" i="81"/>
  <c r="BV230" i="81"/>
  <c r="BV260" i="81"/>
  <c r="BS221" i="81"/>
  <c r="BV240" i="81"/>
  <c r="BV256" i="81"/>
  <c r="BS272" i="81"/>
  <c r="BV289" i="81"/>
  <c r="BV328" i="81"/>
  <c r="BS245" i="81"/>
  <c r="BY271" i="81"/>
  <c r="BV277" i="81"/>
  <c r="BV301" i="81"/>
  <c r="BS216" i="81"/>
  <c r="BV271" i="81"/>
  <c r="BV293" i="81"/>
  <c r="BV377" i="81"/>
  <c r="BV393" i="81"/>
  <c r="BV415" i="81"/>
  <c r="BY423" i="81"/>
  <c r="BY432" i="81"/>
  <c r="CB441" i="81"/>
  <c r="BS407" i="81"/>
  <c r="BS415" i="81"/>
  <c r="BS437" i="81"/>
  <c r="BV445" i="81"/>
  <c r="BV228" i="81"/>
  <c r="BP166" i="81"/>
  <c r="BV200" i="81"/>
  <c r="BP8" i="81"/>
  <c r="BP14" i="81"/>
  <c r="BS17" i="81"/>
  <c r="BP26" i="81"/>
  <c r="BS81" i="81"/>
  <c r="BP7" i="81"/>
  <c r="BP25" i="81"/>
  <c r="BY28" i="81"/>
  <c r="BY36" i="81"/>
  <c r="BV57" i="81"/>
  <c r="BS65" i="81"/>
  <c r="BV73" i="81"/>
  <c r="BS120" i="81"/>
  <c r="BV173" i="81"/>
  <c r="BV156" i="81"/>
  <c r="BS127" i="81"/>
  <c r="BS135" i="81"/>
  <c r="BS173" i="81"/>
  <c r="BY204" i="81"/>
  <c r="BV197" i="81"/>
  <c r="BV214" i="81"/>
  <c r="BY228" i="81"/>
  <c r="BV245" i="81"/>
  <c r="BV249" i="81"/>
  <c r="BS188" i="81"/>
  <c r="BV352" i="81"/>
  <c r="BV356" i="81"/>
  <c r="BY267" i="81"/>
  <c r="BY279" i="81"/>
  <c r="BV324" i="81"/>
  <c r="BS357" i="81"/>
  <c r="BV267" i="81"/>
  <c r="BV332" i="81"/>
  <c r="BV385" i="81"/>
  <c r="BV373" i="81"/>
  <c r="BV389" i="81"/>
  <c r="BS420" i="81"/>
  <c r="BY419" i="81"/>
  <c r="BY427" i="81"/>
  <c r="BL121" i="81"/>
  <c r="BL187" i="81"/>
  <c r="BL280" i="81"/>
  <c r="BS295" i="81"/>
  <c r="BL233" i="81"/>
  <c r="BS265" i="81"/>
  <c r="BL278" i="81"/>
  <c r="BS326" i="81"/>
  <c r="BL342" i="81"/>
  <c r="BL368" i="81"/>
  <c r="BS368" i="81"/>
  <c r="BL312" i="81"/>
  <c r="BL328" i="81"/>
  <c r="BL381" i="81"/>
  <c r="BL397" i="81"/>
  <c r="BL376" i="81"/>
  <c r="BS376" i="81"/>
  <c r="BS392" i="81"/>
  <c r="BL402" i="81"/>
  <c r="BY25" i="81"/>
  <c r="BY41" i="81"/>
  <c r="BI451" i="81"/>
  <c r="BI411" i="81"/>
  <c r="BI291" i="81"/>
  <c r="BI169" i="81"/>
  <c r="BI47" i="81"/>
  <c r="BI28" i="81"/>
  <c r="AU28" i="81"/>
  <c r="BG24" i="81"/>
  <c r="CB61" i="81"/>
  <c r="BV89" i="81"/>
  <c r="BV84" i="81"/>
  <c r="BV100" i="81"/>
  <c r="BY137" i="81"/>
  <c r="CA151" i="81"/>
  <c r="CB151" i="81" s="1"/>
  <c r="BY151" i="81"/>
  <c r="BY148" i="81"/>
  <c r="BV170" i="81"/>
  <c r="BV182" i="81"/>
  <c r="BV115" i="81"/>
  <c r="BV153" i="81"/>
  <c r="BV175" i="81"/>
  <c r="CB184" i="81"/>
  <c r="BY113" i="81"/>
  <c r="CA140" i="81"/>
  <c r="CB140" i="81" s="1"/>
  <c r="BY140" i="81"/>
  <c r="BY160" i="81"/>
  <c r="CA225" i="81"/>
  <c r="CB225" i="81" s="1"/>
  <c r="BY225" i="81"/>
  <c r="BX187" i="81"/>
  <c r="BV187" i="81"/>
  <c r="BX227" i="81"/>
  <c r="BV227" i="81"/>
  <c r="BV250" i="81"/>
  <c r="BG211" i="81"/>
  <c r="CA242" i="81"/>
  <c r="CB242" i="81" s="1"/>
  <c r="BY242" i="81"/>
  <c r="CB199" i="81"/>
  <c r="BG215" i="81"/>
  <c r="BY256" i="81"/>
  <c r="BV272" i="81"/>
  <c r="BY289" i="81"/>
  <c r="BV305" i="81"/>
  <c r="CA284" i="81"/>
  <c r="CB284" i="81" s="1"/>
  <c r="BY284" i="81"/>
  <c r="BY301" i="81"/>
  <c r="BV345" i="81"/>
  <c r="BX286" i="81"/>
  <c r="BV286" i="81"/>
  <c r="BY320" i="81"/>
  <c r="BY285" i="81"/>
  <c r="BX367" i="81"/>
  <c r="BY393" i="81"/>
  <c r="BX410" i="81"/>
  <c r="BV410" i="81"/>
  <c r="CA424" i="81"/>
  <c r="CB424" i="81" s="1"/>
  <c r="BY424" i="81"/>
  <c r="CA416" i="81"/>
  <c r="CB416" i="81" s="1"/>
  <c r="CB448" i="81"/>
  <c r="BX439" i="81"/>
  <c r="BV439" i="81"/>
  <c r="CA14" i="81"/>
  <c r="CB14" i="81" s="1"/>
  <c r="BY14" i="81"/>
  <c r="BY4" i="81"/>
  <c r="CA4" i="81"/>
  <c r="CB4" i="81" s="1"/>
  <c r="CA19" i="81"/>
  <c r="CB19" i="81" s="1"/>
  <c r="BY19" i="81"/>
  <c r="AV434" i="81"/>
  <c r="BJ434" i="81" s="1"/>
  <c r="AV395" i="81"/>
  <c r="BJ395" i="81" s="1"/>
  <c r="AV347" i="81"/>
  <c r="BJ347" i="81" s="1"/>
  <c r="AV283" i="81"/>
  <c r="BJ283" i="81" s="1"/>
  <c r="AV195" i="81"/>
  <c r="BJ195" i="81" s="1"/>
  <c r="AV212" i="81"/>
  <c r="BJ212" i="81" s="1"/>
  <c r="AV175" i="81"/>
  <c r="BJ175" i="81" s="1"/>
  <c r="AV198" i="81"/>
  <c r="BJ198" i="81" s="1"/>
  <c r="AV147" i="81"/>
  <c r="BJ147" i="81" s="1"/>
  <c r="AV165" i="81"/>
  <c r="BJ165" i="81" s="1"/>
  <c r="AV103" i="81"/>
  <c r="BJ103" i="81" s="1"/>
  <c r="BP10" i="81"/>
  <c r="BV34" i="81"/>
  <c r="BY40" i="81"/>
  <c r="CA40" i="81"/>
  <c r="CB40" i="81" s="1"/>
  <c r="CA48" i="81"/>
  <c r="CB48" i="81" s="1"/>
  <c r="BV85" i="81"/>
  <c r="BV25" i="81"/>
  <c r="BS52" i="81"/>
  <c r="CA76" i="81"/>
  <c r="AT371" i="81"/>
  <c r="BH371" i="81" s="1"/>
  <c r="BV204" i="81"/>
  <c r="AT134" i="81"/>
  <c r="BH134" i="81" s="1"/>
  <c r="AT31" i="81"/>
  <c r="BH31" i="81" s="1"/>
  <c r="AV26" i="81"/>
  <c r="BJ26" i="81" s="1"/>
  <c r="BX54" i="81"/>
  <c r="BV81" i="81"/>
  <c r="U7" i="35"/>
  <c r="AB7" i="35"/>
  <c r="T38" i="35" s="1"/>
  <c r="G38" i="35" s="1"/>
  <c r="S7" i="21"/>
  <c r="AA7" i="21"/>
  <c r="R48" i="21" s="1"/>
  <c r="BI246" i="81"/>
  <c r="BI263" i="81"/>
  <c r="BI248" i="81"/>
  <c r="BI165" i="81"/>
  <c r="BI145" i="81"/>
  <c r="BI43" i="81"/>
  <c r="BX38" i="81"/>
  <c r="BV38" i="81"/>
  <c r="BY73" i="81"/>
  <c r="BS78" i="81"/>
  <c r="CA120" i="81"/>
  <c r="CB120" i="81" s="1"/>
  <c r="BY120" i="81"/>
  <c r="BV157" i="81"/>
  <c r="CB117" i="81"/>
  <c r="CB156" i="81"/>
  <c r="CB121" i="81"/>
  <c r="CA127" i="81"/>
  <c r="CB127" i="81" s="1"/>
  <c r="BY127" i="81"/>
  <c r="BY161" i="81"/>
  <c r="CA161" i="81"/>
  <c r="CB161" i="81" s="1"/>
  <c r="BY178" i="81"/>
  <c r="CA178" i="81"/>
  <c r="CB178" i="81" s="1"/>
  <c r="BV135" i="81"/>
  <c r="CA176" i="81"/>
  <c r="CB176" i="81" s="1"/>
  <c r="BY176" i="81"/>
  <c r="BX207" i="81"/>
  <c r="BY237" i="81"/>
  <c r="BY214" i="81"/>
  <c r="CB228" i="81"/>
  <c r="BX198" i="81"/>
  <c r="BV198" i="81"/>
  <c r="BX218" i="81"/>
  <c r="BV218" i="81"/>
  <c r="CB253" i="81"/>
  <c r="CB261" i="81"/>
  <c r="CA276" i="81"/>
  <c r="CB276" i="81" s="1"/>
  <c r="BY276" i="81"/>
  <c r="BY333" i="81"/>
  <c r="CA333" i="81"/>
  <c r="CB333" i="81" s="1"/>
  <c r="CB356" i="81"/>
  <c r="CB324" i="81"/>
  <c r="CA357" i="81"/>
  <c r="CB357" i="81" s="1"/>
  <c r="BY357" i="81"/>
  <c r="BV331" i="81"/>
  <c r="CA303" i="81"/>
  <c r="CB303" i="81" s="1"/>
  <c r="BY303" i="81"/>
  <c r="CB332" i="81"/>
  <c r="CB373" i="81"/>
  <c r="CB389" i="81"/>
  <c r="BY376" i="81"/>
  <c r="CA376" i="81"/>
  <c r="CB376" i="81" s="1"/>
  <c r="BY392" i="81"/>
  <c r="CA392" i="81"/>
  <c r="CB392" i="81" s="1"/>
  <c r="BY434" i="81"/>
  <c r="CA434" i="81"/>
  <c r="CB434" i="81" s="1"/>
  <c r="CA404" i="81"/>
  <c r="CB404" i="81" s="1"/>
  <c r="BY404" i="81"/>
  <c r="BY429" i="81"/>
  <c r="CA429" i="81"/>
  <c r="CB429" i="81" s="1"/>
  <c r="BY409" i="81"/>
  <c r="CA465" i="81"/>
  <c r="CB465" i="81" s="1"/>
  <c r="BY465" i="81"/>
  <c r="BY5" i="81"/>
  <c r="CA12" i="81"/>
  <c r="CB12" i="81" s="1"/>
  <c r="BY12" i="81"/>
  <c r="BY16" i="81"/>
  <c r="CA16" i="81"/>
  <c r="CB16" i="81" s="1"/>
  <c r="BS6" i="81"/>
  <c r="C23" i="43"/>
  <c r="BY9" i="81"/>
  <c r="CA9" i="81"/>
  <c r="CB9" i="81" s="1"/>
  <c r="AV375" i="81"/>
  <c r="BJ375" i="81" s="1"/>
  <c r="BS375" i="81"/>
  <c r="AV171" i="81"/>
  <c r="BJ171" i="81" s="1"/>
  <c r="AV185" i="81"/>
  <c r="BJ185" i="81" s="1"/>
  <c r="AV127" i="81"/>
  <c r="BJ127" i="81" s="1"/>
  <c r="BP127" i="81"/>
  <c r="BJ128" i="81"/>
  <c r="AV128" i="81"/>
  <c r="BS128" i="81"/>
  <c r="BS47" i="81"/>
  <c r="BY30" i="81"/>
  <c r="CA51" i="81"/>
  <c r="CB51" i="81" s="1"/>
  <c r="BY51" i="81"/>
  <c r="CA59" i="81"/>
  <c r="BY59" i="81"/>
  <c r="CA67" i="81"/>
  <c r="CB67" i="81" s="1"/>
  <c r="BY67" i="81"/>
  <c r="BS80" i="81"/>
  <c r="CA103" i="81"/>
  <c r="CB103" i="81" s="1"/>
  <c r="BY103" i="81"/>
  <c r="B38" i="72"/>
  <c r="D20" i="53"/>
  <c r="B40" i="72" s="1"/>
  <c r="AT106" i="81"/>
  <c r="BH106" i="81" s="1"/>
  <c r="CB33" i="81"/>
  <c r="AV38" i="81"/>
  <c r="BJ38" i="81" s="1"/>
  <c r="AC7" i="37"/>
  <c r="V42" i="37" s="1"/>
  <c r="I42" i="37" s="1"/>
  <c r="W7" i="37"/>
  <c r="BI437" i="81"/>
  <c r="BI434" i="81"/>
  <c r="BI375" i="81"/>
  <c r="BI412" i="81"/>
  <c r="BI299" i="81"/>
  <c r="BI258" i="81"/>
  <c r="BI194" i="81"/>
  <c r="BI160" i="81"/>
  <c r="BI125" i="81"/>
  <c r="BI103" i="81"/>
  <c r="BI38" i="81"/>
  <c r="BI36" i="81"/>
  <c r="BJ23" i="81"/>
  <c r="BY69" i="81"/>
  <c r="CA99" i="81"/>
  <c r="CB99" i="81" s="1"/>
  <c r="BY99" i="81"/>
  <c r="BY88" i="81"/>
  <c r="CA88" i="81"/>
  <c r="CB88" i="81" s="1"/>
  <c r="BY104" i="81"/>
  <c r="CA104" i="81"/>
  <c r="CB104" i="81" s="1"/>
  <c r="BS134" i="81"/>
  <c r="BV159" i="81"/>
  <c r="CA146" i="81"/>
  <c r="CB146" i="81" s="1"/>
  <c r="BY146" i="81"/>
  <c r="BV163" i="81"/>
  <c r="CA139" i="81"/>
  <c r="CB139" i="81" s="1"/>
  <c r="BY139" i="81"/>
  <c r="CA158" i="81"/>
  <c r="CB158" i="81" s="1"/>
  <c r="BY158" i="81"/>
  <c r="CA196" i="81"/>
  <c r="CB196" i="81" s="1"/>
  <c r="BY196" i="81"/>
  <c r="BV247" i="81"/>
  <c r="CA213" i="81"/>
  <c r="CB213" i="81" s="1"/>
  <c r="BY213" i="81"/>
  <c r="CA229" i="81"/>
  <c r="CB229" i="81" s="1"/>
  <c r="BY229" i="81"/>
  <c r="CB212" i="81"/>
  <c r="BY239" i="81"/>
  <c r="CA239" i="81"/>
  <c r="CB239" i="81" s="1"/>
  <c r="CB248" i="81"/>
  <c r="CA258" i="81"/>
  <c r="CB258" i="81" s="1"/>
  <c r="BY258" i="81"/>
  <c r="BS203" i="81"/>
  <c r="BG231" i="81"/>
  <c r="BV269" i="81"/>
  <c r="BX282" i="81"/>
  <c r="BV282" i="81"/>
  <c r="BV295" i="81"/>
  <c r="CA323" i="81"/>
  <c r="CB323" i="81" s="1"/>
  <c r="BY323" i="81"/>
  <c r="CA296" i="81"/>
  <c r="CB296" i="81" s="1"/>
  <c r="BY296" i="81"/>
  <c r="CA335" i="81"/>
  <c r="CB335" i="81" s="1"/>
  <c r="BY335" i="81"/>
  <c r="CA280" i="81"/>
  <c r="CB280" i="81" s="1"/>
  <c r="BY280" i="81"/>
  <c r="BV299" i="81"/>
  <c r="BY316" i="81"/>
  <c r="CA355" i="81"/>
  <c r="CB355" i="81" s="1"/>
  <c r="BY355" i="81"/>
  <c r="CB275" i="81"/>
  <c r="CA314" i="81"/>
  <c r="BY314" i="81"/>
  <c r="CB381" i="81"/>
  <c r="BV358" i="81"/>
  <c r="BX358" i="81"/>
  <c r="BV370" i="81"/>
  <c r="BX370" i="81"/>
  <c r="BV386" i="81"/>
  <c r="BX386" i="81"/>
  <c r="BV408" i="81"/>
  <c r="BX455" i="81"/>
  <c r="BV455" i="81"/>
  <c r="BH46" i="81"/>
  <c r="BJ418" i="81"/>
  <c r="BK400" i="81"/>
  <c r="BK344" i="81"/>
  <c r="BV344" i="81"/>
  <c r="BK312" i="81"/>
  <c r="BS312" i="81"/>
  <c r="BK310" i="81"/>
  <c r="BS310" i="81"/>
  <c r="BK256" i="81"/>
  <c r="BS256" i="81"/>
  <c r="BK261" i="81"/>
  <c r="BK209" i="81"/>
  <c r="BS209" i="81"/>
  <c r="BK97" i="81"/>
  <c r="BS97" i="81"/>
  <c r="BI76" i="81"/>
  <c r="AU76" i="81"/>
  <c r="BY76" i="81" s="1"/>
  <c r="BH130" i="81"/>
  <c r="BH219" i="81"/>
  <c r="BI269" i="81"/>
  <c r="AU269" i="81"/>
  <c r="BP269" i="81"/>
  <c r="BH277" i="81"/>
  <c r="BV5" i="81"/>
  <c r="BJ449" i="81"/>
  <c r="BK433" i="81"/>
  <c r="BK392" i="81"/>
  <c r="BK321" i="81"/>
  <c r="BS321" i="81"/>
  <c r="BJ327" i="81"/>
  <c r="BJ279" i="81"/>
  <c r="BJ238" i="81"/>
  <c r="BJ255" i="81"/>
  <c r="BJ257" i="81"/>
  <c r="BJ182" i="81"/>
  <c r="BK149" i="81"/>
  <c r="BK93" i="81"/>
  <c r="BH213" i="81"/>
  <c r="BH274" i="81"/>
  <c r="BK239" i="81"/>
  <c r="AU44" i="81"/>
  <c r="BI44" i="81" s="1"/>
  <c r="AU48" i="81"/>
  <c r="BS48" i="81"/>
  <c r="BK445" i="81"/>
  <c r="BK438" i="81"/>
  <c r="BJ399" i="81"/>
  <c r="BJ336" i="81"/>
  <c r="BK304" i="81"/>
  <c r="BS304" i="81"/>
  <c r="BK333" i="81"/>
  <c r="BS333" i="81"/>
  <c r="BK297" i="81"/>
  <c r="BJ281" i="81"/>
  <c r="BJ268" i="81"/>
  <c r="BJ234" i="81"/>
  <c r="BJ83" i="81"/>
  <c r="BK51" i="81"/>
  <c r="BK92" i="81"/>
  <c r="BJ105" i="81"/>
  <c r="BK86" i="81"/>
  <c r="BK54" i="81"/>
  <c r="BK14" i="81"/>
  <c r="BH201" i="81"/>
  <c r="AU288" i="81"/>
  <c r="BI288" i="81" s="1"/>
  <c r="BP288" i="81"/>
  <c r="BI365" i="81"/>
  <c r="AU365" i="81"/>
  <c r="BH416" i="81"/>
  <c r="BP440" i="81"/>
  <c r="AU440" i="81"/>
  <c r="BI440" i="81" s="1"/>
  <c r="BK463" i="81"/>
  <c r="BS463" i="81"/>
  <c r="BK429" i="81"/>
  <c r="BK368" i="81"/>
  <c r="BK381" i="81"/>
  <c r="BS381" i="81"/>
  <c r="BK386" i="81"/>
  <c r="BJ332" i="81"/>
  <c r="BJ361" i="81"/>
  <c r="BJ313" i="81"/>
  <c r="BJ280" i="81"/>
  <c r="BJ265" i="81"/>
  <c r="BK233" i="81"/>
  <c r="BK121" i="81"/>
  <c r="BV121" i="81"/>
  <c r="BK104" i="81"/>
  <c r="BK98" i="81"/>
  <c r="BK66" i="81"/>
  <c r="BK15" i="81"/>
  <c r="AU37" i="81"/>
  <c r="BI37" i="81" s="1"/>
  <c r="AU136" i="81"/>
  <c r="BI136" i="81" s="1"/>
  <c r="AU144" i="81"/>
  <c r="BI144" i="81" s="1"/>
  <c r="BH294" i="81"/>
  <c r="BI428" i="81"/>
  <c r="AU428" i="81"/>
  <c r="BP428" i="81"/>
  <c r="BJ415" i="81"/>
  <c r="BJ337" i="81"/>
  <c r="BJ338" i="81"/>
  <c r="BK343" i="81"/>
  <c r="AV457" i="81"/>
  <c r="BJ457" i="81" s="1"/>
  <c r="AV421" i="81"/>
  <c r="BJ421" i="81" s="1"/>
  <c r="AV341" i="81"/>
  <c r="BJ341" i="81" s="1"/>
  <c r="AV355" i="81"/>
  <c r="AV324" i="81"/>
  <c r="BJ324" i="81" s="1"/>
  <c r="AV293" i="81"/>
  <c r="BJ293" i="81" s="1"/>
  <c r="BJ237" i="81"/>
  <c r="AV237" i="81"/>
  <c r="AV226" i="81"/>
  <c r="BJ226" i="81" s="1"/>
  <c r="AV168" i="81"/>
  <c r="BJ168" i="81" s="1"/>
  <c r="AV84" i="81"/>
  <c r="AV95" i="81"/>
  <c r="BJ95" i="81" s="1"/>
  <c r="BY44" i="81"/>
  <c r="CA44" i="81"/>
  <c r="CB44" i="81" s="1"/>
  <c r="U7" i="34"/>
  <c r="AB7" i="34"/>
  <c r="T49" i="34" s="1"/>
  <c r="G49" i="34" s="1"/>
  <c r="BI123" i="81"/>
  <c r="BY149" i="81"/>
  <c r="CA149" i="81"/>
  <c r="CB149" i="81" s="1"/>
  <c r="BX118" i="81"/>
  <c r="BV118" i="81"/>
  <c r="CA167" i="81"/>
  <c r="CB167" i="81" s="1"/>
  <c r="BY167" i="81"/>
  <c r="CA132" i="81"/>
  <c r="CB132" i="81" s="1"/>
  <c r="BY132" i="81"/>
  <c r="CA306" i="81"/>
  <c r="CB306" i="81" s="1"/>
  <c r="BY306" i="81"/>
  <c r="BY321" i="81"/>
  <c r="CA321" i="81"/>
  <c r="CB321" i="81" s="1"/>
  <c r="BY399" i="81"/>
  <c r="CA399" i="81"/>
  <c r="CB399" i="81" s="1"/>
  <c r="BY380" i="81"/>
  <c r="CA380" i="81"/>
  <c r="CB380" i="81" s="1"/>
  <c r="BY462" i="81"/>
  <c r="CA462" i="81"/>
  <c r="CB462" i="81" s="1"/>
  <c r="BY15" i="81"/>
  <c r="CA15" i="81"/>
  <c r="CB15" i="81" s="1"/>
  <c r="BY20" i="81"/>
  <c r="CA20" i="81"/>
  <c r="CB20" i="81" s="1"/>
  <c r="BS409" i="81"/>
  <c r="AV409" i="81"/>
  <c r="AV390" i="81"/>
  <c r="BJ390" i="81" s="1"/>
  <c r="AV282" i="81"/>
  <c r="BJ282" i="81" s="1"/>
  <c r="BJ247" i="81"/>
  <c r="AV247" i="81"/>
  <c r="BS210" i="81"/>
  <c r="AV210" i="81"/>
  <c r="BJ210" i="81" s="1"/>
  <c r="BJ151" i="81"/>
  <c r="AV151" i="81"/>
  <c r="BJ96" i="81"/>
  <c r="AV96" i="81"/>
  <c r="BJ91" i="81"/>
  <c r="AV91" i="81"/>
  <c r="BS12" i="81"/>
  <c r="BV6" i="81"/>
  <c r="BY22" i="81"/>
  <c r="CA22" i="81"/>
  <c r="CB22" i="81" s="1"/>
  <c r="BV18" i="81"/>
  <c r="CA13" i="81"/>
  <c r="CB13" i="81" s="1"/>
  <c r="BY13" i="81"/>
  <c r="AV455" i="81"/>
  <c r="BJ441" i="81"/>
  <c r="AV441" i="81"/>
  <c r="AV413" i="81"/>
  <c r="BJ413" i="81" s="1"/>
  <c r="AV389" i="81"/>
  <c r="BJ389" i="81" s="1"/>
  <c r="AV378" i="81"/>
  <c r="BJ378" i="81" s="1"/>
  <c r="AV325" i="81"/>
  <c r="BJ325" i="81" s="1"/>
  <c r="AV318" i="81"/>
  <c r="AV339" i="81"/>
  <c r="BJ339" i="81" s="1"/>
  <c r="AV275" i="81"/>
  <c r="BJ308" i="81"/>
  <c r="AV308" i="81"/>
  <c r="AV251" i="81"/>
  <c r="BJ251" i="81" s="1"/>
  <c r="AV266" i="81"/>
  <c r="BJ266" i="81" s="1"/>
  <c r="AV204" i="81"/>
  <c r="BJ204" i="81" s="1"/>
  <c r="AV221" i="81"/>
  <c r="BJ221" i="81" s="1"/>
  <c r="BP221" i="81"/>
  <c r="AV230" i="81"/>
  <c r="BJ230" i="81" s="1"/>
  <c r="BS183" i="81"/>
  <c r="AV183" i="81"/>
  <c r="AV222" i="81"/>
  <c r="BJ222" i="81" s="1"/>
  <c r="AV155" i="81"/>
  <c r="BJ155" i="81" s="1"/>
  <c r="AV173" i="81"/>
  <c r="BJ173" i="81" s="1"/>
  <c r="AV22" i="81"/>
  <c r="BJ22" i="81" s="1"/>
  <c r="AV78" i="81"/>
  <c r="BJ78" i="81" s="1"/>
  <c r="AV79" i="81"/>
  <c r="BP17" i="81"/>
  <c r="CB28" i="81"/>
  <c r="AU40" i="81"/>
  <c r="BV44" i="81"/>
  <c r="BV101" i="81"/>
  <c r="BK61" i="81"/>
  <c r="BS103" i="81"/>
  <c r="M55" i="43"/>
  <c r="N55" i="43" s="1"/>
  <c r="K55" i="43"/>
  <c r="M53" i="43"/>
  <c r="N53" i="43" s="1"/>
  <c r="K53" i="43"/>
  <c r="AT358" i="81"/>
  <c r="BH358" i="81" s="1"/>
  <c r="BP245" i="81"/>
  <c r="BH110" i="81"/>
  <c r="BP110" i="81"/>
  <c r="AT110" i="81"/>
  <c r="CB29" i="81"/>
  <c r="AV34" i="81"/>
  <c r="BJ34" i="81" s="1"/>
  <c r="J7" i="34"/>
  <c r="BI222" i="81"/>
  <c r="BI173" i="81"/>
  <c r="BI150" i="81"/>
  <c r="BI168" i="81"/>
  <c r="AU32" i="81"/>
  <c r="BI32" i="81" s="1"/>
  <c r="CB65" i="81"/>
  <c r="BV82" i="81"/>
  <c r="BX82" i="81"/>
  <c r="BV98" i="81"/>
  <c r="BX98" i="81"/>
  <c r="BS145" i="81"/>
  <c r="BV171" i="81"/>
  <c r="BV106" i="81"/>
  <c r="CA128" i="81"/>
  <c r="CB128" i="81" s="1"/>
  <c r="BY128" i="81"/>
  <c r="BV132" i="81"/>
  <c r="CB152" i="81"/>
  <c r="CB177" i="81"/>
  <c r="CA192" i="81"/>
  <c r="CB192" i="81" s="1"/>
  <c r="BY192" i="81"/>
  <c r="CB208" i="81"/>
  <c r="BV259" i="81"/>
  <c r="BX215" i="81"/>
  <c r="BV215" i="81"/>
  <c r="CB233" i="81"/>
  <c r="CB249" i="81"/>
  <c r="BX190" i="81"/>
  <c r="BV190" i="81"/>
  <c r="BV268" i="81"/>
  <c r="BV318" i="81"/>
  <c r="BY312" i="81"/>
  <c r="BY348" i="81"/>
  <c r="BY313" i="81"/>
  <c r="CA313" i="81"/>
  <c r="CB313" i="81" s="1"/>
  <c r="CB340" i="81"/>
  <c r="CB277" i="81"/>
  <c r="BV317" i="81"/>
  <c r="CA327" i="81"/>
  <c r="CB327" i="81" s="1"/>
  <c r="BY327" i="81"/>
  <c r="CA351" i="81"/>
  <c r="CB351" i="81" s="1"/>
  <c r="BY351" i="81"/>
  <c r="BV383" i="81"/>
  <c r="BV388" i="81"/>
  <c r="CB407" i="81"/>
  <c r="CB425" i="81"/>
  <c r="CB436" i="81"/>
  <c r="CB452" i="81"/>
  <c r="T56" i="71"/>
  <c r="D56" i="71"/>
  <c r="T64" i="71"/>
  <c r="D64" i="71"/>
  <c r="CA412" i="81"/>
  <c r="CB412" i="81" s="1"/>
  <c r="BY412" i="81"/>
  <c r="BV430" i="81"/>
  <c r="CB440" i="81"/>
  <c r="BS13" i="81"/>
  <c r="AV458" i="81"/>
  <c r="BJ458" i="81" s="1"/>
  <c r="AV435" i="81"/>
  <c r="BJ435" i="81" s="1"/>
  <c r="AV407" i="81"/>
  <c r="BJ407" i="81" s="1"/>
  <c r="AV385" i="81"/>
  <c r="BJ385" i="81" s="1"/>
  <c r="AV374" i="81"/>
  <c r="BJ374" i="81" s="1"/>
  <c r="AV330" i="81"/>
  <c r="BJ330" i="81" s="1"/>
  <c r="BS330" i="81"/>
  <c r="AV351" i="81"/>
  <c r="BJ351" i="81" s="1"/>
  <c r="AV287" i="81"/>
  <c r="BJ287" i="81" s="1"/>
  <c r="BS287" i="81"/>
  <c r="AV199" i="81"/>
  <c r="BJ199" i="81" s="1"/>
  <c r="BP199" i="81"/>
  <c r="AV216" i="81"/>
  <c r="BJ216" i="81" s="1"/>
  <c r="BP214" i="81"/>
  <c r="AV214" i="81"/>
  <c r="BJ214" i="81" s="1"/>
  <c r="AV179" i="81"/>
  <c r="BJ179" i="81" s="1"/>
  <c r="BS189" i="81"/>
  <c r="AV189" i="81"/>
  <c r="AV135" i="81"/>
  <c r="BJ135" i="81" s="1"/>
  <c r="BS152" i="81"/>
  <c r="AV152" i="81"/>
  <c r="BJ152" i="81" s="1"/>
  <c r="AV80" i="81"/>
  <c r="BJ80" i="81" s="1"/>
  <c r="AV58" i="81"/>
  <c r="BV58" i="81" s="1"/>
  <c r="AV75" i="81"/>
  <c r="BJ75" i="81" s="1"/>
  <c r="AU18" i="81"/>
  <c r="BI18" i="81" s="1"/>
  <c r="BV91" i="81"/>
  <c r="BP15" i="81"/>
  <c r="BS36" i="81"/>
  <c r="CA55" i="81"/>
  <c r="CB55" i="81" s="1"/>
  <c r="BY55" i="81"/>
  <c r="CA63" i="81"/>
  <c r="CB63" i="81" s="1"/>
  <c r="BY63" i="81"/>
  <c r="CA71" i="81"/>
  <c r="CB71" i="81" s="1"/>
  <c r="BY71" i="81"/>
  <c r="CA87" i="81"/>
  <c r="CB87" i="81" s="1"/>
  <c r="CB107" i="81"/>
  <c r="BP139" i="81"/>
  <c r="BL4" i="81"/>
  <c r="BL20" i="81"/>
  <c r="BL5" i="81"/>
  <c r="BL41" i="81"/>
  <c r="BV41" i="81"/>
  <c r="BL89" i="81"/>
  <c r="BL224" i="81"/>
  <c r="BL240" i="81"/>
  <c r="BL256" i="81"/>
  <c r="AW207" i="81"/>
  <c r="AX207" i="81" s="1"/>
  <c r="BM207" i="81" s="1"/>
  <c r="BL223" i="81"/>
  <c r="BL239" i="81"/>
  <c r="BS239" i="81"/>
  <c r="BL255" i="81"/>
  <c r="BL234" i="81"/>
  <c r="BL250" i="81"/>
  <c r="BS250" i="81"/>
  <c r="BL364" i="81"/>
  <c r="BS364" i="81"/>
  <c r="BL297" i="81"/>
  <c r="BS313" i="81"/>
  <c r="BL329" i="81"/>
  <c r="BL345" i="81"/>
  <c r="BL316" i="81"/>
  <c r="BL332" i="81"/>
  <c r="BL348" i="81"/>
  <c r="BV348" i="81"/>
  <c r="AW327" i="81"/>
  <c r="AW380" i="81"/>
  <c r="BK380" i="81" s="1"/>
  <c r="BL396" i="81"/>
  <c r="BL415" i="81"/>
  <c r="BL382" i="81"/>
  <c r="AW418" i="81"/>
  <c r="BS425" i="81"/>
  <c r="BS445" i="81"/>
  <c r="BL463" i="81"/>
  <c r="BL460" i="81"/>
  <c r="BV27" i="81"/>
  <c r="BX27" i="81"/>
  <c r="CB41" i="81"/>
  <c r="BV66" i="81"/>
  <c r="BX66" i="81"/>
  <c r="H7" i="33"/>
  <c r="BI435" i="81"/>
  <c r="BI430" i="81"/>
  <c r="BI339" i="81"/>
  <c r="BI275" i="81"/>
  <c r="BI251" i="81"/>
  <c r="BI252" i="81"/>
  <c r="BI152" i="81"/>
  <c r="BI146" i="81"/>
  <c r="BI164" i="81"/>
  <c r="BI95" i="81"/>
  <c r="BI30" i="81"/>
  <c r="BJ9" i="81"/>
  <c r="AV69" i="81"/>
  <c r="BJ69" i="81" s="1"/>
  <c r="CA89" i="81"/>
  <c r="CB89" i="81" s="1"/>
  <c r="BY89" i="81"/>
  <c r="BY84" i="81"/>
  <c r="CA84" i="81"/>
  <c r="CB84" i="81" s="1"/>
  <c r="BY100" i="81"/>
  <c r="CA100" i="81"/>
  <c r="CB100" i="81" s="1"/>
  <c r="CB137" i="81"/>
  <c r="BV151" i="81"/>
  <c r="CB148" i="81"/>
  <c r="BY170" i="81"/>
  <c r="CA170" i="81"/>
  <c r="CB170" i="81" s="1"/>
  <c r="BY182" i="81"/>
  <c r="CA182" i="81"/>
  <c r="CB182" i="81" s="1"/>
  <c r="CA115" i="81"/>
  <c r="CB115" i="81" s="1"/>
  <c r="BY115" i="81"/>
  <c r="BY153" i="81"/>
  <c r="CA153" i="81"/>
  <c r="CB153" i="81" s="1"/>
  <c r="CA175" i="81"/>
  <c r="CB175" i="81" s="1"/>
  <c r="BY175" i="81"/>
  <c r="BY184" i="81"/>
  <c r="CB113" i="81"/>
  <c r="BV140" i="81"/>
  <c r="CB160" i="81"/>
  <c r="BX206" i="81"/>
  <c r="BV206" i="81"/>
  <c r="BV225" i="81"/>
  <c r="CA250" i="81"/>
  <c r="CB250" i="81" s="1"/>
  <c r="BY250" i="81"/>
  <c r="BY230" i="81"/>
  <c r="BY260" i="81"/>
  <c r="BX194" i="81"/>
  <c r="BV194" i="81"/>
  <c r="BY235" i="81"/>
  <c r="CA235" i="81"/>
  <c r="CB235" i="81" s="1"/>
  <c r="CB256" i="81"/>
  <c r="CA272" i="81"/>
  <c r="CB272" i="81" s="1"/>
  <c r="BY272" i="81"/>
  <c r="CB289" i="81"/>
  <c r="BY305" i="81"/>
  <c r="CA305" i="81"/>
  <c r="CB305" i="81" s="1"/>
  <c r="CA322" i="81"/>
  <c r="CB322" i="81" s="1"/>
  <c r="BY322" i="81"/>
  <c r="CB301" i="81"/>
  <c r="BY345" i="81"/>
  <c r="CA345" i="81"/>
  <c r="CB345" i="81" s="1"/>
  <c r="CB320" i="81"/>
  <c r="BX278" i="81"/>
  <c r="BV278" i="81"/>
  <c r="CB285" i="81"/>
  <c r="BY309" i="81"/>
  <c r="CA309" i="81"/>
  <c r="CB309" i="81" s="1"/>
  <c r="BY341" i="81"/>
  <c r="CA341" i="81"/>
  <c r="CB341" i="81" s="1"/>
  <c r="BS367" i="81"/>
  <c r="CB393" i="81"/>
  <c r="BV366" i="81"/>
  <c r="BX366" i="81"/>
  <c r="BV382" i="81"/>
  <c r="BX382" i="81"/>
  <c r="CB403" i="81"/>
  <c r="BV424" i="81"/>
  <c r="CB423" i="81"/>
  <c r="BY448" i="81"/>
  <c r="T36" i="71"/>
  <c r="D36" i="71"/>
  <c r="BY413" i="81"/>
  <c r="BY7" i="81"/>
  <c r="BS16" i="81"/>
  <c r="BS11" i="81"/>
  <c r="BS9" i="81"/>
  <c r="AV447" i="81"/>
  <c r="AV419" i="81"/>
  <c r="BJ419" i="81" s="1"/>
  <c r="AV379" i="81"/>
  <c r="BJ379" i="81" s="1"/>
  <c r="AV331" i="81"/>
  <c r="BJ331" i="81" s="1"/>
  <c r="AV267" i="81"/>
  <c r="BJ267" i="81" s="1"/>
  <c r="AV260" i="81"/>
  <c r="BJ260" i="81" s="1"/>
  <c r="AV196" i="81"/>
  <c r="BJ196" i="81" s="1"/>
  <c r="BJ158" i="81"/>
  <c r="AV158" i="81"/>
  <c r="AV186" i="81"/>
  <c r="AV131" i="81"/>
  <c r="BJ131" i="81" s="1"/>
  <c r="AV148" i="81"/>
  <c r="AV87" i="81"/>
  <c r="BJ87" i="81" s="1"/>
  <c r="AV19" i="81"/>
  <c r="BJ19" i="81" s="1"/>
  <c r="CB36" i="81"/>
  <c r="BV40" i="81"/>
  <c r="CA85" i="81"/>
  <c r="CB85" i="81" s="1"/>
  <c r="BY85" i="81"/>
  <c r="BV29" i="81"/>
  <c r="BS55" i="81"/>
  <c r="BS71" i="81"/>
  <c r="BV76" i="81"/>
  <c r="AT444" i="81"/>
  <c r="BH444" i="81" s="1"/>
  <c r="CB457" i="81"/>
  <c r="BV419" i="81"/>
  <c r="BV224" i="81"/>
  <c r="BG35" i="81"/>
  <c r="CA81" i="81"/>
  <c r="CB81" i="81" s="1"/>
  <c r="BY81" i="81"/>
  <c r="J7" i="35"/>
  <c r="H7" i="21"/>
  <c r="BI457" i="81"/>
  <c r="BI423" i="81"/>
  <c r="BI389" i="81"/>
  <c r="BI362" i="81"/>
  <c r="BI230" i="81"/>
  <c r="BI247" i="81"/>
  <c r="BI232" i="81"/>
  <c r="BI148" i="81"/>
  <c r="BI163" i="81"/>
  <c r="BI91" i="81"/>
  <c r="BI26" i="81"/>
  <c r="BH28" i="81"/>
  <c r="BY57" i="81"/>
  <c r="CB73" i="81"/>
  <c r="BV78" i="81"/>
  <c r="BX78" i="81"/>
  <c r="BV94" i="81"/>
  <c r="BX94" i="81"/>
  <c r="BV120" i="81"/>
  <c r="BY157" i="81"/>
  <c r="CA157" i="81"/>
  <c r="CB157" i="81" s="1"/>
  <c r="CA112" i="81"/>
  <c r="CB112" i="81" s="1"/>
  <c r="BY112" i="81"/>
  <c r="CA172" i="81"/>
  <c r="CB172" i="81" s="1"/>
  <c r="BY172" i="81"/>
  <c r="BX122" i="81"/>
  <c r="BV122" i="81"/>
  <c r="CA155" i="81"/>
  <c r="CB155" i="81" s="1"/>
  <c r="BY155" i="81"/>
  <c r="BG110" i="81"/>
  <c r="CA135" i="81"/>
  <c r="CB135" i="81" s="1"/>
  <c r="BY135" i="81"/>
  <c r="CB237" i="81"/>
  <c r="CA246" i="81"/>
  <c r="CB246" i="81" s="1"/>
  <c r="BY246" i="81"/>
  <c r="CB214" i="81"/>
  <c r="BV262" i="81"/>
  <c r="BY241" i="81"/>
  <c r="BY257" i="81"/>
  <c r="BY265" i="81"/>
  <c r="CA319" i="81"/>
  <c r="CB319" i="81" s="1"/>
  <c r="BY319" i="81"/>
  <c r="BV337" i="81"/>
  <c r="BY352" i="81"/>
  <c r="CA307" i="81"/>
  <c r="CB307" i="81" s="1"/>
  <c r="BY307" i="81"/>
  <c r="BV338" i="81"/>
  <c r="BV325" i="81"/>
  <c r="CB267" i="81"/>
  <c r="BV326" i="81"/>
  <c r="BV350" i="81"/>
  <c r="BG371" i="81"/>
  <c r="BV391" i="81"/>
  <c r="CA400" i="81"/>
  <c r="CB400" i="81" s="1"/>
  <c r="BY400" i="81"/>
  <c r="BV379" i="81"/>
  <c r="BV368" i="81"/>
  <c r="CB419" i="81"/>
  <c r="BV404" i="81"/>
  <c r="CA433" i="81"/>
  <c r="CB433" i="81" s="1"/>
  <c r="BY433" i="81"/>
  <c r="BX435" i="81"/>
  <c r="BV435" i="81"/>
  <c r="CB444" i="81"/>
  <c r="BG452" i="81"/>
  <c r="CB409" i="81"/>
  <c r="CB456" i="81"/>
  <c r="CB5" i="81"/>
  <c r="BV12" i="81"/>
  <c r="BY17" i="81"/>
  <c r="BS19" i="81"/>
  <c r="BJ359" i="81"/>
  <c r="AV359" i="81"/>
  <c r="AV154" i="81"/>
  <c r="BJ154" i="81" s="1"/>
  <c r="BS154" i="81"/>
  <c r="AV172" i="81"/>
  <c r="AV111" i="81"/>
  <c r="BJ111" i="81" s="1"/>
  <c r="AV141" i="81"/>
  <c r="BP141" i="81"/>
  <c r="BS25" i="81"/>
  <c r="BS39" i="81"/>
  <c r="BS79" i="81"/>
  <c r="BY34" i="81"/>
  <c r="BY52" i="81"/>
  <c r="CA52" i="81"/>
  <c r="CB52" i="81" s="1"/>
  <c r="BY60" i="81"/>
  <c r="CA60" i="81"/>
  <c r="CB60" i="81" s="1"/>
  <c r="BY68" i="81"/>
  <c r="CA68" i="81"/>
  <c r="CB68" i="81" s="1"/>
  <c r="D127" i="9"/>
  <c r="D13" i="52" s="1"/>
  <c r="D12" i="52"/>
  <c r="AT436" i="81"/>
  <c r="BH436" i="81" s="1"/>
  <c r="BY457" i="81"/>
  <c r="BH40" i="81"/>
  <c r="BY33" i="81"/>
  <c r="BY49" i="81"/>
  <c r="BX62" i="81"/>
  <c r="BV93" i="81"/>
  <c r="J7" i="36"/>
  <c r="F7" i="37"/>
  <c r="BI459" i="81"/>
  <c r="BI421" i="81"/>
  <c r="BI419" i="81"/>
  <c r="BI359" i="81"/>
  <c r="BI385" i="81"/>
  <c r="BI293" i="81"/>
  <c r="BI347" i="81"/>
  <c r="BI283" i="81"/>
  <c r="BI242" i="81"/>
  <c r="BI237" i="81"/>
  <c r="BI109" i="81"/>
  <c r="BI225" i="81"/>
  <c r="BI143" i="81"/>
  <c r="BI87" i="81"/>
  <c r="BI128" i="81"/>
  <c r="BI85" i="81"/>
  <c r="BY53" i="81"/>
  <c r="CB69" i="81"/>
  <c r="BV80" i="81"/>
  <c r="BV96" i="81"/>
  <c r="BX130" i="81"/>
  <c r="BV130" i="81"/>
  <c r="BX138" i="81"/>
  <c r="BV138" i="81"/>
  <c r="BG106" i="81"/>
  <c r="CA116" i="81"/>
  <c r="CB116" i="81" s="1"/>
  <c r="BY116" i="81"/>
  <c r="CA180" i="81"/>
  <c r="CB180" i="81" s="1"/>
  <c r="BY108" i="81"/>
  <c r="CA108" i="81"/>
  <c r="CB108" i="81" s="1"/>
  <c r="BX126" i="81"/>
  <c r="BV126" i="81"/>
  <c r="BV143" i="81"/>
  <c r="BV166" i="81"/>
  <c r="CB220" i="81"/>
  <c r="BY247" i="81"/>
  <c r="CA247" i="81"/>
  <c r="CB247" i="81" s="1"/>
  <c r="BV213" i="81"/>
  <c r="BV229" i="81"/>
  <c r="BX231" i="81"/>
  <c r="BY244" i="81"/>
  <c r="CB191" i="81"/>
  <c r="CB216" i="81"/>
  <c r="BV238" i="81"/>
  <c r="BS266" i="81"/>
  <c r="CA295" i="81"/>
  <c r="CB295" i="81" s="1"/>
  <c r="BY295" i="81"/>
  <c r="BV323" i="81"/>
  <c r="BV296" i="81"/>
  <c r="BV280" i="81"/>
  <c r="CA299" i="81"/>
  <c r="CB299" i="81" s="1"/>
  <c r="BY299" i="81"/>
  <c r="CB316" i="81"/>
  <c r="BV355" i="81"/>
  <c r="BV291" i="81"/>
  <c r="CA300" i="81"/>
  <c r="CB300" i="81" s="1"/>
  <c r="BY300" i="81"/>
  <c r="CA347" i="81"/>
  <c r="CB347" i="81" s="1"/>
  <c r="BV395" i="81"/>
  <c r="BK425" i="81"/>
  <c r="BK396" i="81"/>
  <c r="BK364" i="81"/>
  <c r="BK377" i="81"/>
  <c r="BJ400" i="81"/>
  <c r="BJ344" i="81"/>
  <c r="BJ312" i="81"/>
  <c r="BK360" i="81"/>
  <c r="BJ342" i="81"/>
  <c r="BJ310" i="81"/>
  <c r="BJ207" i="81"/>
  <c r="BJ256" i="81"/>
  <c r="BK224" i="81"/>
  <c r="BJ261" i="81"/>
  <c r="BJ209" i="81"/>
  <c r="BJ97" i="81"/>
  <c r="BK49" i="81"/>
  <c r="BS49" i="81"/>
  <c r="AU68" i="81"/>
  <c r="BH72" i="81"/>
  <c r="BH76" i="81"/>
  <c r="AU122" i="81"/>
  <c r="BP122" i="81"/>
  <c r="AU197" i="81"/>
  <c r="BI197" i="81" s="1"/>
  <c r="BP197" i="81"/>
  <c r="BH269" i="81"/>
  <c r="AU410" i="81"/>
  <c r="BI410" i="81" s="1"/>
  <c r="BH426" i="81"/>
  <c r="BK465" i="81"/>
  <c r="BK460" i="81"/>
  <c r="BV460" i="81"/>
  <c r="BJ433" i="81"/>
  <c r="BJ392" i="81"/>
  <c r="BJ321" i="81"/>
  <c r="BK322" i="81"/>
  <c r="BK311" i="81"/>
  <c r="BS311" i="81"/>
  <c r="BK254" i="81"/>
  <c r="BS254" i="81"/>
  <c r="BK206" i="81"/>
  <c r="BK187" i="81"/>
  <c r="BK241" i="81"/>
  <c r="BS241" i="81"/>
  <c r="BK166" i="81"/>
  <c r="BJ149" i="81"/>
  <c r="BJ93" i="81"/>
  <c r="BK27" i="81"/>
  <c r="AU140" i="81"/>
  <c r="BI140" i="81" s="1"/>
  <c r="BH227" i="81"/>
  <c r="BJ239" i="81"/>
  <c r="BH48" i="81"/>
  <c r="BJ445" i="81"/>
  <c r="BJ438" i="81"/>
  <c r="BK402" i="81"/>
  <c r="BK352" i="81"/>
  <c r="BJ304" i="81"/>
  <c r="BJ333" i="81"/>
  <c r="BJ297" i="81"/>
  <c r="BK284" i="81"/>
  <c r="BK250" i="81"/>
  <c r="BK300" i="81"/>
  <c r="BK67" i="81"/>
  <c r="BJ51" i="81"/>
  <c r="BK89" i="81"/>
  <c r="BJ41" i="81"/>
  <c r="BJ86" i="81"/>
  <c r="BJ54" i="81"/>
  <c r="BJ14" i="81"/>
  <c r="AU56" i="81"/>
  <c r="BI56" i="81" s="1"/>
  <c r="AU124" i="81"/>
  <c r="BI124" i="81" s="1"/>
  <c r="BH137" i="81"/>
  <c r="BH288" i="81"/>
  <c r="BH365" i="81"/>
  <c r="AU422" i="81"/>
  <c r="BI422" i="81" s="1"/>
  <c r="BH440" i="81"/>
  <c r="BJ463" i="81"/>
  <c r="BJ429" i="81"/>
  <c r="BJ368" i="81"/>
  <c r="BJ381" i="81"/>
  <c r="BJ386" i="81"/>
  <c r="BK348" i="81"/>
  <c r="BK316" i="81"/>
  <c r="BV316" i="81"/>
  <c r="BK345" i="81"/>
  <c r="BK329" i="81"/>
  <c r="BK278" i="81"/>
  <c r="BK223" i="81"/>
  <c r="BK249" i="81"/>
  <c r="BS249" i="81"/>
  <c r="BJ233" i="81"/>
  <c r="BJ121" i="81"/>
  <c r="BJ104" i="81"/>
  <c r="BJ98" i="81"/>
  <c r="BJ66" i="81"/>
  <c r="BH37" i="81"/>
  <c r="BK376" i="81"/>
  <c r="BK305" i="81"/>
  <c r="BK306" i="81"/>
  <c r="BJ343" i="81"/>
  <c r="BK272" i="81"/>
  <c r="AV446" i="81"/>
  <c r="BJ446" i="81" s="1"/>
  <c r="AV372" i="81"/>
  <c r="BJ357" i="81"/>
  <c r="AV357" i="81"/>
  <c r="AV307" i="81"/>
  <c r="BS253" i="81"/>
  <c r="AV253" i="81"/>
  <c r="BJ253" i="81" s="1"/>
  <c r="BY6" i="81"/>
  <c r="CA6" i="81"/>
  <c r="CB6" i="81" s="1"/>
  <c r="AV462" i="81"/>
  <c r="BJ462" i="81" s="1"/>
  <c r="AV439" i="81"/>
  <c r="AV427" i="81"/>
  <c r="BJ427" i="81" s="1"/>
  <c r="AV388" i="81"/>
  <c r="BJ373" i="81"/>
  <c r="AV373" i="81"/>
  <c r="BS387" i="81"/>
  <c r="AV387" i="81"/>
  <c r="BJ387" i="81" s="1"/>
  <c r="BS309" i="81"/>
  <c r="AV309" i="81"/>
  <c r="BJ309" i="81" s="1"/>
  <c r="AV302" i="81"/>
  <c r="BJ302" i="81" s="1"/>
  <c r="AV323" i="81"/>
  <c r="BJ323" i="81" s="1"/>
  <c r="AV356" i="81"/>
  <c r="BJ356" i="81" s="1"/>
  <c r="AV292" i="81"/>
  <c r="AV235" i="81"/>
  <c r="BJ235" i="81" s="1"/>
  <c r="AV252" i="81"/>
  <c r="BJ270" i="81"/>
  <c r="AV270" i="81"/>
  <c r="AV205" i="81"/>
  <c r="BJ205" i="81" s="1"/>
  <c r="AV178" i="81"/>
  <c r="BJ178" i="81" s="1"/>
  <c r="AV167" i="81"/>
  <c r="BJ167" i="81" s="1"/>
  <c r="AV190" i="81"/>
  <c r="BJ190" i="81" s="1"/>
  <c r="AV139" i="81"/>
  <c r="AV156" i="81"/>
  <c r="AV101" i="81"/>
  <c r="BJ101" i="81" s="1"/>
  <c r="AV62" i="81"/>
  <c r="BV62" i="81" s="1"/>
  <c r="AV63" i="81"/>
  <c r="BS63" i="81"/>
  <c r="BP21" i="81"/>
  <c r="AU21" i="81"/>
  <c r="CA101" i="81"/>
  <c r="CB101" i="81" s="1"/>
  <c r="BY101" i="81"/>
  <c r="BX46" i="81"/>
  <c r="M50" i="43"/>
  <c r="N50" i="43" s="1"/>
  <c r="K50" i="43"/>
  <c r="M56" i="43"/>
  <c r="N56" i="43" s="1"/>
  <c r="K56" i="43"/>
  <c r="M54" i="43"/>
  <c r="N54" i="43" s="1"/>
  <c r="K54" i="43"/>
  <c r="J54" i="43" s="1"/>
  <c r="D69" i="39"/>
  <c r="E67" i="39"/>
  <c r="BI387" i="81"/>
  <c r="BI156" i="81"/>
  <c r="BI118" i="81"/>
  <c r="AV73" i="81"/>
  <c r="BX145" i="81"/>
  <c r="BV145" i="81"/>
  <c r="CA171" i="81"/>
  <c r="CB171" i="81" s="1"/>
  <c r="BY171" i="81"/>
  <c r="CA124" i="81"/>
  <c r="CB124" i="81" s="1"/>
  <c r="BY124" i="81"/>
  <c r="CA154" i="81"/>
  <c r="CB154" i="81" s="1"/>
  <c r="BY154" i="81"/>
  <c r="BX109" i="81"/>
  <c r="BV109" i="81"/>
  <c r="CA136" i="81"/>
  <c r="CB136" i="81" s="1"/>
  <c r="BY136" i="81"/>
  <c r="CA168" i="81"/>
  <c r="CB168" i="81" s="1"/>
  <c r="BY168" i="81"/>
  <c r="CA185" i="81"/>
  <c r="CB185" i="81" s="1"/>
  <c r="BY185" i="81"/>
  <c r="BY259" i="81"/>
  <c r="CA259" i="81"/>
  <c r="CB259" i="81" s="1"/>
  <c r="CA268" i="81"/>
  <c r="CB268" i="81" s="1"/>
  <c r="BY268" i="81"/>
  <c r="CA318" i="81"/>
  <c r="CB318" i="81" s="1"/>
  <c r="BY318" i="81"/>
  <c r="BY317" i="81"/>
  <c r="CA317" i="81"/>
  <c r="CB317" i="81" s="1"/>
  <c r="CA375" i="81"/>
  <c r="CB375" i="81" s="1"/>
  <c r="BY375" i="81"/>
  <c r="CA383" i="81"/>
  <c r="CB383" i="81" s="1"/>
  <c r="BY383" i="81"/>
  <c r="BX359" i="81"/>
  <c r="BV359" i="81"/>
  <c r="CA372" i="81"/>
  <c r="CB372" i="81" s="1"/>
  <c r="BY388" i="81"/>
  <c r="CA388" i="81"/>
  <c r="CB388" i="81" s="1"/>
  <c r="BX405" i="81"/>
  <c r="BV405" i="81"/>
  <c r="T60" i="71"/>
  <c r="D60" i="71"/>
  <c r="V16" i="71"/>
  <c r="E15" i="71"/>
  <c r="E14" i="71" s="1"/>
  <c r="E13" i="71" s="1"/>
  <c r="E12" i="71" s="1"/>
  <c r="CA430" i="81"/>
  <c r="CB430" i="81" s="1"/>
  <c r="BY430" i="81"/>
  <c r="BX447" i="81"/>
  <c r="BV447" i="81"/>
  <c r="AV442" i="81"/>
  <c r="AV453" i="81"/>
  <c r="AV424" i="81"/>
  <c r="BJ424" i="81" s="1"/>
  <c r="AV369" i="81"/>
  <c r="AV383" i="81"/>
  <c r="BJ383" i="81" s="1"/>
  <c r="AV314" i="81"/>
  <c r="AV335" i="81"/>
  <c r="BS335" i="81"/>
  <c r="AV271" i="81"/>
  <c r="AV264" i="81"/>
  <c r="BJ264" i="81" s="1"/>
  <c r="AV200" i="81"/>
  <c r="BJ174" i="81"/>
  <c r="AV174" i="81"/>
  <c r="AV162" i="81"/>
  <c r="BS162" i="81"/>
  <c r="AV180" i="81"/>
  <c r="AV119" i="81"/>
  <c r="BJ119" i="81" s="1"/>
  <c r="AV120" i="81"/>
  <c r="BP120" i="81"/>
  <c r="BJ133" i="81"/>
  <c r="AV133" i="81"/>
  <c r="AV42" i="81"/>
  <c r="AV59" i="81"/>
  <c r="BJ59" i="81" s="1"/>
  <c r="BV24" i="81"/>
  <c r="BS40" i="81"/>
  <c r="CA91" i="81"/>
  <c r="CB91" i="81" s="1"/>
  <c r="BY91" i="81"/>
  <c r="BY24" i="81"/>
  <c r="BV42" i="81"/>
  <c r="BX42" i="81"/>
  <c r="BY56" i="81"/>
  <c r="CA56" i="81"/>
  <c r="CB56" i="81" s="1"/>
  <c r="BY64" i="81"/>
  <c r="CA64" i="81"/>
  <c r="CB64" i="81" s="1"/>
  <c r="BY72" i="81"/>
  <c r="CA72" i="81"/>
  <c r="CB72" i="81" s="1"/>
  <c r="BV97" i="81"/>
  <c r="AT448" i="81"/>
  <c r="BH448" i="81" s="1"/>
  <c r="BP448" i="81"/>
  <c r="AT432" i="81"/>
  <c r="BP432" i="81"/>
  <c r="AT414" i="81"/>
  <c r="BP414" i="81"/>
  <c r="AT188" i="81"/>
  <c r="BL6" i="81"/>
  <c r="BL61" i="81"/>
  <c r="AW77" i="81"/>
  <c r="AX77" i="81" s="1"/>
  <c r="BM77" i="81" s="1"/>
  <c r="BL93" i="81"/>
  <c r="BL88" i="81"/>
  <c r="BS88" i="81"/>
  <c r="BL104" i="81"/>
  <c r="BL50" i="81"/>
  <c r="BL82" i="81"/>
  <c r="BP98" i="81"/>
  <c r="BL192" i="81"/>
  <c r="BL116" i="81"/>
  <c r="BL272" i="81"/>
  <c r="BL238" i="81"/>
  <c r="BL241" i="81"/>
  <c r="BL257" i="81"/>
  <c r="BS317" i="81"/>
  <c r="BS349" i="81"/>
  <c r="BL304" i="81"/>
  <c r="BV320" i="81"/>
  <c r="BL336" i="81"/>
  <c r="BS336" i="81"/>
  <c r="BL352" i="81"/>
  <c r="BS352" i="81"/>
  <c r="BS360" i="81"/>
  <c r="BL433" i="81"/>
  <c r="BL450" i="81"/>
  <c r="BL461" i="81"/>
  <c r="BS27" i="81"/>
  <c r="J7" i="33"/>
  <c r="BI398" i="81"/>
  <c r="BI383" i="81"/>
  <c r="BI285" i="81"/>
  <c r="BI323" i="81"/>
  <c r="BI218" i="81"/>
  <c r="BI235" i="81"/>
  <c r="BI236" i="81"/>
  <c r="BI117" i="81"/>
  <c r="BI114" i="81"/>
  <c r="BI151" i="81"/>
  <c r="BI79" i="81"/>
  <c r="AV53" i="81"/>
  <c r="BJ53" i="81" s="1"/>
  <c r="BV77" i="81"/>
  <c r="BV95" i="81"/>
  <c r="BV92" i="81"/>
  <c r="BY133" i="81"/>
  <c r="BS141" i="81"/>
  <c r="BY165" i="81"/>
  <c r="CB188" i="81"/>
  <c r="CA147" i="81"/>
  <c r="CB147" i="81" s="1"/>
  <c r="BY147" i="81"/>
  <c r="CA164" i="81"/>
  <c r="CB164" i="81" s="1"/>
  <c r="BY164" i="81"/>
  <c r="BY181" i="81"/>
  <c r="BY186" i="81"/>
  <c r="CA186" i="81"/>
  <c r="CB186" i="81" s="1"/>
  <c r="BS129" i="81"/>
  <c r="CA144" i="81"/>
  <c r="CB144" i="81" s="1"/>
  <c r="BY144" i="81"/>
  <c r="BV174" i="81"/>
  <c r="BY236" i="81"/>
  <c r="BX211" i="81"/>
  <c r="BV211" i="81"/>
  <c r="BY232" i="81"/>
  <c r="BV255" i="81"/>
  <c r="CB230" i="81"/>
  <c r="CB260" i="81"/>
  <c r="BY197" i="81"/>
  <c r="CA205" i="81"/>
  <c r="CB205" i="81" s="1"/>
  <c r="BY205" i="81"/>
  <c r="CA221" i="81"/>
  <c r="CB221" i="81" s="1"/>
  <c r="BY221" i="81"/>
  <c r="BY240" i="81"/>
  <c r="BY264" i="81"/>
  <c r="BY281" i="81"/>
  <c r="CA292" i="81"/>
  <c r="CB292" i="81" s="1"/>
  <c r="BY292" i="81"/>
  <c r="CA311" i="81"/>
  <c r="CB311" i="81" s="1"/>
  <c r="BY311" i="81"/>
  <c r="BY328" i="81"/>
  <c r="BX294" i="81"/>
  <c r="BV294" i="81"/>
  <c r="BV334" i="81"/>
  <c r="BY360" i="81"/>
  <c r="CA360" i="81"/>
  <c r="CB360" i="81" s="1"/>
  <c r="BY293" i="81"/>
  <c r="BV354" i="81"/>
  <c r="BV283" i="81"/>
  <c r="BX298" i="81"/>
  <c r="BV298" i="81"/>
  <c r="CA315" i="81"/>
  <c r="CB315" i="81" s="1"/>
  <c r="BV346" i="81"/>
  <c r="BY377" i="81"/>
  <c r="CA361" i="81"/>
  <c r="CB361" i="81" s="1"/>
  <c r="BY361" i="81"/>
  <c r="BS390" i="81"/>
  <c r="BX406" i="81"/>
  <c r="BV406" i="81"/>
  <c r="CB402" i="81"/>
  <c r="BX442" i="81"/>
  <c r="BV463" i="81"/>
  <c r="O66" i="71"/>
  <c r="D66" i="71"/>
  <c r="O65" i="71"/>
  <c r="CB413" i="81"/>
  <c r="BX451" i="81"/>
  <c r="CB7" i="81"/>
  <c r="BV21" i="81"/>
  <c r="AV431" i="81"/>
  <c r="BJ431" i="81" s="1"/>
  <c r="AV403" i="81"/>
  <c r="BJ363" i="81"/>
  <c r="AV363" i="81"/>
  <c r="AV315" i="81"/>
  <c r="BJ315" i="81" s="1"/>
  <c r="AV259" i="81"/>
  <c r="BJ259" i="81" s="1"/>
  <c r="AV244" i="81"/>
  <c r="AV170" i="81"/>
  <c r="BJ170" i="81" s="1"/>
  <c r="AV142" i="81"/>
  <c r="BJ142" i="81" s="1"/>
  <c r="BP142" i="81"/>
  <c r="AV176" i="81"/>
  <c r="BS176" i="81"/>
  <c r="AV115" i="81"/>
  <c r="BJ115" i="81" s="1"/>
  <c r="BJ113" i="81"/>
  <c r="BS113" i="81"/>
  <c r="AV113" i="81"/>
  <c r="AV71" i="81"/>
  <c r="BV39" i="81"/>
  <c r="BV47" i="81"/>
  <c r="BV79" i="81"/>
  <c r="BV33" i="81"/>
  <c r="BV75" i="81"/>
  <c r="CB37" i="81"/>
  <c r="BV74" i="81"/>
  <c r="BX74" i="81"/>
  <c r="BV105" i="81"/>
  <c r="BI441" i="81"/>
  <c r="BI446" i="81"/>
  <c r="BI407" i="81"/>
  <c r="BI373" i="81"/>
  <c r="BI350" i="81"/>
  <c r="BI286" i="81"/>
  <c r="BI319" i="81"/>
  <c r="BI214" i="81"/>
  <c r="BI199" i="81"/>
  <c r="BI216" i="81"/>
  <c r="BI205" i="81"/>
  <c r="BI178" i="81"/>
  <c r="BI113" i="81"/>
  <c r="BI126" i="81"/>
  <c r="BI147" i="81"/>
  <c r="BI75" i="81"/>
  <c r="BI100" i="81"/>
  <c r="BI73" i="81"/>
  <c r="BI94" i="81"/>
  <c r="BK10" i="81"/>
  <c r="CB57" i="81"/>
  <c r="BV83" i="81"/>
  <c r="BS102" i="81"/>
  <c r="BX142" i="81"/>
  <c r="BV142" i="81"/>
  <c r="BY173" i="81"/>
  <c r="BV112" i="81"/>
  <c r="CA123" i="81"/>
  <c r="CB123" i="81" s="1"/>
  <c r="BY123" i="81"/>
  <c r="BV172" i="81"/>
  <c r="BS122" i="81"/>
  <c r="BV155" i="81"/>
  <c r="CB169" i="81"/>
  <c r="BV131" i="81"/>
  <c r="BV251" i="81"/>
  <c r="BV234" i="81"/>
  <c r="CA201" i="81"/>
  <c r="CB201" i="81" s="1"/>
  <c r="BY201" i="81"/>
  <c r="CA217" i="81"/>
  <c r="CB217" i="81" s="1"/>
  <c r="BY217" i="81"/>
  <c r="CA262" i="81"/>
  <c r="CB262" i="81" s="1"/>
  <c r="BY262" i="81"/>
  <c r="BX202" i="81"/>
  <c r="BV202" i="81"/>
  <c r="CB241" i="81"/>
  <c r="CB257" i="81"/>
  <c r="CB265" i="81"/>
  <c r="BV319" i="81"/>
  <c r="BY337" i="81"/>
  <c r="CA337" i="81"/>
  <c r="CB337" i="81" s="1"/>
  <c r="CB352" i="81"/>
  <c r="BV307" i="81"/>
  <c r="CA338" i="81"/>
  <c r="CB338" i="81" s="1"/>
  <c r="BY338" i="81"/>
  <c r="BY325" i="81"/>
  <c r="CA325" i="81"/>
  <c r="CB325" i="81" s="1"/>
  <c r="CB271" i="81"/>
  <c r="CA326" i="81"/>
  <c r="CB326" i="81" s="1"/>
  <c r="BY326" i="81"/>
  <c r="CA350" i="81"/>
  <c r="CB350" i="81" s="1"/>
  <c r="BY350" i="81"/>
  <c r="BY385" i="81"/>
  <c r="CA391" i="81"/>
  <c r="CB391" i="81" s="1"/>
  <c r="BY391" i="81"/>
  <c r="BV400" i="81"/>
  <c r="CA379" i="81"/>
  <c r="CB379" i="81" s="1"/>
  <c r="BY368" i="81"/>
  <c r="CA368" i="81"/>
  <c r="CB368" i="81" s="1"/>
  <c r="BY384" i="81"/>
  <c r="CA384" i="81"/>
  <c r="CB384" i="81" s="1"/>
  <c r="CA420" i="81"/>
  <c r="CB420" i="81" s="1"/>
  <c r="BY420" i="81"/>
  <c r="BX426" i="81"/>
  <c r="BV426" i="81"/>
  <c r="CB427" i="81"/>
  <c r="BV433" i="81"/>
  <c r="BX422" i="81"/>
  <c r="BV422" i="81"/>
  <c r="BY10" i="81"/>
  <c r="BS14" i="81"/>
  <c r="CB17" i="81"/>
  <c r="CB30" i="81"/>
  <c r="AV443" i="81"/>
  <c r="BJ443" i="81" s="1"/>
  <c r="AV208" i="81"/>
  <c r="BJ208" i="81" s="1"/>
  <c r="AV138" i="81"/>
  <c r="AV159" i="81"/>
  <c r="BJ159" i="81" s="1"/>
  <c r="BP159" i="81"/>
  <c r="BJ177" i="81"/>
  <c r="AV177" i="81"/>
  <c r="AV99" i="81"/>
  <c r="BV30" i="81"/>
  <c r="BS85" i="81"/>
  <c r="BV23" i="81"/>
  <c r="BV37" i="81"/>
  <c r="BV52" i="81"/>
  <c r="BV60" i="81"/>
  <c r="BV68" i="81"/>
  <c r="BY449" i="81"/>
  <c r="AU25" i="81"/>
  <c r="BI25" i="81" s="1"/>
  <c r="CB24" i="81"/>
  <c r="BV35" i="81"/>
  <c r="BX35" i="81"/>
  <c r="CB49" i="81"/>
  <c r="CA93" i="81"/>
  <c r="CB93" i="81" s="1"/>
  <c r="BY93" i="81"/>
  <c r="H7" i="36"/>
  <c r="BI443" i="81"/>
  <c r="BI405" i="81"/>
  <c r="BI403" i="81"/>
  <c r="BI388" i="81"/>
  <c r="BI420" i="81"/>
  <c r="BI340" i="81"/>
  <c r="BI341" i="81"/>
  <c r="BI369" i="81"/>
  <c r="BI298" i="81"/>
  <c r="BI331" i="81"/>
  <c r="BI267" i="81"/>
  <c r="BI226" i="81"/>
  <c r="BI243" i="81"/>
  <c r="BI228" i="81"/>
  <c r="BI196" i="81"/>
  <c r="BI157" i="81"/>
  <c r="BI171" i="81"/>
  <c r="BI185" i="81"/>
  <c r="BI127" i="81"/>
  <c r="BI71" i="81"/>
  <c r="BI96" i="81"/>
  <c r="BI69" i="81"/>
  <c r="BI90" i="81"/>
  <c r="BH11" i="81"/>
  <c r="CB53" i="81"/>
  <c r="BJ77" i="81"/>
  <c r="BY80" i="81"/>
  <c r="CA80" i="81"/>
  <c r="CB80" i="81" s="1"/>
  <c r="BY96" i="81"/>
  <c r="CA96" i="81"/>
  <c r="CB96" i="81" s="1"/>
  <c r="BS130" i="81"/>
  <c r="BG134" i="81"/>
  <c r="CA183" i="81"/>
  <c r="CB183" i="81" s="1"/>
  <c r="BY183" i="81"/>
  <c r="BV116" i="81"/>
  <c r="CA143" i="81"/>
  <c r="CB143" i="81" s="1"/>
  <c r="BY143" i="81"/>
  <c r="BY166" i="81"/>
  <c r="CA166" i="81"/>
  <c r="CB166" i="81" s="1"/>
  <c r="BX223" i="81"/>
  <c r="BV223" i="81"/>
  <c r="BY210" i="81"/>
  <c r="BY226" i="81"/>
  <c r="CB244" i="81"/>
  <c r="CB252" i="81"/>
  <c r="CB200" i="81"/>
  <c r="BX219" i="81"/>
  <c r="BV219" i="81"/>
  <c r="CA238" i="81"/>
  <c r="CB238" i="81" s="1"/>
  <c r="BY238" i="81"/>
  <c r="BX266" i="81"/>
  <c r="BX290" i="81"/>
  <c r="BV290" i="81"/>
  <c r="BV310" i="81"/>
  <c r="BV329" i="81"/>
  <c r="BV353" i="81"/>
  <c r="CA288" i="81"/>
  <c r="CB288" i="81" s="1"/>
  <c r="BY288" i="81"/>
  <c r="BY308" i="81"/>
  <c r="BV349" i="81"/>
  <c r="CA291" i="81"/>
  <c r="CB291" i="81" s="1"/>
  <c r="BY291" i="81"/>
  <c r="CA395" i="81"/>
  <c r="CB395" i="81" s="1"/>
  <c r="BY395" i="81"/>
  <c r="CA387" i="81"/>
  <c r="CB387" i="81" s="1"/>
  <c r="BY387" i="81"/>
  <c r="BV362" i="81"/>
  <c r="BX362" i="81"/>
  <c r="BV378" i="81"/>
  <c r="BX378" i="81"/>
  <c r="BV394" i="81"/>
  <c r="BX394" i="81"/>
  <c r="BX417" i="81"/>
  <c r="BV417" i="81"/>
  <c r="BX443" i="81"/>
  <c r="B15" i="71"/>
  <c r="B14" i="71" s="1"/>
  <c r="B13" i="71" s="1"/>
  <c r="B12" i="71" s="1"/>
  <c r="S16" i="71"/>
  <c r="BK382" i="81"/>
  <c r="BK328" i="81"/>
  <c r="BS328" i="81"/>
  <c r="BK326" i="81"/>
  <c r="BK290" i="81"/>
  <c r="BK191" i="81"/>
  <c r="BS191" i="81"/>
  <c r="BK240" i="81"/>
  <c r="BS240" i="81"/>
  <c r="BK245" i="81"/>
  <c r="BK107" i="81"/>
  <c r="BS107" i="81"/>
  <c r="BK81" i="81"/>
  <c r="BK404" i="81"/>
  <c r="BK353" i="81"/>
  <c r="BK354" i="81"/>
  <c r="BK129" i="81"/>
  <c r="BK45" i="81"/>
  <c r="AU33" i="81"/>
  <c r="BI33" i="81" s="1"/>
  <c r="AU132" i="81"/>
  <c r="BI296" i="81"/>
  <c r="AU296" i="81"/>
  <c r="BP366" i="81"/>
  <c r="AU366" i="81"/>
  <c r="BI366" i="81" s="1"/>
  <c r="BH44" i="81"/>
  <c r="BK461" i="81"/>
  <c r="BK454" i="81"/>
  <c r="BK401" i="81"/>
  <c r="BK320" i="81"/>
  <c r="BK349" i="81"/>
  <c r="BK317" i="81"/>
  <c r="BK116" i="81"/>
  <c r="BS116" i="81"/>
  <c r="BJ92" i="81"/>
  <c r="BK102" i="81"/>
  <c r="BK70" i="81"/>
  <c r="AU52" i="81"/>
  <c r="BP52" i="81"/>
  <c r="AU60" i="81"/>
  <c r="AU112" i="81"/>
  <c r="BI112" i="81" s="1"/>
  <c r="AU217" i="81"/>
  <c r="AU193" i="81"/>
  <c r="BI193" i="81" s="1"/>
  <c r="BP273" i="81"/>
  <c r="AU273" i="81"/>
  <c r="BS456" i="81"/>
  <c r="AU456" i="81"/>
  <c r="BK450" i="81"/>
  <c r="BK384" i="81"/>
  <c r="BK397" i="81"/>
  <c r="BS397" i="81"/>
  <c r="BK408" i="81"/>
  <c r="BK370" i="81"/>
  <c r="BJ348" i="81"/>
  <c r="BJ316" i="81"/>
  <c r="BJ329" i="81"/>
  <c r="BJ278" i="81"/>
  <c r="BK192" i="81"/>
  <c r="BK229" i="81"/>
  <c r="BK88" i="81"/>
  <c r="BK82" i="81"/>
  <c r="BP82" i="81"/>
  <c r="BK50" i="81"/>
  <c r="BH29" i="81"/>
  <c r="AU64" i="81"/>
  <c r="BP64" i="81"/>
  <c r="BI108" i="81"/>
  <c r="AU108" i="81"/>
  <c r="BH144" i="81"/>
  <c r="AU301" i="81"/>
  <c r="BP301" i="81"/>
  <c r="BH428" i="81"/>
  <c r="BJ376" i="81"/>
  <c r="BJ305" i="81"/>
  <c r="BJ306" i="81"/>
  <c r="BK295" i="81"/>
  <c r="BJ272" i="81"/>
  <c r="F50" i="15"/>
  <c r="C49" i="15" s="1"/>
  <c r="C61" i="15" s="1"/>
  <c r="C6" i="15"/>
  <c r="C10" i="15" s="1"/>
  <c r="C5" i="15" s="1"/>
  <c r="C38" i="15" s="1"/>
  <c r="M7" i="15"/>
  <c r="J6" i="15" s="1"/>
  <c r="J5" i="15" s="1"/>
  <c r="F71" i="15"/>
  <c r="AZ13" i="3"/>
  <c r="AZ5" i="3" s="1"/>
  <c r="BA5" i="3"/>
  <c r="E27" i="6" s="1"/>
  <c r="E59" i="40"/>
  <c r="E63" i="39"/>
  <c r="E64" i="39"/>
  <c r="E60" i="40"/>
  <c r="F27" i="6"/>
  <c r="E51" i="40"/>
  <c r="E56" i="39"/>
  <c r="E16" i="6"/>
  <c r="G5" i="3"/>
  <c r="B3" i="3" s="1"/>
  <c r="E13" i="3" s="1"/>
  <c r="D1" i="43"/>
  <c r="H42" i="43"/>
  <c r="E60" i="39"/>
  <c r="E56" i="40"/>
  <c r="E28" i="6"/>
  <c r="F30" i="6"/>
  <c r="G16" i="1"/>
  <c r="Q16" i="1"/>
  <c r="H16" i="1"/>
  <c r="M6" i="1"/>
  <c r="E57" i="40"/>
  <c r="E61" i="39"/>
  <c r="E62" i="39"/>
  <c r="E58" i="40"/>
  <c r="C53" i="67"/>
  <c r="C10" i="67"/>
  <c r="F24" i="15"/>
  <c r="C24" i="15" s="1"/>
  <c r="F22" i="11"/>
  <c r="F24" i="67"/>
  <c r="C24" i="67" s="1"/>
  <c r="F25" i="12"/>
  <c r="C26" i="12" s="1"/>
  <c r="D25" i="12" s="1"/>
  <c r="F22" i="69"/>
  <c r="L36" i="43"/>
  <c r="F22" i="68"/>
  <c r="C17" i="67"/>
  <c r="C16" i="67"/>
  <c r="C14" i="67"/>
  <c r="C16" i="15"/>
  <c r="BL429" i="81" l="1"/>
  <c r="BL320" i="81"/>
  <c r="BL129" i="81"/>
  <c r="BL268" i="81"/>
  <c r="BY344" i="81"/>
  <c r="BL408" i="81"/>
  <c r="AX23" i="81"/>
  <c r="BL384" i="81"/>
  <c r="BL206" i="81"/>
  <c r="BL66" i="81"/>
  <c r="BL45" i="81"/>
  <c r="BL281" i="81"/>
  <c r="BL105" i="81"/>
  <c r="BS45" i="81"/>
  <c r="BV281" i="81"/>
  <c r="BS429" i="81"/>
  <c r="BL333" i="81"/>
  <c r="BL254" i="81"/>
  <c r="BL98" i="81"/>
  <c r="BL17" i="81"/>
  <c r="BL445" i="81"/>
  <c r="BL284" i="81"/>
  <c r="BL313" i="81"/>
  <c r="BL191" i="81"/>
  <c r="BL344" i="81"/>
  <c r="BS105" i="81"/>
  <c r="BS332" i="81"/>
  <c r="BS408" i="81"/>
  <c r="BJ58" i="81"/>
  <c r="BS290" i="81"/>
  <c r="BL338" i="81"/>
  <c r="BL229" i="81"/>
  <c r="BK207" i="81"/>
  <c r="BG466" i="81"/>
  <c r="BS224" i="81"/>
  <c r="BL65" i="81"/>
  <c r="BV207" i="81"/>
  <c r="BY461" i="81"/>
  <c r="BL400" i="81"/>
  <c r="BL290" i="81"/>
  <c r="C5" i="67"/>
  <c r="J24" i="67"/>
  <c r="C15" i="67"/>
  <c r="C18" i="67"/>
  <c r="CA443" i="81"/>
  <c r="CB443" i="81" s="1"/>
  <c r="BY443" i="81"/>
  <c r="BK403" i="81"/>
  <c r="BV403" i="81"/>
  <c r="AW403" i="81"/>
  <c r="AU414" i="81"/>
  <c r="AW335" i="81"/>
  <c r="AW63" i="81"/>
  <c r="AW252" i="81"/>
  <c r="BS388" i="81"/>
  <c r="AW388" i="81"/>
  <c r="BK388" i="81" s="1"/>
  <c r="BY231" i="81"/>
  <c r="CA231" i="81"/>
  <c r="CB231" i="81" s="1"/>
  <c r="AW186" i="81"/>
  <c r="BK186" i="81" s="1"/>
  <c r="AW79" i="81"/>
  <c r="BK79" i="81" s="1"/>
  <c r="AW275" i="81"/>
  <c r="BK275" i="81" s="1"/>
  <c r="BK455" i="81"/>
  <c r="AW455" i="81"/>
  <c r="BS84" i="81"/>
  <c r="AW84" i="81"/>
  <c r="BK84" i="81" s="1"/>
  <c r="BS355" i="81"/>
  <c r="AW355" i="81"/>
  <c r="BK355" i="81" s="1"/>
  <c r="CA38" i="81"/>
  <c r="CB38" i="81" s="1"/>
  <c r="BY38" i="81"/>
  <c r="CA439" i="81"/>
  <c r="CB439" i="81" s="1"/>
  <c r="BY439" i="81"/>
  <c r="BM342" i="81"/>
  <c r="BV342" i="81"/>
  <c r="AW218" i="81"/>
  <c r="BS218" i="81"/>
  <c r="AV137" i="81"/>
  <c r="BJ137" i="81" s="1"/>
  <c r="AV219" i="81"/>
  <c r="BJ219" i="81" s="1"/>
  <c r="BY70" i="81"/>
  <c r="CA70" i="81"/>
  <c r="CB70" i="81" s="1"/>
  <c r="CA86" i="81"/>
  <c r="CB86" i="81" s="1"/>
  <c r="BY86" i="81"/>
  <c r="AW181" i="81"/>
  <c r="BK181" i="81" s="1"/>
  <c r="CA398" i="81"/>
  <c r="CB398" i="81" s="1"/>
  <c r="BY398" i="81"/>
  <c r="AU452" i="81"/>
  <c r="BI452" i="81" s="1"/>
  <c r="BS452" i="81"/>
  <c r="D51" i="43"/>
  <c r="J51" i="43"/>
  <c r="BS350" i="81"/>
  <c r="AW350" i="81"/>
  <c r="Q61" i="67"/>
  <c r="Q74" i="67"/>
  <c r="Q52" i="67"/>
  <c r="F1" i="67"/>
  <c r="AV273" i="81"/>
  <c r="BJ273" i="81" s="1"/>
  <c r="AV132" i="81"/>
  <c r="BY290" i="81"/>
  <c r="CA290" i="81"/>
  <c r="CB290" i="81" s="1"/>
  <c r="AW138" i="81"/>
  <c r="BY142" i="81"/>
  <c r="CA142" i="81"/>
  <c r="CB142" i="81" s="1"/>
  <c r="BS244" i="81"/>
  <c r="AW244" i="81"/>
  <c r="AU432" i="81"/>
  <c r="BI432" i="81" s="1"/>
  <c r="BY42" i="81"/>
  <c r="CA42" i="81"/>
  <c r="CB42" i="81" s="1"/>
  <c r="AW442" i="81"/>
  <c r="J56" i="43"/>
  <c r="D56" i="43"/>
  <c r="AW139" i="81"/>
  <c r="BS292" i="81"/>
  <c r="AW292" i="81"/>
  <c r="BK292" i="81" s="1"/>
  <c r="AW439" i="81"/>
  <c r="CA62" i="81"/>
  <c r="CB62" i="81" s="1"/>
  <c r="CA94" i="81"/>
  <c r="CB94" i="81" s="1"/>
  <c r="BY94" i="81"/>
  <c r="BK148" i="81"/>
  <c r="BS148" i="81"/>
  <c r="AW148" i="81"/>
  <c r="BS447" i="81"/>
  <c r="AW447" i="81"/>
  <c r="BK447" i="81" s="1"/>
  <c r="AW189" i="81"/>
  <c r="AV40" i="81"/>
  <c r="BJ40" i="81" s="1"/>
  <c r="AW183" i="81"/>
  <c r="BK318" i="81"/>
  <c r="AW318" i="81"/>
  <c r="AW409" i="81"/>
  <c r="AV48" i="81"/>
  <c r="BJ48" i="81" s="1"/>
  <c r="AU35" i="81"/>
  <c r="D52" i="43"/>
  <c r="J52" i="43"/>
  <c r="BV117" i="81"/>
  <c r="AW117" i="81"/>
  <c r="BK117" i="81" s="1"/>
  <c r="BY203" i="81"/>
  <c r="CA203" i="81"/>
  <c r="CB203" i="81" s="1"/>
  <c r="S7" i="33"/>
  <c r="AA7" i="33"/>
  <c r="R48" i="33" s="1"/>
  <c r="BS319" i="81"/>
  <c r="AW319" i="81"/>
  <c r="BK319" i="81" s="1"/>
  <c r="CA274" i="81"/>
  <c r="CB274" i="81" s="1"/>
  <c r="BY274" i="81"/>
  <c r="BS100" i="81"/>
  <c r="AW100" i="81"/>
  <c r="BK100" i="81" s="1"/>
  <c r="AV217" i="81"/>
  <c r="BI132" i="81"/>
  <c r="AW99" i="81"/>
  <c r="BJ138" i="81"/>
  <c r="BY426" i="81"/>
  <c r="CA426" i="81"/>
  <c r="CB426" i="81" s="1"/>
  <c r="BY74" i="81"/>
  <c r="CA74" i="81"/>
  <c r="CB74" i="81" s="1"/>
  <c r="BP71" i="81"/>
  <c r="AW71" i="81"/>
  <c r="BK176" i="81"/>
  <c r="AW176" i="81"/>
  <c r="BJ244" i="81"/>
  <c r="BJ403" i="81"/>
  <c r="BY442" i="81"/>
  <c r="CA442" i="81"/>
  <c r="CB442" i="81" s="1"/>
  <c r="BL209" i="81"/>
  <c r="BL27" i="81"/>
  <c r="AU188" i="81"/>
  <c r="BI188" i="81" s="1"/>
  <c r="BH414" i="81"/>
  <c r="BH432" i="81"/>
  <c r="AW42" i="81"/>
  <c r="BK42" i="81" s="1"/>
  <c r="AW162" i="81"/>
  <c r="AW200" i="81"/>
  <c r="BK200" i="81" s="1"/>
  <c r="AW271" i="81"/>
  <c r="BJ335" i="81"/>
  <c r="BJ442" i="81"/>
  <c r="CA359" i="81"/>
  <c r="CB359" i="81" s="1"/>
  <c r="BY359" i="81"/>
  <c r="CA109" i="81"/>
  <c r="CB109" i="81" s="1"/>
  <c r="BY109" i="81"/>
  <c r="CA145" i="81"/>
  <c r="CB145" i="81" s="1"/>
  <c r="BY145" i="81"/>
  <c r="BJ63" i="81"/>
  <c r="BJ139" i="81"/>
  <c r="BJ252" i="81"/>
  <c r="BJ292" i="81"/>
  <c r="BJ388" i="81"/>
  <c r="BJ439" i="81"/>
  <c r="AW307" i="81"/>
  <c r="BK372" i="81"/>
  <c r="BV372" i="81"/>
  <c r="AW372" i="81"/>
  <c r="AV122" i="81"/>
  <c r="BJ122" i="81" s="1"/>
  <c r="AV68" i="81"/>
  <c r="BJ68" i="81" s="1"/>
  <c r="CA126" i="81"/>
  <c r="CB126" i="81" s="1"/>
  <c r="AA7" i="37"/>
  <c r="R42" i="37" s="1"/>
  <c r="S7" i="37"/>
  <c r="AW141" i="81"/>
  <c r="BK141" i="81" s="1"/>
  <c r="AW172" i="81"/>
  <c r="BK172" i="81" s="1"/>
  <c r="CA435" i="81"/>
  <c r="CB435" i="81" s="1"/>
  <c r="BY435" i="81"/>
  <c r="BJ148" i="81"/>
  <c r="BJ186" i="81"/>
  <c r="BJ447" i="81"/>
  <c r="CA382" i="81"/>
  <c r="CB382" i="81" s="1"/>
  <c r="BY382" i="81"/>
  <c r="CA278" i="81"/>
  <c r="CB278" i="81" s="1"/>
  <c r="BY278" i="81"/>
  <c r="CA194" i="81"/>
  <c r="CB194" i="81" s="1"/>
  <c r="BY194" i="81"/>
  <c r="BL425" i="81"/>
  <c r="BL311" i="81"/>
  <c r="BP75" i="81"/>
  <c r="AW75" i="81"/>
  <c r="BP80" i="81"/>
  <c r="AW80" i="81"/>
  <c r="BK80" i="81" s="1"/>
  <c r="BK214" i="81"/>
  <c r="AW214" i="81"/>
  <c r="AW374" i="81"/>
  <c r="BK374" i="81" s="1"/>
  <c r="AW407" i="81"/>
  <c r="BK407" i="81" s="1"/>
  <c r="AW458" i="81"/>
  <c r="BK458" i="81" s="1"/>
  <c r="BP32" i="81"/>
  <c r="AV32" i="81"/>
  <c r="BJ32" i="81" s="1"/>
  <c r="BI40" i="81"/>
  <c r="BJ79" i="81"/>
  <c r="BJ275" i="81"/>
  <c r="BJ318" i="81"/>
  <c r="BJ455" i="81"/>
  <c r="BS91" i="81"/>
  <c r="AW91" i="81"/>
  <c r="BK91" i="81" s="1"/>
  <c r="BS151" i="81"/>
  <c r="AW151" i="81"/>
  <c r="BK151" i="81" s="1"/>
  <c r="BJ84" i="81"/>
  <c r="BJ355" i="81"/>
  <c r="BJ144" i="81"/>
  <c r="AV144" i="81"/>
  <c r="BS144" i="81"/>
  <c r="AV37" i="81"/>
  <c r="BJ37" i="81" s="1"/>
  <c r="AV288" i="81"/>
  <c r="BI48" i="81"/>
  <c r="CA386" i="81"/>
  <c r="CB386" i="81" s="1"/>
  <c r="BY386" i="81"/>
  <c r="CA358" i="81"/>
  <c r="CB358" i="81" s="1"/>
  <c r="BY358" i="81"/>
  <c r="CB314" i="81"/>
  <c r="BY282" i="81"/>
  <c r="CA282" i="81"/>
  <c r="CB282" i="81" s="1"/>
  <c r="I46" i="37"/>
  <c r="J46" i="37" s="1"/>
  <c r="AU106" i="81"/>
  <c r="BK127" i="81"/>
  <c r="AW127" i="81"/>
  <c r="BS171" i="81"/>
  <c r="AW171" i="81"/>
  <c r="CA218" i="81"/>
  <c r="CB218" i="81" s="1"/>
  <c r="BY218" i="81"/>
  <c r="BY207" i="81"/>
  <c r="CA207" i="81"/>
  <c r="CB207" i="81" s="1"/>
  <c r="G42" i="35"/>
  <c r="H42" i="35" s="1"/>
  <c r="BV54" i="81"/>
  <c r="AU31" i="81"/>
  <c r="BI31" i="81" s="1"/>
  <c r="AW165" i="81"/>
  <c r="BK198" i="81"/>
  <c r="AW198" i="81"/>
  <c r="AW212" i="81"/>
  <c r="BS283" i="81"/>
  <c r="AW283" i="81"/>
  <c r="BK283" i="81" s="1"/>
  <c r="AW395" i="81"/>
  <c r="CA187" i="81"/>
  <c r="CB187" i="81" s="1"/>
  <c r="BY187" i="81"/>
  <c r="BL279" i="81"/>
  <c r="AX380" i="81"/>
  <c r="BL15" i="81"/>
  <c r="BH35" i="81"/>
  <c r="BV169" i="81"/>
  <c r="AW169" i="81"/>
  <c r="BK169" i="81" s="1"/>
  <c r="AW242" i="81"/>
  <c r="AW303" i="81"/>
  <c r="BK303" i="81" s="1"/>
  <c r="AW423" i="81"/>
  <c r="BJ451" i="81"/>
  <c r="AU24" i="81"/>
  <c r="BI24" i="81" s="1"/>
  <c r="BP24" i="81"/>
  <c r="BJ218" i="81"/>
  <c r="AW246" i="81"/>
  <c r="BK246" i="81" s="1"/>
  <c r="AW291" i="81"/>
  <c r="BK394" i="81"/>
  <c r="AW394" i="81"/>
  <c r="BJ117" i="81"/>
  <c r="AW340" i="81"/>
  <c r="BK340" i="81" s="1"/>
  <c r="AW417" i="81"/>
  <c r="AV29" i="81"/>
  <c r="BJ29" i="81" s="1"/>
  <c r="AV416" i="81"/>
  <c r="BJ201" i="81"/>
  <c r="AV201" i="81"/>
  <c r="BI137" i="81"/>
  <c r="AV274" i="81"/>
  <c r="BJ227" i="81"/>
  <c r="AV227" i="81"/>
  <c r="BI219" i="81"/>
  <c r="AW160" i="81"/>
  <c r="BS194" i="81"/>
  <c r="AW194" i="81"/>
  <c r="BK194" i="81" s="1"/>
  <c r="AW391" i="81"/>
  <c r="CB369" i="81"/>
  <c r="BY121" i="81"/>
  <c r="BV86" i="81"/>
  <c r="BJ181" i="81"/>
  <c r="AW299" i="81"/>
  <c r="BK299" i="81" s="1"/>
  <c r="AW420" i="81"/>
  <c r="BY414" i="81"/>
  <c r="CA414" i="81"/>
  <c r="CB414" i="81" s="1"/>
  <c r="CA374" i="81"/>
  <c r="CB374" i="81" s="1"/>
  <c r="BY374" i="81"/>
  <c r="CA129" i="81"/>
  <c r="CB129" i="81" s="1"/>
  <c r="BY129" i="81"/>
  <c r="CA141" i="81"/>
  <c r="CB141" i="81" s="1"/>
  <c r="BY141" i="81"/>
  <c r="F63" i="40"/>
  <c r="E65" i="40"/>
  <c r="BL399" i="81"/>
  <c r="BL377" i="81"/>
  <c r="BL353" i="81"/>
  <c r="BL305" i="81"/>
  <c r="BL322" i="81"/>
  <c r="BL261" i="81"/>
  <c r="BL182" i="81"/>
  <c r="BL86" i="81"/>
  <c r="BL92" i="81"/>
  <c r="BL49" i="81"/>
  <c r="BP43" i="81"/>
  <c r="AW43" i="81"/>
  <c r="BK43" i="81" s="1"/>
  <c r="BK90" i="81"/>
  <c r="BS90" i="81"/>
  <c r="AW90" i="81"/>
  <c r="AW164" i="81"/>
  <c r="BK263" i="81"/>
  <c r="AW263" i="81"/>
  <c r="BJ319" i="81"/>
  <c r="BV464" i="81"/>
  <c r="AW464" i="81"/>
  <c r="BK464" i="81" s="1"/>
  <c r="T32" i="71"/>
  <c r="D32" i="71"/>
  <c r="CA90" i="81"/>
  <c r="CB90" i="81" s="1"/>
  <c r="BY90" i="81"/>
  <c r="AU231" i="81"/>
  <c r="BH452" i="81"/>
  <c r="BJ100" i="81"/>
  <c r="BS161" i="81"/>
  <c r="AW161" i="81"/>
  <c r="BK161" i="81" s="1"/>
  <c r="BJ350" i="81"/>
  <c r="BL9" i="81"/>
  <c r="Q52" i="15"/>
  <c r="F1" i="15"/>
  <c r="AV301" i="81"/>
  <c r="AV52" i="81"/>
  <c r="BJ52" i="81" s="1"/>
  <c r="BY35" i="81"/>
  <c r="CA35" i="81"/>
  <c r="CB35" i="81" s="1"/>
  <c r="AW315" i="81"/>
  <c r="BK315" i="81" s="1"/>
  <c r="BV315" i="81"/>
  <c r="AW119" i="81"/>
  <c r="BK119" i="81" s="1"/>
  <c r="AW383" i="81"/>
  <c r="AV21" i="81"/>
  <c r="BJ21" i="81" s="1"/>
  <c r="AW167" i="81"/>
  <c r="BS323" i="81"/>
  <c r="AW323" i="81"/>
  <c r="BK323" i="81" s="1"/>
  <c r="AV124" i="81"/>
  <c r="BP124" i="81"/>
  <c r="AW154" i="81"/>
  <c r="AW19" i="81"/>
  <c r="BK19" i="81" s="1"/>
  <c r="BS267" i="81"/>
  <c r="AW267" i="81"/>
  <c r="CA206" i="81"/>
  <c r="CB206" i="81" s="1"/>
  <c r="BY206" i="81"/>
  <c r="AW216" i="81"/>
  <c r="D53" i="43"/>
  <c r="J53" i="43"/>
  <c r="AW22" i="81"/>
  <c r="AW204" i="81"/>
  <c r="BK204" i="81" s="1"/>
  <c r="BS413" i="81"/>
  <c r="AW413" i="81"/>
  <c r="BK413" i="81" s="1"/>
  <c r="BS282" i="81"/>
  <c r="AW282" i="81"/>
  <c r="AW226" i="81"/>
  <c r="BK226" i="81" s="1"/>
  <c r="BV421" i="81"/>
  <c r="AW421" i="81"/>
  <c r="BK421" i="81" s="1"/>
  <c r="AW375" i="81"/>
  <c r="BY54" i="81"/>
  <c r="CA54" i="81"/>
  <c r="CB54" i="81" s="1"/>
  <c r="AW8" i="81"/>
  <c r="BY114" i="81"/>
  <c r="CA114" i="81"/>
  <c r="CB114" i="81" s="1"/>
  <c r="G47" i="37"/>
  <c r="H47" i="37" s="1"/>
  <c r="G46" i="37"/>
  <c r="H46" i="37" s="1"/>
  <c r="BY438" i="81"/>
  <c r="CA438" i="81"/>
  <c r="CB438" i="81" s="1"/>
  <c r="I52" i="21"/>
  <c r="J52" i="21" s="1"/>
  <c r="AW145" i="81"/>
  <c r="BK145" i="81" s="1"/>
  <c r="AW126" i="81"/>
  <c r="BL438" i="81"/>
  <c r="BL102" i="81"/>
  <c r="AW367" i="81"/>
  <c r="AW47" i="81"/>
  <c r="BK47" i="81" s="1"/>
  <c r="BI301" i="81"/>
  <c r="AV60" i="81"/>
  <c r="BI52" i="81"/>
  <c r="CA378" i="81"/>
  <c r="CB378" i="81" s="1"/>
  <c r="BY378" i="81"/>
  <c r="BI273" i="81"/>
  <c r="BI217" i="81"/>
  <c r="BI60" i="81"/>
  <c r="AV296" i="81"/>
  <c r="AV33" i="81"/>
  <c r="BJ33" i="81" s="1"/>
  <c r="T10" i="43"/>
  <c r="V10" i="43" s="1"/>
  <c r="S12" i="71"/>
  <c r="B11" i="71"/>
  <c r="B10" i="71" s="1"/>
  <c r="B9" i="71" s="1"/>
  <c r="B8" i="71" s="1"/>
  <c r="B7" i="71" s="1"/>
  <c r="B6" i="71" s="1"/>
  <c r="B5" i="71" s="1"/>
  <c r="CA417" i="81"/>
  <c r="CB417" i="81" s="1"/>
  <c r="BY417" i="81"/>
  <c r="CA266" i="81"/>
  <c r="CB266" i="81" s="1"/>
  <c r="BY266" i="81"/>
  <c r="BY219" i="81"/>
  <c r="CA219" i="81"/>
  <c r="CB219" i="81" s="1"/>
  <c r="BY223" i="81"/>
  <c r="CA223" i="81"/>
  <c r="CB223" i="81" s="1"/>
  <c r="BJ99" i="81"/>
  <c r="AW159" i="81"/>
  <c r="BK159" i="81" s="1"/>
  <c r="AW208" i="81"/>
  <c r="BJ71" i="81"/>
  <c r="BP115" i="81"/>
  <c r="AW115" i="81"/>
  <c r="BJ176" i="81"/>
  <c r="AW170" i="81"/>
  <c r="BS259" i="81"/>
  <c r="AW259" i="81"/>
  <c r="BK259" i="81" s="1"/>
  <c r="AW363" i="81"/>
  <c r="AW431" i="81"/>
  <c r="BK431" i="81" s="1"/>
  <c r="BY406" i="81"/>
  <c r="CA406" i="81"/>
  <c r="CB406" i="81" s="1"/>
  <c r="BY211" i="81"/>
  <c r="CA211" i="81"/>
  <c r="CB211" i="81" s="1"/>
  <c r="BS53" i="81"/>
  <c r="AW53" i="81"/>
  <c r="BK53" i="81" s="1"/>
  <c r="BL386" i="81"/>
  <c r="BL360" i="81"/>
  <c r="BL317" i="81"/>
  <c r="BL7" i="81"/>
  <c r="BH188" i="81"/>
  <c r="BJ42" i="81"/>
  <c r="AW120" i="81"/>
  <c r="BK120" i="81" s="1"/>
  <c r="BV180" i="81"/>
  <c r="AW180" i="81"/>
  <c r="BJ162" i="81"/>
  <c r="BJ200" i="81"/>
  <c r="BJ271" i="81"/>
  <c r="AW314" i="81"/>
  <c r="BK314" i="81" s="1"/>
  <c r="AW369" i="81"/>
  <c r="BV453" i="81"/>
  <c r="AW453" i="81"/>
  <c r="BK453" i="81" s="1"/>
  <c r="V12" i="71"/>
  <c r="E11" i="71"/>
  <c r="E10" i="71" s="1"/>
  <c r="E9" i="71" s="1"/>
  <c r="E8" i="71" s="1"/>
  <c r="E7" i="71" s="1"/>
  <c r="E6" i="71" s="1"/>
  <c r="E5" i="71" s="1"/>
  <c r="AW73" i="81"/>
  <c r="BK73" i="81" s="1"/>
  <c r="J50" i="43"/>
  <c r="D50" i="43"/>
  <c r="E50" i="43" s="1"/>
  <c r="B48" i="43" s="1"/>
  <c r="C28" i="43" s="1"/>
  <c r="BI21" i="81"/>
  <c r="AW62" i="81"/>
  <c r="BS156" i="81"/>
  <c r="AW156" i="81"/>
  <c r="BK156" i="81" s="1"/>
  <c r="AW190" i="81"/>
  <c r="BS190" i="81"/>
  <c r="BS178" i="81"/>
  <c r="AW178" i="81"/>
  <c r="BK270" i="81"/>
  <c r="AW270" i="81"/>
  <c r="AW235" i="81"/>
  <c r="BS356" i="81"/>
  <c r="AW356" i="81"/>
  <c r="BK356" i="81" s="1"/>
  <c r="AW302" i="81"/>
  <c r="BK302" i="81" s="1"/>
  <c r="BS373" i="81"/>
  <c r="AW373" i="81"/>
  <c r="BK427" i="81"/>
  <c r="BS427" i="81"/>
  <c r="AW427" i="81"/>
  <c r="AW462" i="81"/>
  <c r="BK462" i="81" s="1"/>
  <c r="AW253" i="81"/>
  <c r="BJ307" i="81"/>
  <c r="BJ372" i="81"/>
  <c r="AV56" i="81"/>
  <c r="AV410" i="81"/>
  <c r="BJ410" i="81" s="1"/>
  <c r="AV197" i="81"/>
  <c r="BI122" i="81"/>
  <c r="BI68" i="81"/>
  <c r="BY138" i="81"/>
  <c r="CA138" i="81"/>
  <c r="CB138" i="81" s="1"/>
  <c r="W7" i="36"/>
  <c r="AC7" i="36"/>
  <c r="V36" i="36" s="1"/>
  <c r="I36" i="36" s="1"/>
  <c r="AU436" i="81"/>
  <c r="BS436" i="81"/>
  <c r="BJ141" i="81"/>
  <c r="BJ172" i="81"/>
  <c r="AW359" i="81"/>
  <c r="CA78" i="81"/>
  <c r="CB78" i="81" s="1"/>
  <c r="BY78" i="81"/>
  <c r="AB7" i="21"/>
  <c r="T48" i="21" s="1"/>
  <c r="G48" i="21" s="1"/>
  <c r="U7" i="21"/>
  <c r="BS444" i="81"/>
  <c r="AU444" i="81"/>
  <c r="BI444" i="81" s="1"/>
  <c r="BK87" i="81"/>
  <c r="BV87" i="81"/>
  <c r="AW87" i="81"/>
  <c r="BS131" i="81"/>
  <c r="AW131" i="81"/>
  <c r="BK131" i="81" s="1"/>
  <c r="BS158" i="81"/>
  <c r="AW158" i="81"/>
  <c r="AW260" i="81"/>
  <c r="BK260" i="81" s="1"/>
  <c r="AW331" i="81"/>
  <c r="BS419" i="81"/>
  <c r="AW419" i="81"/>
  <c r="BK419" i="81" s="1"/>
  <c r="U7" i="33"/>
  <c r="AB7" i="33"/>
  <c r="T48" i="33" s="1"/>
  <c r="G48" i="33" s="1"/>
  <c r="BY27" i="81"/>
  <c r="CA27" i="81"/>
  <c r="CB27" i="81" s="1"/>
  <c r="BL300" i="81"/>
  <c r="BL67" i="81"/>
  <c r="BK135" i="81"/>
  <c r="AW135" i="81"/>
  <c r="BJ189" i="81"/>
  <c r="BK287" i="81"/>
  <c r="AW287" i="81"/>
  <c r="CA190" i="81"/>
  <c r="CB190" i="81" s="1"/>
  <c r="BY190" i="81"/>
  <c r="BY215" i="81"/>
  <c r="CA215" i="81"/>
  <c r="CB215" i="81" s="1"/>
  <c r="CA82" i="81"/>
  <c r="CB82" i="81" s="1"/>
  <c r="BY82" i="81"/>
  <c r="BI110" i="81"/>
  <c r="AU110" i="81"/>
  <c r="AU358" i="81"/>
  <c r="BP358" i="81"/>
  <c r="J55" i="43"/>
  <c r="D55" i="43"/>
  <c r="BP78" i="81"/>
  <c r="AW78" i="81"/>
  <c r="BK78" i="81" s="1"/>
  <c r="BP173" i="81"/>
  <c r="AW173" i="81"/>
  <c r="BS222" i="81"/>
  <c r="AW222" i="81"/>
  <c r="BK222" i="81" s="1"/>
  <c r="BJ183" i="81"/>
  <c r="AW221" i="81"/>
  <c r="BK221" i="81" s="1"/>
  <c r="AW266" i="81"/>
  <c r="AW308" i="81"/>
  <c r="BK308" i="81" s="1"/>
  <c r="BS339" i="81"/>
  <c r="AW339" i="81"/>
  <c r="BK339" i="81" s="1"/>
  <c r="BS325" i="81"/>
  <c r="AW325" i="81"/>
  <c r="AW389" i="81"/>
  <c r="BK389" i="81" s="1"/>
  <c r="BV441" i="81"/>
  <c r="AW441" i="81"/>
  <c r="BK441" i="81" s="1"/>
  <c r="BS247" i="81"/>
  <c r="AW247" i="81"/>
  <c r="AW390" i="81"/>
  <c r="BK390" i="81" s="1"/>
  <c r="BJ409" i="81"/>
  <c r="BY118" i="81"/>
  <c r="CA118" i="81"/>
  <c r="CB118" i="81" s="1"/>
  <c r="G53" i="34"/>
  <c r="H53" i="34" s="1"/>
  <c r="AW95" i="81"/>
  <c r="BK95" i="81" s="1"/>
  <c r="BS168" i="81"/>
  <c r="AW168" i="81"/>
  <c r="BS237" i="81"/>
  <c r="AW237" i="81"/>
  <c r="BK237" i="81" s="1"/>
  <c r="BS324" i="81"/>
  <c r="AW324" i="81"/>
  <c r="BK324" i="81" s="1"/>
  <c r="BS341" i="81"/>
  <c r="AW341" i="81"/>
  <c r="BK341" i="81" s="1"/>
  <c r="AW457" i="81"/>
  <c r="AV428" i="81"/>
  <c r="BJ428" i="81" s="1"/>
  <c r="AV440" i="81"/>
  <c r="AV365" i="81"/>
  <c r="BJ365" i="81" s="1"/>
  <c r="BS365" i="81"/>
  <c r="AV44" i="81"/>
  <c r="AW38" i="81"/>
  <c r="BK38" i="81" s="1"/>
  <c r="AW128" i="81"/>
  <c r="AW26" i="81"/>
  <c r="BK26" i="81" s="1"/>
  <c r="AU371" i="81"/>
  <c r="BP371" i="81"/>
  <c r="BY367" i="81"/>
  <c r="CA367" i="81"/>
  <c r="CB367" i="81" s="1"/>
  <c r="BL392" i="81"/>
  <c r="BL326" i="81"/>
  <c r="BL265" i="81"/>
  <c r="BS149" i="81"/>
  <c r="BM20" i="81"/>
  <c r="BV20" i="81"/>
  <c r="AX418" i="81"/>
  <c r="BL418" i="81" s="1"/>
  <c r="BL23" i="81"/>
  <c r="BJ169" i="81"/>
  <c r="BJ242" i="81"/>
  <c r="AW94" i="81"/>
  <c r="BS94" i="81"/>
  <c r="AW118" i="81"/>
  <c r="BS118" i="81"/>
  <c r="AW459" i="81"/>
  <c r="BK459" i="81" s="1"/>
  <c r="AW184" i="81"/>
  <c r="BK327" i="81"/>
  <c r="AV277" i="81"/>
  <c r="BP130" i="81"/>
  <c r="AV130" i="81"/>
  <c r="BJ130" i="81" s="1"/>
  <c r="BK418" i="81"/>
  <c r="BY110" i="81"/>
  <c r="CA110" i="81"/>
  <c r="CB110" i="81" s="1"/>
  <c r="BY50" i="81"/>
  <c r="CA50" i="81"/>
  <c r="CB50" i="81" s="1"/>
  <c r="BY454" i="81"/>
  <c r="CA454" i="81"/>
  <c r="CB454" i="81" s="1"/>
  <c r="CA401" i="81"/>
  <c r="CB401" i="81" s="1"/>
  <c r="BY401" i="81"/>
  <c r="CA102" i="81"/>
  <c r="CB102" i="81" s="1"/>
  <c r="BY102" i="81"/>
  <c r="E38" i="35"/>
  <c r="R39" i="35"/>
  <c r="AW55" i="81"/>
  <c r="BK55" i="81" s="1"/>
  <c r="BJ145" i="81"/>
  <c r="BK163" i="81"/>
  <c r="AW163" i="81"/>
  <c r="AW153" i="81"/>
  <c r="AW30" i="81"/>
  <c r="BK30" i="81" s="1"/>
  <c r="BL465" i="81"/>
  <c r="BL404" i="81"/>
  <c r="BL337" i="81"/>
  <c r="BL289" i="81"/>
  <c r="BL245" i="81"/>
  <c r="BL166" i="81"/>
  <c r="BL70" i="81"/>
  <c r="BL97" i="81"/>
  <c r="BL14" i="81"/>
  <c r="BS202" i="81"/>
  <c r="AW202" i="81"/>
  <c r="BK202" i="81" s="1"/>
  <c r="AW157" i="81"/>
  <c r="AW248" i="81"/>
  <c r="BK248" i="81" s="1"/>
  <c r="AW298" i="81"/>
  <c r="BS298" i="81"/>
  <c r="BS405" i="81"/>
  <c r="AW405" i="81"/>
  <c r="BK405" i="81" s="1"/>
  <c r="AW437" i="81"/>
  <c r="BK437" i="81" s="1"/>
  <c r="BY458" i="81"/>
  <c r="CA458" i="81"/>
  <c r="CB458" i="81" s="1"/>
  <c r="CB459" i="81"/>
  <c r="BY363" i="81"/>
  <c r="CA363" i="81"/>
  <c r="CB363" i="81" s="1"/>
  <c r="BY302" i="81"/>
  <c r="CA302" i="81"/>
  <c r="CB302" i="81" s="1"/>
  <c r="E49" i="34"/>
  <c r="R50" i="34"/>
  <c r="AW85" i="81"/>
  <c r="AW276" i="81"/>
  <c r="BK276" i="81" s="1"/>
  <c r="AW411" i="81"/>
  <c r="C32" i="67"/>
  <c r="C33" i="67"/>
  <c r="Q60" i="67"/>
  <c r="Q73" i="67"/>
  <c r="Q66" i="15"/>
  <c r="Q57" i="15"/>
  <c r="J18" i="67"/>
  <c r="J19" i="67"/>
  <c r="U7" i="36"/>
  <c r="AB7" i="36"/>
  <c r="T36" i="36" s="1"/>
  <c r="G36" i="36" s="1"/>
  <c r="AW443" i="81"/>
  <c r="BK443" i="81" s="1"/>
  <c r="BY422" i="81"/>
  <c r="CA422" i="81"/>
  <c r="CB422" i="81" s="1"/>
  <c r="CA202" i="81"/>
  <c r="CB202" i="81" s="1"/>
  <c r="BY202" i="81"/>
  <c r="AW142" i="81"/>
  <c r="BK424" i="81"/>
  <c r="AW424" i="81"/>
  <c r="E69" i="39"/>
  <c r="F67" i="39"/>
  <c r="BY46" i="81"/>
  <c r="CA46" i="81"/>
  <c r="CB46" i="81" s="1"/>
  <c r="BS101" i="81"/>
  <c r="AW101" i="81"/>
  <c r="BK101" i="81" s="1"/>
  <c r="AW205" i="81"/>
  <c r="AW309" i="81"/>
  <c r="BK309" i="81" s="1"/>
  <c r="AV140" i="81"/>
  <c r="BP140" i="81"/>
  <c r="BY130" i="81"/>
  <c r="CA130" i="81"/>
  <c r="CB130" i="81" s="1"/>
  <c r="AW196" i="81"/>
  <c r="BK379" i="81"/>
  <c r="AW379" i="81"/>
  <c r="BS69" i="81"/>
  <c r="AW69" i="81"/>
  <c r="BK69" i="81" s="1"/>
  <c r="BS351" i="81"/>
  <c r="AW351" i="81"/>
  <c r="CA98" i="81"/>
  <c r="CB98" i="81" s="1"/>
  <c r="BY98" i="81"/>
  <c r="AW155" i="81"/>
  <c r="AW251" i="81"/>
  <c r="BK251" i="81" s="1"/>
  <c r="AW378" i="81"/>
  <c r="AW293" i="81"/>
  <c r="BK293" i="81" s="1"/>
  <c r="AX327" i="81"/>
  <c r="BM327" i="81" s="1"/>
  <c r="BM460" i="81"/>
  <c r="BY460" i="81"/>
  <c r="AW451" i="81"/>
  <c r="BK262" i="81"/>
  <c r="AW262" i="81"/>
  <c r="BP72" i="81"/>
  <c r="AV72" i="81"/>
  <c r="BJ72" i="81" s="1"/>
  <c r="BY371" i="81"/>
  <c r="CA371" i="81"/>
  <c r="CB371" i="81" s="1"/>
  <c r="CA222" i="81"/>
  <c r="CB222" i="81" s="1"/>
  <c r="BY222" i="81"/>
  <c r="AW228" i="81"/>
  <c r="BL83" i="81"/>
  <c r="BS258" i="81"/>
  <c r="AW258" i="81"/>
  <c r="BK258" i="81" s="1"/>
  <c r="BK398" i="81"/>
  <c r="AW398" i="81"/>
  <c r="BS398" i="81"/>
  <c r="BY418" i="81"/>
  <c r="CA418" i="81"/>
  <c r="CB418" i="81" s="1"/>
  <c r="AW36" i="81"/>
  <c r="BK36" i="81" s="1"/>
  <c r="Q74" i="15"/>
  <c r="Q61" i="15"/>
  <c r="AV456" i="81"/>
  <c r="T5" i="43"/>
  <c r="V5" i="43" s="1"/>
  <c r="C48" i="67"/>
  <c r="C60" i="67" s="1"/>
  <c r="C59" i="67" s="1"/>
  <c r="BJ64" i="81"/>
  <c r="AV64" i="81"/>
  <c r="AV108" i="81"/>
  <c r="BJ108" i="81" s="1"/>
  <c r="BS108" i="81"/>
  <c r="BI64" i="81"/>
  <c r="BI456" i="81"/>
  <c r="AV193" i="81"/>
  <c r="AV112" i="81"/>
  <c r="BJ112" i="81" s="1"/>
  <c r="AV366" i="81"/>
  <c r="T8" i="43"/>
  <c r="V8" i="43" s="1"/>
  <c r="T3" i="43"/>
  <c r="V3" i="43" s="1"/>
  <c r="T13" i="43"/>
  <c r="V13" i="43" s="1"/>
  <c r="CA394" i="81"/>
  <c r="CB394" i="81" s="1"/>
  <c r="BY394" i="81"/>
  <c r="CA362" i="81"/>
  <c r="CB362" i="81" s="1"/>
  <c r="AV25" i="81"/>
  <c r="BJ25" i="81" s="1"/>
  <c r="BS177" i="81"/>
  <c r="AW177" i="81"/>
  <c r="AW113" i="81"/>
  <c r="BK113" i="81" s="1"/>
  <c r="CA451" i="81"/>
  <c r="CB451" i="81" s="1"/>
  <c r="BY298" i="81"/>
  <c r="CA298" i="81"/>
  <c r="CB298" i="81" s="1"/>
  <c r="BY294" i="81"/>
  <c r="CA294" i="81"/>
  <c r="CB294" i="81" s="1"/>
  <c r="AC7" i="33"/>
  <c r="V48" i="33" s="1"/>
  <c r="I48" i="33" s="1"/>
  <c r="W7" i="33"/>
  <c r="BL449" i="81"/>
  <c r="BL370" i="81"/>
  <c r="BL349" i="81"/>
  <c r="BL77" i="81"/>
  <c r="AU448" i="81"/>
  <c r="BK59" i="81"/>
  <c r="AW59" i="81"/>
  <c r="AW133" i="81"/>
  <c r="BJ120" i="81"/>
  <c r="BJ180" i="81"/>
  <c r="AW174" i="81"/>
  <c r="AW264" i="81"/>
  <c r="BK264" i="81" s="1"/>
  <c r="BJ314" i="81"/>
  <c r="BJ369" i="81"/>
  <c r="BJ453" i="81"/>
  <c r="CA447" i="81"/>
  <c r="CB447" i="81" s="1"/>
  <c r="BY447" i="81"/>
  <c r="CA405" i="81"/>
  <c r="CB405" i="81" s="1"/>
  <c r="BY405" i="81"/>
  <c r="BJ73" i="81"/>
  <c r="BJ62" i="81"/>
  <c r="BJ156" i="81"/>
  <c r="AW387" i="81"/>
  <c r="BK387" i="81" s="1"/>
  <c r="AW357" i="81"/>
  <c r="AW446" i="81"/>
  <c r="BK446" i="81" s="1"/>
  <c r="AV422" i="81"/>
  <c r="AW111" i="81"/>
  <c r="BY122" i="81"/>
  <c r="CA122" i="81"/>
  <c r="CB122" i="81" s="1"/>
  <c r="AC7" i="35"/>
  <c r="V38" i="35" s="1"/>
  <c r="I38" i="35" s="1"/>
  <c r="W7" i="35"/>
  <c r="CA366" i="81"/>
  <c r="CB366" i="81" s="1"/>
  <c r="BY366" i="81"/>
  <c r="BY66" i="81"/>
  <c r="CA66" i="81"/>
  <c r="CB66" i="81" s="1"/>
  <c r="BL343" i="81"/>
  <c r="BL207" i="81"/>
  <c r="BL51" i="81"/>
  <c r="AV18" i="81"/>
  <c r="AW58" i="81"/>
  <c r="BK58" i="81" s="1"/>
  <c r="AW152" i="81"/>
  <c r="BV179" i="81"/>
  <c r="AW179" i="81"/>
  <c r="BK179" i="81" s="1"/>
  <c r="AW199" i="81"/>
  <c r="BK199" i="81" s="1"/>
  <c r="AW330" i="81"/>
  <c r="AW385" i="81"/>
  <c r="BK385" i="81" s="1"/>
  <c r="BS435" i="81"/>
  <c r="AW435" i="81"/>
  <c r="W7" i="34"/>
  <c r="AC7" i="34"/>
  <c r="V49" i="34" s="1"/>
  <c r="I49" i="34" s="1"/>
  <c r="BP34" i="81"/>
  <c r="AW34" i="81"/>
  <c r="BK34" i="81" s="1"/>
  <c r="AW230" i="81"/>
  <c r="AW96" i="81"/>
  <c r="BK96" i="81" s="1"/>
  <c r="AW210" i="81"/>
  <c r="AV136" i="81"/>
  <c r="BJ136" i="81" s="1"/>
  <c r="AV269" i="81"/>
  <c r="AV76" i="81"/>
  <c r="CB76" i="81" s="1"/>
  <c r="CA455" i="81"/>
  <c r="CB455" i="81" s="1"/>
  <c r="BY455" i="81"/>
  <c r="CA370" i="81"/>
  <c r="CB370" i="81" s="1"/>
  <c r="BY370" i="81"/>
  <c r="CB59" i="81"/>
  <c r="AW185" i="81"/>
  <c r="BK185" i="81" s="1"/>
  <c r="CA198" i="81"/>
  <c r="CB198" i="81" s="1"/>
  <c r="BY198" i="81"/>
  <c r="E48" i="21"/>
  <c r="I53" i="21" s="1"/>
  <c r="J53" i="21" s="1"/>
  <c r="R49" i="21"/>
  <c r="AU134" i="81"/>
  <c r="BI134" i="81" s="1"/>
  <c r="BP103" i="81"/>
  <c r="AW103" i="81"/>
  <c r="BK103" i="81" s="1"/>
  <c r="AW147" i="81"/>
  <c r="BP175" i="81"/>
  <c r="AW175" i="81"/>
  <c r="BK175" i="81" s="1"/>
  <c r="BS195" i="81"/>
  <c r="AW195" i="81"/>
  <c r="BK195" i="81" s="1"/>
  <c r="BV347" i="81"/>
  <c r="AW347" i="81"/>
  <c r="BK347" i="81" s="1"/>
  <c r="BK434" i="81"/>
  <c r="AW434" i="81"/>
  <c r="BY410" i="81"/>
  <c r="CA410" i="81"/>
  <c r="CB410" i="81" s="1"/>
  <c r="BY286" i="81"/>
  <c r="CA286" i="81"/>
  <c r="CB286" i="81" s="1"/>
  <c r="BY227" i="81"/>
  <c r="CA227" i="81"/>
  <c r="CB227" i="81" s="1"/>
  <c r="BJ28" i="81"/>
  <c r="AV28" i="81"/>
  <c r="BL310" i="81"/>
  <c r="BL249" i="81"/>
  <c r="BL295" i="81"/>
  <c r="BL107" i="81"/>
  <c r="BV233" i="81"/>
  <c r="BL10" i="81"/>
  <c r="BK74" i="81"/>
  <c r="AW74" i="81"/>
  <c r="BS74" i="81"/>
  <c r="AW114" i="81"/>
  <c r="BK114" i="81" s="1"/>
  <c r="AW232" i="81"/>
  <c r="BS346" i="81"/>
  <c r="AW346" i="81"/>
  <c r="BK346" i="81" s="1"/>
  <c r="AU215" i="81"/>
  <c r="BI215" i="81" s="1"/>
  <c r="BK77" i="81"/>
  <c r="BJ94" i="81"/>
  <c r="BJ118" i="81"/>
  <c r="AW220" i="81"/>
  <c r="BK220" i="81" s="1"/>
  <c r="AW285" i="81"/>
  <c r="BK285" i="81" s="1"/>
  <c r="BS334" i="81"/>
  <c r="AW334" i="81"/>
  <c r="BK334" i="81" s="1"/>
  <c r="BK412" i="81"/>
  <c r="AW412" i="81"/>
  <c r="BJ459" i="81"/>
  <c r="AW123" i="81"/>
  <c r="BJ184" i="81"/>
  <c r="AW203" i="81"/>
  <c r="BK203" i="81" s="1"/>
  <c r="AW286" i="81"/>
  <c r="BK286" i="81" s="1"/>
  <c r="BK430" i="81"/>
  <c r="AW430" i="81"/>
  <c r="AV294" i="81"/>
  <c r="BJ294" i="81" s="1"/>
  <c r="BI416" i="81"/>
  <c r="AV213" i="81"/>
  <c r="BJ213" i="81" s="1"/>
  <c r="C37" i="43"/>
  <c r="AV426" i="81"/>
  <c r="BJ426" i="81" s="1"/>
  <c r="BI277" i="81"/>
  <c r="BI130" i="81"/>
  <c r="AV46" i="81"/>
  <c r="BJ46" i="81" s="1"/>
  <c r="BS46" i="81"/>
  <c r="CA270" i="81"/>
  <c r="CB270" i="81" s="1"/>
  <c r="BY270" i="81"/>
  <c r="BY134" i="81"/>
  <c r="CA134" i="81"/>
  <c r="CB134" i="81" s="1"/>
  <c r="E36" i="36"/>
  <c r="R37" i="36"/>
  <c r="AV11" i="81"/>
  <c r="BS143" i="81"/>
  <c r="AW143" i="81"/>
  <c r="BK143" i="81" s="1"/>
  <c r="BK225" i="81"/>
  <c r="BS225" i="81"/>
  <c r="AW225" i="81"/>
  <c r="CA431" i="81"/>
  <c r="CB431" i="81" s="1"/>
  <c r="BY431" i="81"/>
  <c r="BJ55" i="81"/>
  <c r="BJ163" i="81"/>
  <c r="BJ153" i="81"/>
  <c r="AW243" i="81"/>
  <c r="BK243" i="81" s="1"/>
  <c r="AW362" i="81"/>
  <c r="BK362" i="81" s="1"/>
  <c r="AW406" i="81"/>
  <c r="BK406" i="81" s="1"/>
  <c r="BS406" i="81"/>
  <c r="D21" i="71"/>
  <c r="C20" i="71"/>
  <c r="CA390" i="81"/>
  <c r="CB390" i="81" s="1"/>
  <c r="BY390" i="81"/>
  <c r="CB264" i="81"/>
  <c r="CA58" i="81"/>
  <c r="CB58" i="81" s="1"/>
  <c r="BJ30" i="81"/>
  <c r="BL454" i="81"/>
  <c r="BL401" i="81"/>
  <c r="BL393" i="81"/>
  <c r="BL361" i="81"/>
  <c r="BL321" i="81"/>
  <c r="BL354" i="81"/>
  <c r="BL306" i="81"/>
  <c r="BL149" i="81"/>
  <c r="BL54" i="81"/>
  <c r="BL81" i="81"/>
  <c r="AU211" i="81"/>
  <c r="BI211" i="81" s="1"/>
  <c r="BS109" i="81"/>
  <c r="AW109" i="81"/>
  <c r="BK109" i="81" s="1"/>
  <c r="AW125" i="81"/>
  <c r="BK125" i="81" s="1"/>
  <c r="BJ202" i="81"/>
  <c r="BK146" i="81"/>
  <c r="AW146" i="81"/>
  <c r="BJ157" i="81"/>
  <c r="BJ263" i="81"/>
  <c r="BJ298" i="81"/>
  <c r="BJ405" i="81"/>
  <c r="BY450" i="81"/>
  <c r="CA450" i="81"/>
  <c r="CB450" i="81" s="1"/>
  <c r="BY446" i="81"/>
  <c r="CA446" i="81"/>
  <c r="CB446" i="81" s="1"/>
  <c r="BS57" i="81"/>
  <c r="AW57" i="81"/>
  <c r="BK57" i="81" s="1"/>
  <c r="BY31" i="81"/>
  <c r="CA31" i="81"/>
  <c r="CB31" i="81" s="1"/>
  <c r="BJ85" i="81"/>
  <c r="AW150" i="81"/>
  <c r="BK150" i="81" s="1"/>
  <c r="AW236" i="81"/>
  <c r="BK236" i="81" s="1"/>
  <c r="BJ276" i="81"/>
  <c r="Q73" i="15"/>
  <c r="Q60" i="15"/>
  <c r="C48" i="15"/>
  <c r="C66" i="15" s="1"/>
  <c r="F31" i="6"/>
  <c r="J24" i="15"/>
  <c r="J26" i="15"/>
  <c r="E3" i="6"/>
  <c r="AY6" i="3"/>
  <c r="E65" i="39"/>
  <c r="J18" i="15"/>
  <c r="J19" i="15"/>
  <c r="F27" i="11"/>
  <c r="F28" i="12"/>
  <c r="C29" i="12" s="1"/>
  <c r="D28" i="12" s="1"/>
  <c r="F27" i="6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587" i="3"/>
  <c r="E583" i="3"/>
  <c r="E579" i="3"/>
  <c r="E575" i="3"/>
  <c r="E571" i="3"/>
  <c r="E567" i="3"/>
  <c r="E563" i="3"/>
  <c r="E559" i="3"/>
  <c r="E555" i="3"/>
  <c r="E551" i="3"/>
  <c r="E547" i="3"/>
  <c r="E543" i="3"/>
  <c r="E539" i="3"/>
  <c r="E535" i="3"/>
  <c r="E531" i="3"/>
  <c r="E527" i="3"/>
  <c r="E523" i="3"/>
  <c r="E519" i="3"/>
  <c r="E515" i="3"/>
  <c r="I3" i="6"/>
  <c r="E510" i="3"/>
  <c r="E509"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382" i="3"/>
  <c r="E381" i="3"/>
  <c r="E374" i="3"/>
  <c r="E373" i="3"/>
  <c r="E366" i="3"/>
  <c r="E365" i="3"/>
  <c r="E358" i="3"/>
  <c r="E357" i="3"/>
  <c r="E350" i="3"/>
  <c r="E349" i="3"/>
  <c r="E342" i="3"/>
  <c r="E341"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586" i="3"/>
  <c r="E585" i="3"/>
  <c r="E582" i="3"/>
  <c r="E581" i="3"/>
  <c r="E578" i="3"/>
  <c r="E577" i="3"/>
  <c r="E574" i="3"/>
  <c r="E573" i="3"/>
  <c r="E570" i="3"/>
  <c r="E569" i="3"/>
  <c r="E566" i="3"/>
  <c r="E565" i="3"/>
  <c r="E562" i="3"/>
  <c r="E561" i="3"/>
  <c r="E558" i="3"/>
  <c r="E557" i="3"/>
  <c r="E554" i="3"/>
  <c r="E553" i="3"/>
  <c r="E550" i="3"/>
  <c r="E549" i="3"/>
  <c r="E546" i="3"/>
  <c r="E545" i="3"/>
  <c r="E542" i="3"/>
  <c r="E541" i="3"/>
  <c r="E538" i="3"/>
  <c r="E537" i="3"/>
  <c r="E534" i="3"/>
  <c r="E533" i="3"/>
  <c r="E530" i="3"/>
  <c r="E529" i="3"/>
  <c r="E526" i="3"/>
  <c r="E525" i="3"/>
  <c r="E522" i="3"/>
  <c r="E521" i="3"/>
  <c r="E518" i="3"/>
  <c r="E517" i="3"/>
  <c r="E514" i="3"/>
  <c r="E513" i="3"/>
  <c r="E506" i="3"/>
  <c r="E505" i="3"/>
  <c r="E498" i="3"/>
  <c r="E497" i="3"/>
  <c r="E490" i="3"/>
  <c r="E489" i="3"/>
  <c r="E482" i="3"/>
  <c r="E481" i="3"/>
  <c r="E474" i="3"/>
  <c r="E473" i="3"/>
  <c r="E466" i="3"/>
  <c r="E465" i="3"/>
  <c r="E458" i="3"/>
  <c r="E457" i="3"/>
  <c r="E450" i="3"/>
  <c r="E449" i="3"/>
  <c r="E442" i="3"/>
  <c r="E441" i="3"/>
  <c r="E511" i="3"/>
  <c r="E503" i="3"/>
  <c r="E495" i="3"/>
  <c r="E487" i="3"/>
  <c r="E479" i="3"/>
  <c r="E471" i="3"/>
  <c r="E463" i="3"/>
  <c r="E455" i="3"/>
  <c r="E447" i="3"/>
  <c r="E439" i="3"/>
  <c r="E332" i="3"/>
  <c r="E331" i="3"/>
  <c r="E324" i="3"/>
  <c r="E323" i="3"/>
  <c r="E316" i="3"/>
  <c r="E315" i="3"/>
  <c r="E308" i="3"/>
  <c r="E307" i="3"/>
  <c r="E300" i="3"/>
  <c r="E299" i="3"/>
  <c r="E292" i="3"/>
  <c r="E291" i="3"/>
  <c r="E284" i="3"/>
  <c r="E283" i="3"/>
  <c r="E276" i="3"/>
  <c r="E275" i="3"/>
  <c r="E268" i="3"/>
  <c r="E267" i="3"/>
  <c r="E260" i="3"/>
  <c r="E259" i="3"/>
  <c r="E252" i="3"/>
  <c r="E251" i="3"/>
  <c r="E244" i="3"/>
  <c r="E243" i="3"/>
  <c r="E236" i="3"/>
  <c r="E235" i="3"/>
  <c r="E228" i="3"/>
  <c r="E227" i="3"/>
  <c r="E220" i="3"/>
  <c r="E219" i="3"/>
  <c r="E212" i="3"/>
  <c r="E211" i="3"/>
  <c r="E204" i="3"/>
  <c r="E203" i="3"/>
  <c r="E196" i="3"/>
  <c r="E195" i="3"/>
  <c r="E188" i="3"/>
  <c r="E187" i="3"/>
  <c r="E180" i="3"/>
  <c r="E179" i="3"/>
  <c r="E172" i="3"/>
  <c r="E171" i="3"/>
  <c r="E164" i="3"/>
  <c r="E163" i="3"/>
  <c r="E156" i="3"/>
  <c r="E155" i="3"/>
  <c r="E148" i="3"/>
  <c r="E147" i="3"/>
  <c r="E140" i="3"/>
  <c r="E139" i="3"/>
  <c r="E132" i="3"/>
  <c r="E131" i="3"/>
  <c r="E124" i="3"/>
  <c r="E123" i="3"/>
  <c r="E116" i="3"/>
  <c r="E115" i="3"/>
  <c r="E108" i="3"/>
  <c r="E107" i="3"/>
  <c r="E100" i="3"/>
  <c r="E96" i="3"/>
  <c r="E92" i="3"/>
  <c r="E88" i="3"/>
  <c r="E84" i="3"/>
  <c r="E80" i="3"/>
  <c r="E329" i="3"/>
  <c r="E321" i="3"/>
  <c r="E313" i="3"/>
  <c r="E305" i="3"/>
  <c r="E297" i="3"/>
  <c r="E289" i="3"/>
  <c r="E281" i="3"/>
  <c r="E273" i="3"/>
  <c r="E265" i="3"/>
  <c r="E257" i="3"/>
  <c r="E249" i="3"/>
  <c r="E241" i="3"/>
  <c r="E233" i="3"/>
  <c r="E225" i="3"/>
  <c r="E217" i="3"/>
  <c r="E209" i="3"/>
  <c r="E201" i="3"/>
  <c r="E193" i="3"/>
  <c r="E185" i="3"/>
  <c r="E177" i="3"/>
  <c r="E169" i="3"/>
  <c r="E161" i="3"/>
  <c r="E153" i="3"/>
  <c r="E145" i="3"/>
  <c r="E137" i="3"/>
  <c r="E129" i="3"/>
  <c r="E121" i="3"/>
  <c r="E113" i="3"/>
  <c r="E105" i="3"/>
  <c r="E507" i="3"/>
  <c r="E499" i="3"/>
  <c r="E491" i="3"/>
  <c r="E483" i="3"/>
  <c r="E475" i="3"/>
  <c r="E467" i="3"/>
  <c r="E459" i="3"/>
  <c r="E451" i="3"/>
  <c r="E443"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28" i="3"/>
  <c r="E327" i="3"/>
  <c r="E320" i="3"/>
  <c r="E319" i="3"/>
  <c r="E312" i="3"/>
  <c r="E311" i="3"/>
  <c r="E304" i="3"/>
  <c r="E303" i="3"/>
  <c r="E296" i="3"/>
  <c r="E295" i="3"/>
  <c r="E288" i="3"/>
  <c r="E287" i="3"/>
  <c r="E280" i="3"/>
  <c r="E279" i="3"/>
  <c r="E272" i="3"/>
  <c r="E271" i="3"/>
  <c r="E264" i="3"/>
  <c r="E263" i="3"/>
  <c r="E256" i="3"/>
  <c r="E255" i="3"/>
  <c r="E248" i="3"/>
  <c r="E247" i="3"/>
  <c r="E240" i="3"/>
  <c r="E239" i="3"/>
  <c r="E232" i="3"/>
  <c r="E231" i="3"/>
  <c r="E224" i="3"/>
  <c r="E223" i="3"/>
  <c r="E216" i="3"/>
  <c r="E215" i="3"/>
  <c r="E208" i="3"/>
  <c r="E207" i="3"/>
  <c r="E200" i="3"/>
  <c r="E199" i="3"/>
  <c r="E192" i="3"/>
  <c r="E191" i="3"/>
  <c r="E184" i="3"/>
  <c r="E183" i="3"/>
  <c r="E176" i="3"/>
  <c r="E175" i="3"/>
  <c r="E168" i="3"/>
  <c r="E167" i="3"/>
  <c r="E160" i="3"/>
  <c r="E159" i="3"/>
  <c r="E152" i="3"/>
  <c r="E151" i="3"/>
  <c r="E144" i="3"/>
  <c r="E143" i="3"/>
  <c r="E136" i="3"/>
  <c r="E135" i="3"/>
  <c r="E117" i="3"/>
  <c r="E101" i="3"/>
  <c r="E94" i="3"/>
  <c r="E93" i="3"/>
  <c r="E86" i="3"/>
  <c r="E85" i="3"/>
  <c r="E78" i="3"/>
  <c r="E77" i="3"/>
  <c r="E73" i="3"/>
  <c r="E69" i="3"/>
  <c r="E65" i="3"/>
  <c r="E61" i="3"/>
  <c r="E57" i="3"/>
  <c r="E53" i="3"/>
  <c r="E49" i="3"/>
  <c r="E45" i="3"/>
  <c r="E41" i="3"/>
  <c r="E37" i="3"/>
  <c r="E33" i="3"/>
  <c r="E29" i="3"/>
  <c r="E25" i="3"/>
  <c r="E21" i="3"/>
  <c r="E17" i="3"/>
  <c r="AS6" i="3"/>
  <c r="AO6" i="3"/>
  <c r="AK6" i="3"/>
  <c r="AG6" i="3"/>
  <c r="Y6" i="3"/>
  <c r="U6" i="3"/>
  <c r="E325" i="3"/>
  <c r="E309" i="3"/>
  <c r="E293" i="3"/>
  <c r="E277" i="3"/>
  <c r="E261" i="3"/>
  <c r="E245" i="3"/>
  <c r="E229" i="3"/>
  <c r="E213" i="3"/>
  <c r="E197" i="3"/>
  <c r="E181" i="3"/>
  <c r="E165" i="3"/>
  <c r="E149" i="3"/>
  <c r="E133" i="3"/>
  <c r="E120" i="3"/>
  <c r="E119" i="3"/>
  <c r="E104" i="3"/>
  <c r="E103" i="3"/>
  <c r="E99" i="3"/>
  <c r="E91" i="3"/>
  <c r="E83" i="3"/>
  <c r="E76" i="3"/>
  <c r="E72" i="3"/>
  <c r="E68" i="3"/>
  <c r="E64" i="3"/>
  <c r="E60" i="3"/>
  <c r="E56" i="3"/>
  <c r="E52" i="3"/>
  <c r="E48" i="3"/>
  <c r="E44" i="3"/>
  <c r="E40" i="3"/>
  <c r="E36" i="3"/>
  <c r="E32" i="3"/>
  <c r="E28" i="3"/>
  <c r="E24" i="3"/>
  <c r="E20" i="3"/>
  <c r="E16" i="3"/>
  <c r="E434" i="3"/>
  <c r="E433" i="3"/>
  <c r="E426" i="3"/>
  <c r="E425" i="3"/>
  <c r="E418" i="3"/>
  <c r="E417" i="3"/>
  <c r="E410" i="3"/>
  <c r="E409" i="3"/>
  <c r="E402" i="3"/>
  <c r="E401" i="3"/>
  <c r="E394" i="3"/>
  <c r="E393" i="3"/>
  <c r="E386" i="3"/>
  <c r="E385" i="3"/>
  <c r="E378" i="3"/>
  <c r="E377" i="3"/>
  <c r="E370" i="3"/>
  <c r="E369" i="3"/>
  <c r="E362" i="3"/>
  <c r="E361" i="3"/>
  <c r="E354" i="3"/>
  <c r="E353" i="3"/>
  <c r="E346" i="3"/>
  <c r="E345" i="3"/>
  <c r="E338" i="3"/>
  <c r="E337" i="3"/>
  <c r="E125" i="3"/>
  <c r="E109" i="3"/>
  <c r="E98" i="3"/>
  <c r="E97" i="3"/>
  <c r="E90" i="3"/>
  <c r="E89" i="3"/>
  <c r="E82" i="3"/>
  <c r="E81" i="3"/>
  <c r="E75" i="3"/>
  <c r="E71" i="3"/>
  <c r="E67" i="3"/>
  <c r="E63" i="3"/>
  <c r="E59" i="3"/>
  <c r="E55" i="3"/>
  <c r="E51" i="3"/>
  <c r="E47" i="3"/>
  <c r="E43" i="3"/>
  <c r="E39" i="3"/>
  <c r="E35" i="3"/>
  <c r="E31" i="3"/>
  <c r="E27" i="3"/>
  <c r="E23" i="3"/>
  <c r="E19" i="3"/>
  <c r="E15" i="3"/>
  <c r="E333" i="3"/>
  <c r="E317" i="3"/>
  <c r="E301" i="3"/>
  <c r="E285" i="3"/>
  <c r="E269" i="3"/>
  <c r="E253" i="3"/>
  <c r="E237" i="3"/>
  <c r="E221" i="3"/>
  <c r="E205" i="3"/>
  <c r="E189" i="3"/>
  <c r="E173" i="3"/>
  <c r="E157" i="3"/>
  <c r="E141" i="3"/>
  <c r="E128" i="3"/>
  <c r="E127" i="3"/>
  <c r="E112" i="3"/>
  <c r="E111" i="3"/>
  <c r="E95" i="3"/>
  <c r="E87" i="3"/>
  <c r="E79" i="3"/>
  <c r="E74" i="3"/>
  <c r="E70" i="3"/>
  <c r="E66" i="3"/>
  <c r="E62" i="3"/>
  <c r="E58" i="3"/>
  <c r="E54" i="3"/>
  <c r="E50" i="3"/>
  <c r="E46" i="3"/>
  <c r="E42" i="3"/>
  <c r="E38" i="3"/>
  <c r="E34" i="3"/>
  <c r="E30" i="3"/>
  <c r="E26" i="3"/>
  <c r="E22" i="3"/>
  <c r="E18" i="3"/>
  <c r="AP6" i="3"/>
  <c r="AH6" i="3"/>
  <c r="AD6" i="3"/>
  <c r="Z6" i="3"/>
  <c r="AQ6" i="3"/>
  <c r="AI6" i="3"/>
  <c r="AA6" i="3"/>
  <c r="T6" i="3"/>
  <c r="J6" i="3"/>
  <c r="AM6" i="3"/>
  <c r="AE6" i="3"/>
  <c r="W6" i="3"/>
  <c r="R6" i="3"/>
  <c r="L6" i="3"/>
  <c r="AB6" i="3"/>
  <c r="AF6" i="3"/>
  <c r="AR6" i="3"/>
  <c r="AJ6" i="3"/>
  <c r="V6" i="3"/>
  <c r="P6" i="3"/>
  <c r="AN6" i="3"/>
  <c r="X6" i="3"/>
  <c r="S6" i="3"/>
  <c r="N6" i="3"/>
  <c r="K6" i="3"/>
  <c r="Q6" i="3"/>
  <c r="I6" i="3"/>
  <c r="O6" i="3"/>
  <c r="E14" i="3"/>
  <c r="AL6" i="3"/>
  <c r="M6" i="3"/>
  <c r="C32" i="15"/>
  <c r="C33" i="15"/>
  <c r="J10" i="40"/>
  <c r="H10" i="40"/>
  <c r="J10" i="39"/>
  <c r="F10" i="40"/>
  <c r="H10" i="39"/>
  <c r="F10" i="39"/>
  <c r="K26" i="6"/>
  <c r="M26" i="6" s="1"/>
  <c r="I26" i="6" s="1"/>
  <c r="S26" i="6" s="1"/>
  <c r="K24" i="6"/>
  <c r="M24" i="6" s="1"/>
  <c r="I24" i="6" s="1"/>
  <c r="S24" i="6" s="1"/>
  <c r="K23" i="6"/>
  <c r="M23" i="6" s="1"/>
  <c r="I23" i="6" s="1"/>
  <c r="S23" i="6" s="1"/>
  <c r="K25" i="6"/>
  <c r="M25" i="6" s="1"/>
  <c r="I25" i="6" s="1"/>
  <c r="S25" i="6" s="1"/>
  <c r="K22" i="6"/>
  <c r="M22" i="6" s="1"/>
  <c r="I22" i="6" s="1"/>
  <c r="S22" i="6" s="1"/>
  <c r="K20" i="6"/>
  <c r="M20" i="6" s="1"/>
  <c r="I20" i="6" s="1"/>
  <c r="S20" i="6" s="1"/>
  <c r="K14" i="1"/>
  <c r="K19" i="6"/>
  <c r="K21" i="6"/>
  <c r="M21" i="6" s="1"/>
  <c r="I21" i="6" s="1"/>
  <c r="S21" i="6" s="1"/>
  <c r="E30" i="6"/>
  <c r="E31" i="6" s="1"/>
  <c r="Q36" i="43"/>
  <c r="M36" i="43"/>
  <c r="O36" i="43"/>
  <c r="N36" i="43"/>
  <c r="P36" i="43"/>
  <c r="L37" i="43"/>
  <c r="C44" i="11"/>
  <c r="D41" i="11" s="1"/>
  <c r="C26" i="11"/>
  <c r="D22" i="11" s="1"/>
  <c r="C23" i="11"/>
  <c r="C26" i="68"/>
  <c r="D22" i="68" s="1"/>
  <c r="C44" i="68"/>
  <c r="D41" i="68" s="1"/>
  <c r="F41" i="68"/>
  <c r="C24" i="68"/>
  <c r="C44" i="69"/>
  <c r="D41" i="69" s="1"/>
  <c r="F41" i="69"/>
  <c r="C26" i="69"/>
  <c r="D22" i="69" s="1"/>
  <c r="C38" i="67"/>
  <c r="AE6" i="1"/>
  <c r="BJ76" i="81" l="1"/>
  <c r="BM23" i="81"/>
  <c r="BS23" i="81"/>
  <c r="BH466" i="81"/>
  <c r="C19" i="67"/>
  <c r="C20" i="67" s="1"/>
  <c r="C66" i="67"/>
  <c r="C31" i="67"/>
  <c r="BP11" i="81"/>
  <c r="AW11" i="81"/>
  <c r="BK11" i="81" s="1"/>
  <c r="AX232" i="81"/>
  <c r="BS147" i="81"/>
  <c r="AX147" i="81"/>
  <c r="BM147" i="81" s="1"/>
  <c r="BP18" i="81"/>
  <c r="AW18" i="81"/>
  <c r="BK18" i="81" s="1"/>
  <c r="AW422" i="81"/>
  <c r="BS422" i="81"/>
  <c r="BS448" i="81"/>
  <c r="AV448" i="81"/>
  <c r="BV456" i="81"/>
  <c r="AW456" i="81"/>
  <c r="BK456" i="81" s="1"/>
  <c r="BS155" i="81"/>
  <c r="AX155" i="81"/>
  <c r="BM155" i="81" s="1"/>
  <c r="BS196" i="81"/>
  <c r="AX196" i="81"/>
  <c r="BM196" i="81" s="1"/>
  <c r="F69" i="39"/>
  <c r="G67" i="39"/>
  <c r="BL411" i="81"/>
  <c r="AX411" i="81"/>
  <c r="AX184" i="81"/>
  <c r="BV128" i="81"/>
  <c r="AX128" i="81"/>
  <c r="BM128" i="81" s="1"/>
  <c r="AX247" i="81"/>
  <c r="BM247" i="81" s="1"/>
  <c r="BH468" i="81"/>
  <c r="BH469" i="81" s="1"/>
  <c r="BS331" i="81"/>
  <c r="AX331" i="81"/>
  <c r="BM331" i="81" s="1"/>
  <c r="AX158" i="81"/>
  <c r="BM158" i="81" s="1"/>
  <c r="BS359" i="81"/>
  <c r="AX359" i="81"/>
  <c r="BM359" i="81" s="1"/>
  <c r="AX373" i="81"/>
  <c r="BM373" i="81" s="1"/>
  <c r="BV235" i="81"/>
  <c r="AX235" i="81"/>
  <c r="BM235" i="81" s="1"/>
  <c r="AX178" i="81"/>
  <c r="BM178" i="81" s="1"/>
  <c r="AX190" i="81"/>
  <c r="BM190" i="81" s="1"/>
  <c r="T11" i="43"/>
  <c r="V11" i="43" s="1"/>
  <c r="T6" i="43"/>
  <c r="V6" i="43" s="1"/>
  <c r="T7" i="43"/>
  <c r="V7" i="43" s="1"/>
  <c r="AX180" i="81"/>
  <c r="BS363" i="81"/>
  <c r="AX363" i="81"/>
  <c r="BM363" i="81" s="1"/>
  <c r="AX115" i="81"/>
  <c r="BM115" i="81" s="1"/>
  <c r="BS208" i="81"/>
  <c r="AX208" i="81"/>
  <c r="BM208" i="81" s="1"/>
  <c r="T16" i="43"/>
  <c r="V16" i="43" s="1"/>
  <c r="BS60" i="81"/>
  <c r="AW60" i="81"/>
  <c r="BK60" i="81" s="1"/>
  <c r="AX282" i="81"/>
  <c r="BM282" i="81" s="1"/>
  <c r="BP22" i="81"/>
  <c r="AX22" i="81"/>
  <c r="BM22" i="81" s="1"/>
  <c r="BL216" i="81"/>
  <c r="AX216" i="81"/>
  <c r="BM216" i="81" s="1"/>
  <c r="AX267" i="81"/>
  <c r="BM267" i="81" s="1"/>
  <c r="AW124" i="81"/>
  <c r="BK124" i="81" s="1"/>
  <c r="AW301" i="81"/>
  <c r="AV231" i="81"/>
  <c r="BJ231" i="81" s="1"/>
  <c r="BS231" i="81"/>
  <c r="AX164" i="81"/>
  <c r="AX420" i="81"/>
  <c r="BM420" i="81" s="1"/>
  <c r="AX391" i="81"/>
  <c r="C38" i="43"/>
  <c r="BS274" i="81"/>
  <c r="AW274" i="81"/>
  <c r="BS291" i="81"/>
  <c r="AX291" i="81"/>
  <c r="BM291" i="81" s="1"/>
  <c r="BM380" i="81"/>
  <c r="BS380" i="81"/>
  <c r="BS395" i="81"/>
  <c r="AX395" i="81"/>
  <c r="BM395" i="81" s="1"/>
  <c r="AX171" i="81"/>
  <c r="BM171" i="81" s="1"/>
  <c r="AX75" i="81"/>
  <c r="BM75" i="81" s="1"/>
  <c r="BS307" i="81"/>
  <c r="AX307" i="81"/>
  <c r="BM307" i="81" s="1"/>
  <c r="AX271" i="81"/>
  <c r="BM271" i="81" s="1"/>
  <c r="BV162" i="81"/>
  <c r="AX162" i="81"/>
  <c r="BM162" i="81" s="1"/>
  <c r="AX71" i="81"/>
  <c r="BM71" i="81" s="1"/>
  <c r="BS99" i="81"/>
  <c r="AX99" i="81"/>
  <c r="BM99" i="81" s="1"/>
  <c r="BS217" i="81"/>
  <c r="AW217" i="81"/>
  <c r="AV35" i="81"/>
  <c r="BL409" i="81"/>
  <c r="BV409" i="81"/>
  <c r="AX409" i="81"/>
  <c r="BM409" i="81" s="1"/>
  <c r="BV183" i="81"/>
  <c r="AX183" i="81"/>
  <c r="BM183" i="81" s="1"/>
  <c r="AX189" i="81"/>
  <c r="AX244" i="81"/>
  <c r="BM244" i="81" s="1"/>
  <c r="AX63" i="81"/>
  <c r="AV414" i="81"/>
  <c r="AX123" i="81"/>
  <c r="AW269" i="81"/>
  <c r="BK269" i="81" s="1"/>
  <c r="AX152" i="81"/>
  <c r="AX357" i="81"/>
  <c r="BM357" i="81" s="1"/>
  <c r="BS174" i="81"/>
  <c r="AX174" i="81"/>
  <c r="BM174" i="81" s="1"/>
  <c r="BS133" i="81"/>
  <c r="AX133" i="81"/>
  <c r="BM133" i="81" s="1"/>
  <c r="BL177" i="81"/>
  <c r="AX177" i="81"/>
  <c r="BM177" i="81" s="1"/>
  <c r="AX451" i="81"/>
  <c r="BS378" i="81"/>
  <c r="AX378" i="81"/>
  <c r="BM378" i="81" s="1"/>
  <c r="AX351" i="81"/>
  <c r="BM351" i="81" s="1"/>
  <c r="AX142" i="81"/>
  <c r="BL142" i="81" s="1"/>
  <c r="G40" i="36"/>
  <c r="H40" i="36" s="1"/>
  <c r="G41" i="36"/>
  <c r="H41" i="36" s="1"/>
  <c r="AX85" i="81"/>
  <c r="BM85" i="81" s="1"/>
  <c r="C38" i="35"/>
  <c r="C39" i="35"/>
  <c r="M3" i="35" s="1"/>
  <c r="AW277" i="81"/>
  <c r="BK277" i="81" s="1"/>
  <c r="AX94" i="81"/>
  <c r="BM94" i="81" s="1"/>
  <c r="AV371" i="81"/>
  <c r="BJ371" i="81" s="1"/>
  <c r="AW44" i="81"/>
  <c r="BL168" i="81"/>
  <c r="AX168" i="81"/>
  <c r="BM168" i="81" s="1"/>
  <c r="AX325" i="81"/>
  <c r="BM325" i="81" s="1"/>
  <c r="AX266" i="81"/>
  <c r="BL266" i="81" s="1"/>
  <c r="AX173" i="81"/>
  <c r="BM173" i="81" s="1"/>
  <c r="AX125" i="81"/>
  <c r="BL125" i="81" s="1"/>
  <c r="AX362" i="81"/>
  <c r="AX143" i="81"/>
  <c r="BM143" i="81" s="1"/>
  <c r="BJ11" i="81"/>
  <c r="BK46" i="81"/>
  <c r="AW46" i="81"/>
  <c r="BS426" i="81"/>
  <c r="AW426" i="81"/>
  <c r="BS430" i="81"/>
  <c r="AX430" i="81"/>
  <c r="BM430" i="81" s="1"/>
  <c r="AX203" i="81"/>
  <c r="BL203" i="81" s="1"/>
  <c r="BK123" i="81"/>
  <c r="AX334" i="81"/>
  <c r="BM334" i="81" s="1"/>
  <c r="AX346" i="81"/>
  <c r="BM346" i="81" s="1"/>
  <c r="BK232" i="81"/>
  <c r="AX74" i="81"/>
  <c r="BM74" i="81" s="1"/>
  <c r="BP28" i="81"/>
  <c r="AW28" i="81"/>
  <c r="AX434" i="81"/>
  <c r="BM434" i="81" s="1"/>
  <c r="AX175" i="81"/>
  <c r="BM175" i="81" s="1"/>
  <c r="BK147" i="81"/>
  <c r="AV134" i="81"/>
  <c r="BP134" i="81"/>
  <c r="BJ269" i="81"/>
  <c r="AX210" i="81"/>
  <c r="BS230" i="81"/>
  <c r="AX230" i="81"/>
  <c r="BM230" i="81" s="1"/>
  <c r="BV330" i="81"/>
  <c r="AX330" i="81"/>
  <c r="BM330" i="81" s="1"/>
  <c r="AX179" i="81"/>
  <c r="BK152" i="81"/>
  <c r="BJ18" i="81"/>
  <c r="AX111" i="81"/>
  <c r="BJ422" i="81"/>
  <c r="BK357" i="81"/>
  <c r="BK174" i="81"/>
  <c r="BK133" i="81"/>
  <c r="BI448" i="81"/>
  <c r="AW366" i="81"/>
  <c r="BK366" i="81" s="1"/>
  <c r="BS193" i="81"/>
  <c r="AW193" i="81"/>
  <c r="BK193" i="81" s="1"/>
  <c r="BJ456" i="81"/>
  <c r="AX258" i="81"/>
  <c r="BM258" i="81" s="1"/>
  <c r="AX228" i="81"/>
  <c r="BL228" i="81" s="1"/>
  <c r="BK451" i="81"/>
  <c r="C33" i="43"/>
  <c r="E33" i="43" s="1"/>
  <c r="BK378" i="81"/>
  <c r="BK155" i="81"/>
  <c r="BK196" i="81"/>
  <c r="AW140" i="81"/>
  <c r="BK140" i="81" s="1"/>
  <c r="BS205" i="81"/>
  <c r="AX205" i="81"/>
  <c r="BM205" i="81" s="1"/>
  <c r="BK142" i="81"/>
  <c r="J17" i="67"/>
  <c r="BK411" i="81"/>
  <c r="BK85" i="81"/>
  <c r="AX405" i="81"/>
  <c r="BM405" i="81" s="1"/>
  <c r="BL298" i="81"/>
  <c r="AX298" i="81"/>
  <c r="BM298" i="81" s="1"/>
  <c r="BS157" i="81"/>
  <c r="AX157" i="81"/>
  <c r="BM157" i="81" s="1"/>
  <c r="BL153" i="81"/>
  <c r="BS153" i="81"/>
  <c r="AX153" i="81"/>
  <c r="BM153" i="81" s="1"/>
  <c r="E42" i="35"/>
  <c r="F42" i="35" s="1"/>
  <c r="E43" i="35"/>
  <c r="F43" i="35" s="1"/>
  <c r="AW130" i="81"/>
  <c r="BJ277" i="81"/>
  <c r="BK184" i="81"/>
  <c r="AX118" i="81"/>
  <c r="BM118" i="81" s="1"/>
  <c r="BK94" i="81"/>
  <c r="BM418" i="81"/>
  <c r="BV418" i="81"/>
  <c r="BI371" i="81"/>
  <c r="BK128" i="81"/>
  <c r="BJ44" i="81"/>
  <c r="AW440" i="81"/>
  <c r="BL457" i="81"/>
  <c r="BS457" i="81"/>
  <c r="AX457" i="81"/>
  <c r="BM457" i="81" s="1"/>
  <c r="AX237" i="81"/>
  <c r="BM237" i="81" s="1"/>
  <c r="BK266" i="81"/>
  <c r="AX222" i="81"/>
  <c r="BM222" i="81" s="1"/>
  <c r="AV358" i="81"/>
  <c r="BJ358" i="81" s="1"/>
  <c r="AX419" i="81"/>
  <c r="BM419" i="81" s="1"/>
  <c r="BK331" i="81"/>
  <c r="AV444" i="81"/>
  <c r="BJ444" i="81" s="1"/>
  <c r="G53" i="21"/>
  <c r="H53" i="21" s="1"/>
  <c r="G52" i="21"/>
  <c r="H52" i="21" s="1"/>
  <c r="BK359" i="81"/>
  <c r="AV436" i="81"/>
  <c r="BK197" i="81"/>
  <c r="AW197" i="81"/>
  <c r="AW56" i="81"/>
  <c r="AX253" i="81"/>
  <c r="BL253" i="81" s="1"/>
  <c r="AX427" i="81"/>
  <c r="BM427" i="81" s="1"/>
  <c r="AX356" i="81"/>
  <c r="BM356" i="81" s="1"/>
  <c r="BK235" i="81"/>
  <c r="BK190" i="81"/>
  <c r="AX62" i="81"/>
  <c r="BL62" i="81" s="1"/>
  <c r="AX369" i="81"/>
  <c r="BM369" i="81" s="1"/>
  <c r="BK363" i="81"/>
  <c r="BS170" i="81"/>
  <c r="AX170" i="81"/>
  <c r="BM170" i="81" s="1"/>
  <c r="BK208" i="81"/>
  <c r="T2" i="43"/>
  <c r="BS296" i="81"/>
  <c r="AW296" i="81"/>
  <c r="BK296" i="81" s="1"/>
  <c r="T15" i="43"/>
  <c r="V15" i="43" s="1"/>
  <c r="BJ60" i="81"/>
  <c r="AX367" i="81"/>
  <c r="BM367" i="81" s="1"/>
  <c r="BV367" i="81"/>
  <c r="AX126" i="81"/>
  <c r="AX8" i="81"/>
  <c r="BM8" i="81" s="1"/>
  <c r="BV375" i="81"/>
  <c r="AX375" i="81"/>
  <c r="BM375" i="81" s="1"/>
  <c r="BK22" i="81"/>
  <c r="BK216" i="81"/>
  <c r="AX154" i="81"/>
  <c r="BL154" i="81" s="1"/>
  <c r="BJ124" i="81"/>
  <c r="AX167" i="81"/>
  <c r="BM167" i="81" s="1"/>
  <c r="BL383" i="81"/>
  <c r="BS383" i="81"/>
  <c r="AX383" i="81"/>
  <c r="BM383" i="81" s="1"/>
  <c r="BJ301" i="81"/>
  <c r="BI231" i="81"/>
  <c r="BK164" i="81"/>
  <c r="AX43" i="81"/>
  <c r="BM43" i="81" s="1"/>
  <c r="BK420" i="81"/>
  <c r="BK391" i="81"/>
  <c r="AX160" i="81"/>
  <c r="C42" i="43"/>
  <c r="BJ274" i="81"/>
  <c r="AW416" i="81"/>
  <c r="BV416" i="81"/>
  <c r="AX417" i="81"/>
  <c r="BK291" i="81"/>
  <c r="BV423" i="81"/>
  <c r="AX423" i="81"/>
  <c r="BM423" i="81" s="1"/>
  <c r="BS242" i="81"/>
  <c r="AX242" i="81"/>
  <c r="BM242" i="81" s="1"/>
  <c r="BK395" i="81"/>
  <c r="BS212" i="81"/>
  <c r="AX212" i="81"/>
  <c r="BM212" i="81" s="1"/>
  <c r="BS165" i="81"/>
  <c r="AX165" i="81"/>
  <c r="BM165" i="81" s="1"/>
  <c r="BP106" i="81"/>
  <c r="AV106" i="81"/>
  <c r="AW288" i="81"/>
  <c r="BK288" i="81" s="1"/>
  <c r="AX91" i="81"/>
  <c r="BM91" i="81" s="1"/>
  <c r="BS458" i="81"/>
  <c r="AX458" i="81"/>
  <c r="BM458" i="81" s="1"/>
  <c r="BV374" i="81"/>
  <c r="AX374" i="81"/>
  <c r="BM374" i="81" s="1"/>
  <c r="AX80" i="81"/>
  <c r="BM80" i="81" s="1"/>
  <c r="BS172" i="81"/>
  <c r="AX172" i="81"/>
  <c r="BM172" i="81" s="1"/>
  <c r="AW68" i="81"/>
  <c r="BK68" i="81" s="1"/>
  <c r="AX372" i="81"/>
  <c r="BK307" i="81"/>
  <c r="BK271" i="81"/>
  <c r="BK162" i="81"/>
  <c r="BK99" i="81"/>
  <c r="BJ217" i="81"/>
  <c r="BI35" i="81"/>
  <c r="BK409" i="81"/>
  <c r="BK183" i="81"/>
  <c r="BK189" i="81"/>
  <c r="BS439" i="81"/>
  <c r="AX439" i="81"/>
  <c r="BM439" i="81" s="1"/>
  <c r="AX138" i="81"/>
  <c r="BL138" i="81" s="1"/>
  <c r="BS132" i="81"/>
  <c r="AW132" i="81"/>
  <c r="BK132" i="81" s="1"/>
  <c r="AX350" i="81"/>
  <c r="BM350" i="81" s="1"/>
  <c r="BK219" i="81"/>
  <c r="AW219" i="81"/>
  <c r="AX455" i="81"/>
  <c r="BM455" i="81" s="1"/>
  <c r="AX79" i="81"/>
  <c r="BL79" i="81" s="1"/>
  <c r="BK63" i="81"/>
  <c r="BI414" i="81"/>
  <c r="BS236" i="81"/>
  <c r="AX236" i="81"/>
  <c r="BM236" i="81" s="1"/>
  <c r="BS213" i="81"/>
  <c r="AW213" i="81"/>
  <c r="BK213" i="81" s="1"/>
  <c r="AX435" i="81"/>
  <c r="BM435" i="81" s="1"/>
  <c r="C60" i="15"/>
  <c r="AX150" i="81"/>
  <c r="BL150" i="81" s="1"/>
  <c r="AX146" i="81"/>
  <c r="BM146" i="81" s="1"/>
  <c r="AV211" i="81"/>
  <c r="BJ211" i="81" s="1"/>
  <c r="AX225" i="81"/>
  <c r="BM225" i="81" s="1"/>
  <c r="C37" i="36"/>
  <c r="C36" i="36"/>
  <c r="AX220" i="81"/>
  <c r="BL114" i="81"/>
  <c r="BS114" i="81"/>
  <c r="AX114" i="81"/>
  <c r="BM114" i="81" s="1"/>
  <c r="AX195" i="81"/>
  <c r="BM195" i="81" s="1"/>
  <c r="AX103" i="81"/>
  <c r="BM103" i="81" s="1"/>
  <c r="AW76" i="81"/>
  <c r="BK76" i="81" s="1"/>
  <c r="BI468" i="81"/>
  <c r="BK210" i="81"/>
  <c r="BK230" i="81"/>
  <c r="I54" i="34"/>
  <c r="J54" i="34" s="1"/>
  <c r="I53" i="34"/>
  <c r="J53" i="34" s="1"/>
  <c r="BK435" i="81"/>
  <c r="BK330" i="81"/>
  <c r="AX58" i="81"/>
  <c r="BL58" i="81" s="1"/>
  <c r="I42" i="35"/>
  <c r="J42" i="35" s="1"/>
  <c r="I43" i="35"/>
  <c r="J43" i="35" s="1"/>
  <c r="BK111" i="81"/>
  <c r="BS446" i="81"/>
  <c r="AX446" i="81"/>
  <c r="BM446" i="81" s="1"/>
  <c r="BV387" i="81"/>
  <c r="AX387" i="81"/>
  <c r="BM387" i="81" s="1"/>
  <c r="AX264" i="81"/>
  <c r="BM264" i="81" s="1"/>
  <c r="AX59" i="81"/>
  <c r="BM59" i="81" s="1"/>
  <c r="AX113" i="81"/>
  <c r="BL113" i="81" s="1"/>
  <c r="BK177" i="81"/>
  <c r="T4" i="43"/>
  <c r="V4" i="43" s="1"/>
  <c r="BJ366" i="81"/>
  <c r="BJ193" i="81"/>
  <c r="AW108" i="81"/>
  <c r="AX36" i="81"/>
  <c r="BM36" i="81" s="1"/>
  <c r="BK228" i="81"/>
  <c r="AX262" i="81"/>
  <c r="AX293" i="81"/>
  <c r="BL293" i="81" s="1"/>
  <c r="AX251" i="81"/>
  <c r="BM251" i="81" s="1"/>
  <c r="BK351" i="81"/>
  <c r="BY379" i="81"/>
  <c r="AX379" i="81"/>
  <c r="BM379" i="81" s="1"/>
  <c r="BJ140" i="81"/>
  <c r="BK205" i="81"/>
  <c r="BS424" i="81"/>
  <c r="AX424" i="81"/>
  <c r="BM424" i="81" s="1"/>
  <c r="BV443" i="81"/>
  <c r="AX443" i="81"/>
  <c r="BM443" i="81" s="1"/>
  <c r="BV276" i="81"/>
  <c r="AX276" i="81"/>
  <c r="BM276" i="81" s="1"/>
  <c r="C50" i="34"/>
  <c r="C49" i="34"/>
  <c r="BK298" i="81"/>
  <c r="BK157" i="81"/>
  <c r="BK153" i="81"/>
  <c r="AX55" i="81"/>
  <c r="BM55" i="81" s="1"/>
  <c r="C41" i="43"/>
  <c r="AX459" i="81"/>
  <c r="BM459" i="81" s="1"/>
  <c r="BK118" i="81"/>
  <c r="AX26" i="81"/>
  <c r="BM26" i="81" s="1"/>
  <c r="AX38" i="81"/>
  <c r="BM38" i="81" s="1"/>
  <c r="BJ440" i="81"/>
  <c r="BK457" i="81"/>
  <c r="AX324" i="81"/>
  <c r="BM324" i="81" s="1"/>
  <c r="BK168" i="81"/>
  <c r="G54" i="34"/>
  <c r="H54" i="34" s="1"/>
  <c r="AX390" i="81"/>
  <c r="BL390" i="81" s="1"/>
  <c r="BK247" i="81"/>
  <c r="BS389" i="81"/>
  <c r="AX389" i="81"/>
  <c r="BM389" i="81" s="1"/>
  <c r="BK325" i="81"/>
  <c r="BS308" i="81"/>
  <c r="AX308" i="81"/>
  <c r="BM308" i="81" s="1"/>
  <c r="AX221" i="81"/>
  <c r="BM221" i="81" s="1"/>
  <c r="BK173" i="81"/>
  <c r="BI358" i="81"/>
  <c r="AX135" i="81"/>
  <c r="BM135" i="81" s="1"/>
  <c r="BL380" i="81"/>
  <c r="BS260" i="81"/>
  <c r="AX260" i="81"/>
  <c r="BM260" i="81" s="1"/>
  <c r="BK158" i="81"/>
  <c r="AX87" i="81"/>
  <c r="BI436" i="81"/>
  <c r="BJ197" i="81"/>
  <c r="BJ56" i="81"/>
  <c r="BK253" i="81"/>
  <c r="BK373" i="81"/>
  <c r="AX270" i="81"/>
  <c r="BM270" i="81" s="1"/>
  <c r="BK178" i="81"/>
  <c r="AX156" i="81"/>
  <c r="BM156" i="81" s="1"/>
  <c r="BK62" i="81"/>
  <c r="BS73" i="81"/>
  <c r="AX73" i="81"/>
  <c r="BM73" i="81" s="1"/>
  <c r="AX453" i="81"/>
  <c r="BK369" i="81"/>
  <c r="BK180" i="81"/>
  <c r="AX431" i="81"/>
  <c r="AX259" i="81"/>
  <c r="BM259" i="81" s="1"/>
  <c r="BK170" i="81"/>
  <c r="BK115" i="81"/>
  <c r="AX159" i="81"/>
  <c r="BM159" i="81" s="1"/>
  <c r="T12" i="43"/>
  <c r="V12" i="43" s="1"/>
  <c r="BJ296" i="81"/>
  <c r="T14" i="43"/>
  <c r="V14" i="43" s="1"/>
  <c r="BK367" i="81"/>
  <c r="BK126" i="81"/>
  <c r="BK8" i="81"/>
  <c r="BK375" i="81"/>
  <c r="BS226" i="81"/>
  <c r="AX226" i="81"/>
  <c r="BM226" i="81" s="1"/>
  <c r="BK282" i="81"/>
  <c r="BS204" i="81"/>
  <c r="AX204" i="81"/>
  <c r="BM204" i="81" s="1"/>
  <c r="BK267" i="81"/>
  <c r="BK154" i="81"/>
  <c r="AX323" i="81"/>
  <c r="BM323" i="81" s="1"/>
  <c r="BK167" i="81"/>
  <c r="BK383" i="81"/>
  <c r="AX315" i="81"/>
  <c r="BK52" i="81"/>
  <c r="AW52" i="81"/>
  <c r="AX464" i="81"/>
  <c r="AX263" i="81"/>
  <c r="BL263" i="81" s="1"/>
  <c r="AX90" i="81"/>
  <c r="BM90" i="81" s="1"/>
  <c r="AX299" i="81"/>
  <c r="BM299" i="81" s="1"/>
  <c r="AX194" i="81"/>
  <c r="BM194" i="81" s="1"/>
  <c r="BK160" i="81"/>
  <c r="AW227" i="81"/>
  <c r="BK227" i="81" s="1"/>
  <c r="BS227" i="81"/>
  <c r="BJ416" i="81"/>
  <c r="BK417" i="81"/>
  <c r="BS394" i="81"/>
  <c r="AX394" i="81"/>
  <c r="BM394" i="81" s="1"/>
  <c r="AX246" i="81"/>
  <c r="BL246" i="81" s="1"/>
  <c r="AV24" i="81"/>
  <c r="BK423" i="81"/>
  <c r="BK242" i="81"/>
  <c r="AX283" i="81"/>
  <c r="BM283" i="81" s="1"/>
  <c r="BK212" i="81"/>
  <c r="BK165" i="81"/>
  <c r="BK171" i="81"/>
  <c r="BI106" i="81"/>
  <c r="BJ288" i="81"/>
  <c r="BK144" i="81"/>
  <c r="AW144" i="81"/>
  <c r="AX151" i="81"/>
  <c r="BM151" i="81" s="1"/>
  <c r="AW32" i="81"/>
  <c r="BK32" i="81" s="1"/>
  <c r="BK75" i="81"/>
  <c r="R43" i="37"/>
  <c r="E42" i="37"/>
  <c r="BS200" i="81"/>
  <c r="AX200" i="81"/>
  <c r="BM200" i="81" s="1"/>
  <c r="AX42" i="81"/>
  <c r="BL42" i="81" s="1"/>
  <c r="AV188" i="81"/>
  <c r="AX176" i="81"/>
  <c r="BL176" i="81" s="1"/>
  <c r="BK71" i="81"/>
  <c r="T9" i="43"/>
  <c r="V9" i="43" s="1"/>
  <c r="AX100" i="81"/>
  <c r="BM100" i="81" s="1"/>
  <c r="E48" i="33"/>
  <c r="R49" i="33"/>
  <c r="C39" i="43"/>
  <c r="BV48" i="81"/>
  <c r="AW48" i="81"/>
  <c r="AX318" i="81"/>
  <c r="BL318" i="81" s="1"/>
  <c r="AW40" i="81"/>
  <c r="BL327" i="81"/>
  <c r="AX148" i="81"/>
  <c r="BM148" i="81" s="1"/>
  <c r="BK439" i="81"/>
  <c r="AX139" i="81"/>
  <c r="BM139" i="81" s="1"/>
  <c r="BV442" i="81"/>
  <c r="AX442" i="81"/>
  <c r="BM442" i="81" s="1"/>
  <c r="AV432" i="81"/>
  <c r="BK244" i="81"/>
  <c r="BK138" i="81"/>
  <c r="BJ132" i="81"/>
  <c r="AX218" i="81"/>
  <c r="BM218" i="81" s="1"/>
  <c r="AX84" i="81"/>
  <c r="BM84" i="81" s="1"/>
  <c r="AX252" i="81"/>
  <c r="BM252" i="81" s="1"/>
  <c r="AX335" i="81"/>
  <c r="BL335" i="81" s="1"/>
  <c r="AX403" i="81"/>
  <c r="T20" i="71"/>
  <c r="D20" i="71"/>
  <c r="U20" i="71" s="1"/>
  <c r="C19" i="71"/>
  <c r="BL285" i="81"/>
  <c r="BV285" i="81"/>
  <c r="AX285" i="81"/>
  <c r="BM285" i="81" s="1"/>
  <c r="E52" i="21"/>
  <c r="F52" i="21" s="1"/>
  <c r="E53" i="21"/>
  <c r="F53" i="21" s="1"/>
  <c r="AX57" i="81"/>
  <c r="BM57" i="81" s="1"/>
  <c r="AX109" i="81"/>
  <c r="BM109" i="81" s="1"/>
  <c r="AX406" i="81"/>
  <c r="BM406" i="81" s="1"/>
  <c r="AX243" i="81"/>
  <c r="BL243" i="81" s="1"/>
  <c r="E40" i="36"/>
  <c r="F40" i="36" s="1"/>
  <c r="E41" i="36"/>
  <c r="F41" i="36" s="1"/>
  <c r="E37" i="43"/>
  <c r="G37" i="43"/>
  <c r="I37" i="43" s="1"/>
  <c r="AW294" i="81"/>
  <c r="BS286" i="81"/>
  <c r="AX286" i="81"/>
  <c r="BM286" i="81" s="1"/>
  <c r="BL412" i="81"/>
  <c r="BV412" i="81"/>
  <c r="AX412" i="81"/>
  <c r="BM412" i="81" s="1"/>
  <c r="AV215" i="81"/>
  <c r="BL347" i="81"/>
  <c r="AX347" i="81"/>
  <c r="C49" i="21"/>
  <c r="C48" i="21"/>
  <c r="BL185" i="81"/>
  <c r="BS185" i="81"/>
  <c r="AX185" i="81"/>
  <c r="BM185" i="81" s="1"/>
  <c r="BS136" i="81"/>
  <c r="AW136" i="81"/>
  <c r="BK136" i="81" s="1"/>
  <c r="AX96" i="81"/>
  <c r="BM96" i="81" s="1"/>
  <c r="AX34" i="81"/>
  <c r="BM34" i="81" s="1"/>
  <c r="BS385" i="81"/>
  <c r="AX385" i="81"/>
  <c r="BM385" i="81" s="1"/>
  <c r="AX199" i="81"/>
  <c r="BL199" i="81" s="1"/>
  <c r="I52" i="33"/>
  <c r="J52" i="33" s="1"/>
  <c r="I53" i="33"/>
  <c r="J53" i="33" s="1"/>
  <c r="AW25" i="81"/>
  <c r="BK25" i="81" s="1"/>
  <c r="AW112" i="81"/>
  <c r="BK112" i="81" s="1"/>
  <c r="AW64" i="81"/>
  <c r="BL398" i="81"/>
  <c r="AX398" i="81"/>
  <c r="BM398" i="81" s="1"/>
  <c r="AW72" i="81"/>
  <c r="AX69" i="81"/>
  <c r="BM69" i="81" s="1"/>
  <c r="BV309" i="81"/>
  <c r="AX309" i="81"/>
  <c r="BM309" i="81" s="1"/>
  <c r="AX101" i="81"/>
  <c r="BM101" i="81" s="1"/>
  <c r="E54" i="34"/>
  <c r="F54" i="34" s="1"/>
  <c r="E53" i="34"/>
  <c r="F53" i="34" s="1"/>
  <c r="AX437" i="81"/>
  <c r="BM437" i="81" s="1"/>
  <c r="AX248" i="81"/>
  <c r="AX202" i="81"/>
  <c r="BM202" i="81" s="1"/>
  <c r="AX30" i="81"/>
  <c r="BM30" i="81" s="1"/>
  <c r="BS163" i="81"/>
  <c r="AX163" i="81"/>
  <c r="BM163" i="81" s="1"/>
  <c r="BK365" i="81"/>
  <c r="AW365" i="81"/>
  <c r="AW428" i="81"/>
  <c r="AX341" i="81"/>
  <c r="BL341" i="81" s="1"/>
  <c r="BS95" i="81"/>
  <c r="AX95" i="81"/>
  <c r="BM95" i="81" s="1"/>
  <c r="AX441" i="81"/>
  <c r="BL441" i="81" s="1"/>
  <c r="AX339" i="81"/>
  <c r="BM339" i="81" s="1"/>
  <c r="AX78" i="81"/>
  <c r="BM78" i="81" s="1"/>
  <c r="AV110" i="81"/>
  <c r="AX287" i="81"/>
  <c r="BL287" i="81" s="1"/>
  <c r="G53" i="33"/>
  <c r="H53" i="33" s="1"/>
  <c r="G52" i="33"/>
  <c r="H52" i="33" s="1"/>
  <c r="AX131" i="81"/>
  <c r="BM131" i="81" s="1"/>
  <c r="I41" i="36"/>
  <c r="J41" i="36" s="1"/>
  <c r="I40" i="36"/>
  <c r="J40" i="36" s="1"/>
  <c r="AW410" i="81"/>
  <c r="BK410" i="81" s="1"/>
  <c r="BS462" i="81"/>
  <c r="AX462" i="81"/>
  <c r="BM462" i="81" s="1"/>
  <c r="BS302" i="81"/>
  <c r="AX302" i="81"/>
  <c r="BM302" i="81" s="1"/>
  <c r="AX314" i="81"/>
  <c r="BM314" i="81" s="1"/>
  <c r="AX120" i="81"/>
  <c r="BM120" i="81" s="1"/>
  <c r="AX53" i="81"/>
  <c r="BM53" i="81" s="1"/>
  <c r="AW33" i="81"/>
  <c r="BG468" i="81"/>
  <c r="BG469" i="81" s="1"/>
  <c r="AX47" i="81"/>
  <c r="BM47" i="81" s="1"/>
  <c r="AX145" i="81"/>
  <c r="BM145" i="81" s="1"/>
  <c r="AX421" i="81"/>
  <c r="BL421" i="81" s="1"/>
  <c r="AX413" i="81"/>
  <c r="BM413" i="81" s="1"/>
  <c r="BP19" i="81"/>
  <c r="AX19" i="81"/>
  <c r="BM19" i="81" s="1"/>
  <c r="AW21" i="81"/>
  <c r="BK21" i="81" s="1"/>
  <c r="AX119" i="81"/>
  <c r="AX161" i="81"/>
  <c r="BM161" i="81" s="1"/>
  <c r="G63" i="40"/>
  <c r="F65" i="40"/>
  <c r="AW201" i="81"/>
  <c r="BK201" i="81" s="1"/>
  <c r="AW29" i="81"/>
  <c r="BS340" i="81"/>
  <c r="AX340" i="81"/>
  <c r="BM340" i="81" s="1"/>
  <c r="BS303" i="81"/>
  <c r="AX303" i="81"/>
  <c r="BM303" i="81" s="1"/>
  <c r="AX169" i="81"/>
  <c r="BS198" i="81"/>
  <c r="AX198" i="81"/>
  <c r="BM198" i="81" s="1"/>
  <c r="AV31" i="81"/>
  <c r="BJ31" i="81" s="1"/>
  <c r="G43" i="35"/>
  <c r="H43" i="35" s="1"/>
  <c r="AX127" i="81"/>
  <c r="BM127" i="81" s="1"/>
  <c r="BK37" i="81"/>
  <c r="BP37" i="81"/>
  <c r="AW37" i="81"/>
  <c r="AX407" i="81"/>
  <c r="BM407" i="81" s="1"/>
  <c r="BL214" i="81"/>
  <c r="AX214" i="81"/>
  <c r="BM214" i="81" s="1"/>
  <c r="AX141" i="81"/>
  <c r="BM141" i="81" s="1"/>
  <c r="AW122" i="81"/>
  <c r="AX319" i="81"/>
  <c r="BM319" i="81" s="1"/>
  <c r="AX117" i="81"/>
  <c r="AX447" i="81"/>
  <c r="BM447" i="81" s="1"/>
  <c r="AX292" i="81"/>
  <c r="BM292" i="81" s="1"/>
  <c r="BK139" i="81"/>
  <c r="BK442" i="81"/>
  <c r="AW273" i="81"/>
  <c r="BK350" i="81"/>
  <c r="BJ452" i="81"/>
  <c r="AV452" i="81"/>
  <c r="AX181" i="81"/>
  <c r="AW137" i="81"/>
  <c r="BK137" i="81" s="1"/>
  <c r="BK218" i="81"/>
  <c r="AX355" i="81"/>
  <c r="BM355" i="81" s="1"/>
  <c r="BS275" i="81"/>
  <c r="AX275" i="81"/>
  <c r="BM275" i="81" s="1"/>
  <c r="AX186" i="81"/>
  <c r="BL186" i="81" s="1"/>
  <c r="AX388" i="81"/>
  <c r="BM388" i="81" s="1"/>
  <c r="BK252" i="81"/>
  <c r="BK335" i="81"/>
  <c r="C40" i="43"/>
  <c r="C47" i="69"/>
  <c r="D45" i="69" s="1"/>
  <c r="C29" i="69"/>
  <c r="D27" i="69" s="1"/>
  <c r="F45" i="69"/>
  <c r="AC10" i="39"/>
  <c r="W10" i="39"/>
  <c r="B14" i="74"/>
  <c r="B1" i="74" s="1"/>
  <c r="K27" i="6"/>
  <c r="M19" i="6"/>
  <c r="S6" i="1"/>
  <c r="AA10" i="39"/>
  <c r="S10" i="39"/>
  <c r="AB10" i="40"/>
  <c r="U10" i="40"/>
  <c r="H6" i="3"/>
  <c r="AC6" i="3"/>
  <c r="AB10" i="39"/>
  <c r="U10" i="39"/>
  <c r="C47" i="11"/>
  <c r="D45" i="11" s="1"/>
  <c r="C29" i="11"/>
  <c r="D27" i="1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584" i="3"/>
  <c r="AY580" i="3"/>
  <c r="AY576" i="3"/>
  <c r="AY572" i="3"/>
  <c r="AY568" i="3"/>
  <c r="AY564" i="3"/>
  <c r="AY560" i="3"/>
  <c r="AY556" i="3"/>
  <c r="AY552" i="3"/>
  <c r="AY548" i="3"/>
  <c r="AY544" i="3"/>
  <c r="AY540" i="3"/>
  <c r="AY536" i="3"/>
  <c r="AY532" i="3"/>
  <c r="AY528" i="3"/>
  <c r="AY524" i="3"/>
  <c r="AY520" i="3"/>
  <c r="AY516" i="3"/>
  <c r="AY512" i="3"/>
  <c r="AY511"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4" i="3"/>
  <c r="AY343" i="3"/>
  <c r="AY336"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508" i="3"/>
  <c r="AY507" i="3"/>
  <c r="AY500" i="3"/>
  <c r="AY499" i="3"/>
  <c r="AY492" i="3"/>
  <c r="AY491" i="3"/>
  <c r="AY484" i="3"/>
  <c r="AY483" i="3"/>
  <c r="AY476" i="3"/>
  <c r="AY475" i="3"/>
  <c r="AY468" i="3"/>
  <c r="AY467" i="3"/>
  <c r="AY460" i="3"/>
  <c r="AY459" i="3"/>
  <c r="AY452" i="3"/>
  <c r="AY451" i="3"/>
  <c r="AY444" i="3"/>
  <c r="AY443" i="3"/>
  <c r="AY436" i="3"/>
  <c r="AY435" i="3"/>
  <c r="AY587" i="3"/>
  <c r="AY586" i="3"/>
  <c r="AY579" i="3"/>
  <c r="AY578" i="3"/>
  <c r="AY571" i="3"/>
  <c r="AY570" i="3"/>
  <c r="AY563" i="3"/>
  <c r="AY562" i="3"/>
  <c r="AY555" i="3"/>
  <c r="AY554" i="3"/>
  <c r="AY547" i="3"/>
  <c r="AY546" i="3"/>
  <c r="AY539" i="3"/>
  <c r="AY538" i="3"/>
  <c r="AY531" i="3"/>
  <c r="AY530" i="3"/>
  <c r="AY523" i="3"/>
  <c r="AY522" i="3"/>
  <c r="AY515" i="3"/>
  <c r="AY514" i="3"/>
  <c r="AY506" i="3"/>
  <c r="AY498" i="3"/>
  <c r="AY490" i="3"/>
  <c r="AY482" i="3"/>
  <c r="AY474" i="3"/>
  <c r="AY466" i="3"/>
  <c r="AY458" i="3"/>
  <c r="AY450" i="3"/>
  <c r="AY442"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3" i="3"/>
  <c r="AY326" i="3"/>
  <c r="AY325" i="3"/>
  <c r="AY318" i="3"/>
  <c r="AY317" i="3"/>
  <c r="AY310" i="3"/>
  <c r="AY309" i="3"/>
  <c r="AY302" i="3"/>
  <c r="AY301" i="3"/>
  <c r="AY294" i="3"/>
  <c r="AY293" i="3"/>
  <c r="AY286" i="3"/>
  <c r="AY285" i="3"/>
  <c r="AY278" i="3"/>
  <c r="AY277" i="3"/>
  <c r="AY270" i="3"/>
  <c r="AY269" i="3"/>
  <c r="AY262" i="3"/>
  <c r="AY261" i="3"/>
  <c r="AY254" i="3"/>
  <c r="AY253" i="3"/>
  <c r="AY246" i="3"/>
  <c r="AY245" i="3"/>
  <c r="AY238" i="3"/>
  <c r="AY237" i="3"/>
  <c r="AY230" i="3"/>
  <c r="AY229" i="3"/>
  <c r="AY222" i="3"/>
  <c r="AY221" i="3"/>
  <c r="AY214" i="3"/>
  <c r="AY213" i="3"/>
  <c r="AY206" i="3"/>
  <c r="AY205" i="3"/>
  <c r="AY198" i="3"/>
  <c r="AY197" i="3"/>
  <c r="AY190" i="3"/>
  <c r="AY189" i="3"/>
  <c r="AY182" i="3"/>
  <c r="AY181" i="3"/>
  <c r="AY174" i="3"/>
  <c r="AY173" i="3"/>
  <c r="AY166" i="3"/>
  <c r="AY165" i="3"/>
  <c r="AY158" i="3"/>
  <c r="AY157" i="3"/>
  <c r="AY150" i="3"/>
  <c r="AY149" i="3"/>
  <c r="AY142" i="3"/>
  <c r="AY141" i="3"/>
  <c r="AY134" i="3"/>
  <c r="AY133" i="3"/>
  <c r="AY126" i="3"/>
  <c r="AY125" i="3"/>
  <c r="AY118" i="3"/>
  <c r="AY117" i="3"/>
  <c r="AY110" i="3"/>
  <c r="AY109" i="3"/>
  <c r="AY102" i="3"/>
  <c r="AY101" i="3"/>
  <c r="AY97" i="3"/>
  <c r="AY93" i="3"/>
  <c r="AY89" i="3"/>
  <c r="AY85" i="3"/>
  <c r="AY81" i="3"/>
  <c r="AY77"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583" i="3"/>
  <c r="AY582" i="3"/>
  <c r="AY575" i="3"/>
  <c r="AY574" i="3"/>
  <c r="AY567" i="3"/>
  <c r="AY566" i="3"/>
  <c r="AY559" i="3"/>
  <c r="AY558" i="3"/>
  <c r="AY551" i="3"/>
  <c r="AY550" i="3"/>
  <c r="AY543" i="3"/>
  <c r="AY542" i="3"/>
  <c r="AY535" i="3"/>
  <c r="AY534" i="3"/>
  <c r="AY527" i="3"/>
  <c r="AY526" i="3"/>
  <c r="AY519" i="3"/>
  <c r="AY518" i="3"/>
  <c r="AY510" i="3"/>
  <c r="AY502" i="3"/>
  <c r="AY494" i="3"/>
  <c r="AY486" i="3"/>
  <c r="AY478" i="3"/>
  <c r="AY470" i="3"/>
  <c r="AY462" i="3"/>
  <c r="AY454" i="3"/>
  <c r="AY446" i="3"/>
  <c r="AY438" i="3"/>
  <c r="AY330" i="3"/>
  <c r="AY329" i="3"/>
  <c r="AY322" i="3"/>
  <c r="AY321" i="3"/>
  <c r="AY314" i="3"/>
  <c r="AY313" i="3"/>
  <c r="AY306" i="3"/>
  <c r="AY305" i="3"/>
  <c r="AY298" i="3"/>
  <c r="AY297" i="3"/>
  <c r="AY290" i="3"/>
  <c r="AY289" i="3"/>
  <c r="AY282" i="3"/>
  <c r="AY281" i="3"/>
  <c r="AY274" i="3"/>
  <c r="AY273" i="3"/>
  <c r="AY266" i="3"/>
  <c r="AY265" i="3"/>
  <c r="AY258" i="3"/>
  <c r="AY257" i="3"/>
  <c r="AY250" i="3"/>
  <c r="AY249" i="3"/>
  <c r="AY242" i="3"/>
  <c r="AY241" i="3"/>
  <c r="AY234" i="3"/>
  <c r="AY233" i="3"/>
  <c r="AY226" i="3"/>
  <c r="AY225" i="3"/>
  <c r="AY218" i="3"/>
  <c r="AY217" i="3"/>
  <c r="AY210" i="3"/>
  <c r="AY209" i="3"/>
  <c r="AY202" i="3"/>
  <c r="AY201" i="3"/>
  <c r="AY194" i="3"/>
  <c r="AY193" i="3"/>
  <c r="AY186" i="3"/>
  <c r="AY185" i="3"/>
  <c r="AY178" i="3"/>
  <c r="AY177" i="3"/>
  <c r="AY170" i="3"/>
  <c r="AY169" i="3"/>
  <c r="AY162" i="3"/>
  <c r="AY161" i="3"/>
  <c r="AY154" i="3"/>
  <c r="AY153" i="3"/>
  <c r="AY146" i="3"/>
  <c r="AY145" i="3"/>
  <c r="AY138" i="3"/>
  <c r="AY137" i="3"/>
  <c r="AY130" i="3"/>
  <c r="AY428" i="3"/>
  <c r="AY427" i="3"/>
  <c r="AY420" i="3"/>
  <c r="AY419" i="3"/>
  <c r="AY412" i="3"/>
  <c r="AY411" i="3"/>
  <c r="AY404" i="3"/>
  <c r="AY403" i="3"/>
  <c r="AY396" i="3"/>
  <c r="AY395" i="3"/>
  <c r="AY388" i="3"/>
  <c r="AY387" i="3"/>
  <c r="AY380" i="3"/>
  <c r="AY379" i="3"/>
  <c r="AY372" i="3"/>
  <c r="AY371" i="3"/>
  <c r="AY364" i="3"/>
  <c r="AY363" i="3"/>
  <c r="AY356" i="3"/>
  <c r="AY355" i="3"/>
  <c r="AY348" i="3"/>
  <c r="AY347" i="3"/>
  <c r="AY340" i="3"/>
  <c r="AY339" i="3"/>
  <c r="AY129" i="3"/>
  <c r="AY128" i="3"/>
  <c r="AY114" i="3"/>
  <c r="AY113" i="3"/>
  <c r="AY112" i="3"/>
  <c r="AY96" i="3"/>
  <c r="AY95" i="3"/>
  <c r="AY88" i="3"/>
  <c r="AY87" i="3"/>
  <c r="AY80" i="3"/>
  <c r="AY79" i="3"/>
  <c r="AY74" i="3"/>
  <c r="AY70" i="3"/>
  <c r="AY66" i="3"/>
  <c r="AY62" i="3"/>
  <c r="AY58" i="3"/>
  <c r="AY54" i="3"/>
  <c r="AY50" i="3"/>
  <c r="AY46" i="3"/>
  <c r="AY42" i="3"/>
  <c r="AY38" i="3"/>
  <c r="AY34" i="3"/>
  <c r="AY30" i="3"/>
  <c r="AY26" i="3"/>
  <c r="AY22" i="3"/>
  <c r="AY18" i="3"/>
  <c r="AY14" i="3"/>
  <c r="BR6" i="3"/>
  <c r="BN6" i="3"/>
  <c r="BJ6" i="3"/>
  <c r="BF6" i="3"/>
  <c r="BB6" i="3"/>
  <c r="AY328" i="3"/>
  <c r="AY312" i="3"/>
  <c r="AY296" i="3"/>
  <c r="AY280" i="3"/>
  <c r="AY264" i="3"/>
  <c r="AY248" i="3"/>
  <c r="AY232" i="3"/>
  <c r="AY216" i="3"/>
  <c r="AY200" i="3"/>
  <c r="AY184" i="3"/>
  <c r="AY168" i="3"/>
  <c r="AY152" i="3"/>
  <c r="AY136" i="3"/>
  <c r="AY94" i="3"/>
  <c r="AY86" i="3"/>
  <c r="AY78" i="3"/>
  <c r="AY73" i="3"/>
  <c r="AY69" i="3"/>
  <c r="AY65" i="3"/>
  <c r="AY61" i="3"/>
  <c r="AY57" i="3"/>
  <c r="AY53" i="3"/>
  <c r="AY49" i="3"/>
  <c r="AY45" i="3"/>
  <c r="AY41" i="3"/>
  <c r="AY37" i="3"/>
  <c r="AY33" i="3"/>
  <c r="AY29" i="3"/>
  <c r="AY25" i="3"/>
  <c r="AY21" i="3"/>
  <c r="AY17" i="3"/>
  <c r="AY122" i="3"/>
  <c r="AY121" i="3"/>
  <c r="AY120" i="3"/>
  <c r="AY106" i="3"/>
  <c r="AY105" i="3"/>
  <c r="AY104" i="3"/>
  <c r="AY100" i="3"/>
  <c r="AY99" i="3"/>
  <c r="AY92" i="3"/>
  <c r="AY91" i="3"/>
  <c r="AY84" i="3"/>
  <c r="AY83" i="3"/>
  <c r="AY76" i="3"/>
  <c r="AY72" i="3"/>
  <c r="AY68" i="3"/>
  <c r="AY64" i="3"/>
  <c r="AY60" i="3"/>
  <c r="AY56" i="3"/>
  <c r="AY52" i="3"/>
  <c r="AY48" i="3"/>
  <c r="AY44" i="3"/>
  <c r="AY40" i="3"/>
  <c r="AY36" i="3"/>
  <c r="AY32" i="3"/>
  <c r="AY28" i="3"/>
  <c r="AY24" i="3"/>
  <c r="AY20" i="3"/>
  <c r="AY16" i="3"/>
  <c r="AY320" i="3"/>
  <c r="AY304" i="3"/>
  <c r="AY288" i="3"/>
  <c r="AY272" i="3"/>
  <c r="AY256" i="3"/>
  <c r="AY240" i="3"/>
  <c r="AY224" i="3"/>
  <c r="AY208" i="3"/>
  <c r="AY192" i="3"/>
  <c r="AY176" i="3"/>
  <c r="AY160" i="3"/>
  <c r="AY144" i="3"/>
  <c r="AY98" i="3"/>
  <c r="AY90" i="3"/>
  <c r="AY82" i="3"/>
  <c r="AY75" i="3"/>
  <c r="AY71" i="3"/>
  <c r="AY67" i="3"/>
  <c r="AY63" i="3"/>
  <c r="AY59" i="3"/>
  <c r="AY55" i="3"/>
  <c r="AY51" i="3"/>
  <c r="AY47" i="3"/>
  <c r="AY43" i="3"/>
  <c r="AY39" i="3"/>
  <c r="AY35" i="3"/>
  <c r="AY31" i="3"/>
  <c r="AY27" i="3"/>
  <c r="AY23" i="3"/>
  <c r="AY19" i="3"/>
  <c r="AY15" i="3"/>
  <c r="BS6" i="3"/>
  <c r="BO6" i="3"/>
  <c r="BK6" i="3"/>
  <c r="BG6" i="3"/>
  <c r="BC6" i="3"/>
  <c r="BQ6" i="3"/>
  <c r="BI6" i="3"/>
  <c r="BA6" i="3"/>
  <c r="AY13" i="3"/>
  <c r="BM6" i="3"/>
  <c r="BE6" i="3"/>
  <c r="BT6" i="3"/>
  <c r="BL6" i="3"/>
  <c r="BD6" i="3"/>
  <c r="BP6" i="3"/>
  <c r="BH6" i="3"/>
  <c r="M14" i="1"/>
  <c r="C34" i="69"/>
  <c r="K16" i="1"/>
  <c r="AC10" i="40"/>
  <c r="W10" i="40"/>
  <c r="AA10" i="40"/>
  <c r="S10" i="40"/>
  <c r="D19" i="11"/>
  <c r="C19" i="11" s="1"/>
  <c r="D3" i="37"/>
  <c r="B3" i="37" s="1"/>
  <c r="D3" i="34"/>
  <c r="B3" i="34" s="1"/>
  <c r="D14" i="12"/>
  <c r="D3" i="21"/>
  <c r="B3" i="21" s="1"/>
  <c r="D37" i="11"/>
  <c r="C37" i="11" s="1"/>
  <c r="E6" i="6"/>
  <c r="M18" i="9"/>
  <c r="B118" i="9" s="1"/>
  <c r="L18" i="9"/>
  <c r="D3" i="33"/>
  <c r="B3" i="33" s="1"/>
  <c r="C17" i="4"/>
  <c r="B4" i="52" s="1"/>
  <c r="B43" i="72" s="1"/>
  <c r="O37" i="43"/>
  <c r="M37" i="43"/>
  <c r="P37" i="43"/>
  <c r="N37" i="43"/>
  <c r="Q37" i="43"/>
  <c r="F41" i="15"/>
  <c r="C17" i="15"/>
  <c r="D10" i="68"/>
  <c r="BL308" i="81" l="1"/>
  <c r="BL389" i="81"/>
  <c r="BL264" i="81"/>
  <c r="BL430" i="81"/>
  <c r="BL161" i="81"/>
  <c r="BL131" i="81"/>
  <c r="BL340" i="81"/>
  <c r="BL163" i="81"/>
  <c r="BL286" i="81"/>
  <c r="BL156" i="81"/>
  <c r="BL423" i="81"/>
  <c r="BL346" i="81"/>
  <c r="BL133" i="81"/>
  <c r="BL357" i="81"/>
  <c r="BL84" i="81"/>
  <c r="BL236" i="81"/>
  <c r="BL271" i="81"/>
  <c r="BL190" i="81"/>
  <c r="BL235" i="81"/>
  <c r="BL155" i="81"/>
  <c r="BI466" i="81"/>
  <c r="BI469" i="81" s="1"/>
  <c r="BL128" i="81"/>
  <c r="BL196" i="81"/>
  <c r="BL198" i="81"/>
  <c r="BL303" i="81"/>
  <c r="BL314" i="81"/>
  <c r="BL437" i="81"/>
  <c r="BL101" i="81"/>
  <c r="BL69" i="81"/>
  <c r="BL34" i="81"/>
  <c r="BL109" i="81"/>
  <c r="BL139" i="81"/>
  <c r="BL394" i="81"/>
  <c r="BL194" i="81"/>
  <c r="BL204" i="81"/>
  <c r="BL226" i="81"/>
  <c r="BL55" i="81"/>
  <c r="BL276" i="81"/>
  <c r="BL36" i="81"/>
  <c r="BL195" i="81"/>
  <c r="BL374" i="81"/>
  <c r="BL212" i="81"/>
  <c r="BL242" i="81"/>
  <c r="BL230" i="81"/>
  <c r="BL434" i="81"/>
  <c r="BL74" i="81"/>
  <c r="BL85" i="81"/>
  <c r="BL378" i="81"/>
  <c r="BL158" i="81"/>
  <c r="BL47" i="81"/>
  <c r="BL53" i="81"/>
  <c r="BL78" i="81"/>
  <c r="BL202" i="81"/>
  <c r="BL100" i="81"/>
  <c r="BL159" i="81"/>
  <c r="BL259" i="81"/>
  <c r="BL270" i="81"/>
  <c r="BL324" i="81"/>
  <c r="BL38" i="81"/>
  <c r="BL459" i="81"/>
  <c r="BL387" i="81"/>
  <c r="BL80" i="81"/>
  <c r="BL8" i="81"/>
  <c r="BL367" i="81"/>
  <c r="BL356" i="81"/>
  <c r="BL143" i="81"/>
  <c r="BL99" i="81"/>
  <c r="BL208" i="81"/>
  <c r="BL363" i="81"/>
  <c r="C26" i="67"/>
  <c r="C23" i="67"/>
  <c r="C29" i="67" s="1"/>
  <c r="C36" i="67" s="1"/>
  <c r="J29" i="15"/>
  <c r="F69" i="15"/>
  <c r="BL355" i="81"/>
  <c r="BM181" i="81"/>
  <c r="BV181" i="81"/>
  <c r="BL447" i="81"/>
  <c r="BL319" i="81"/>
  <c r="BL141" i="81"/>
  <c r="BL407" i="81"/>
  <c r="BM169" i="81"/>
  <c r="BY169" i="81"/>
  <c r="AX29" i="81"/>
  <c r="BL29" i="81" s="1"/>
  <c r="BM119" i="81"/>
  <c r="BP119" i="81"/>
  <c r="BL413" i="81"/>
  <c r="BL145" i="81"/>
  <c r="AX33" i="81"/>
  <c r="BM33" i="81" s="1"/>
  <c r="BS110" i="81"/>
  <c r="AW110" i="81"/>
  <c r="BM248" i="81"/>
  <c r="BV248" i="81"/>
  <c r="BS215" i="81"/>
  <c r="AW215" i="81"/>
  <c r="BS294" i="81"/>
  <c r="AX294" i="81"/>
  <c r="BM294" i="81" s="1"/>
  <c r="D19" i="71"/>
  <c r="C18" i="71"/>
  <c r="BM403" i="81"/>
  <c r="BY403" i="81"/>
  <c r="AX40" i="81"/>
  <c r="BM40" i="81" s="1"/>
  <c r="AX48" i="81"/>
  <c r="C49" i="33"/>
  <c r="C48" i="33"/>
  <c r="AW188" i="81"/>
  <c r="C42" i="37"/>
  <c r="C43" i="37"/>
  <c r="BM262" i="81"/>
  <c r="BS262" i="81"/>
  <c r="BM220" i="81"/>
  <c r="BV220" i="81"/>
  <c r="BM372" i="81"/>
  <c r="BY372" i="81"/>
  <c r="AW106" i="81"/>
  <c r="AX416" i="81"/>
  <c r="BL416" i="81" s="1"/>
  <c r="BM160" i="81"/>
  <c r="BS160" i="81"/>
  <c r="BM126" i="81"/>
  <c r="BY126" i="81"/>
  <c r="AX28" i="81"/>
  <c r="BM28" i="81" s="1"/>
  <c r="BL426" i="81"/>
  <c r="AX426" i="81"/>
  <c r="BM426" i="81" s="1"/>
  <c r="BM362" i="81"/>
  <c r="BY362" i="81"/>
  <c r="BL44" i="81"/>
  <c r="BS44" i="81"/>
  <c r="AX44" i="81"/>
  <c r="BM44" i="81" s="1"/>
  <c r="BS414" i="81"/>
  <c r="AW414" i="81"/>
  <c r="BK414" i="81" s="1"/>
  <c r="AX217" i="81"/>
  <c r="BM217" i="81" s="1"/>
  <c r="AX274" i="81"/>
  <c r="BM274" i="81" s="1"/>
  <c r="BM391" i="81"/>
  <c r="BS391" i="81"/>
  <c r="BM164" i="81"/>
  <c r="BS164" i="81"/>
  <c r="BM411" i="81"/>
  <c r="BV411" i="81"/>
  <c r="BL147" i="81"/>
  <c r="G40" i="43"/>
  <c r="I40" i="43" s="1"/>
  <c r="E40" i="43"/>
  <c r="BL388" i="81"/>
  <c r="BL181" i="81"/>
  <c r="BS273" i="81"/>
  <c r="AX273" i="81"/>
  <c r="BM273" i="81" s="1"/>
  <c r="BM117" i="81"/>
  <c r="BY117" i="81"/>
  <c r="AX122" i="81"/>
  <c r="BM122" i="81" s="1"/>
  <c r="AX37" i="81"/>
  <c r="BM37" i="81" s="1"/>
  <c r="BL127" i="81"/>
  <c r="BL169" i="81"/>
  <c r="BK29" i="81"/>
  <c r="G65" i="40"/>
  <c r="H63" i="40"/>
  <c r="BL119" i="81"/>
  <c r="BM421" i="81"/>
  <c r="BY421" i="81"/>
  <c r="BK33" i="81"/>
  <c r="BL120" i="81"/>
  <c r="BL462" i="81"/>
  <c r="BJ110" i="81"/>
  <c r="BL339" i="81"/>
  <c r="AX428" i="81"/>
  <c r="BL428" i="81" s="1"/>
  <c r="BL30" i="81"/>
  <c r="BL248" i="81"/>
  <c r="AX72" i="81"/>
  <c r="BM72" i="81" s="1"/>
  <c r="AX64" i="81"/>
  <c r="BL64" i="81" s="1"/>
  <c r="AX25" i="81"/>
  <c r="BM25" i="81" s="1"/>
  <c r="BM199" i="81"/>
  <c r="BS199" i="81"/>
  <c r="BL385" i="81"/>
  <c r="BL96" i="81"/>
  <c r="BJ215" i="81"/>
  <c r="BK294" i="81"/>
  <c r="BL406" i="81"/>
  <c r="BL57" i="81"/>
  <c r="BL403" i="81"/>
  <c r="BL252" i="81"/>
  <c r="BL218" i="81"/>
  <c r="BS432" i="81"/>
  <c r="AW432" i="81"/>
  <c r="BK432" i="81" s="1"/>
  <c r="BL442" i="81"/>
  <c r="BK40" i="81"/>
  <c r="E52" i="33"/>
  <c r="F52" i="33" s="1"/>
  <c r="E53" i="33"/>
  <c r="F53" i="33" s="1"/>
  <c r="BJ188" i="81"/>
  <c r="BL151" i="81"/>
  <c r="AW24" i="81"/>
  <c r="BK24" i="81" s="1"/>
  <c r="BL299" i="81"/>
  <c r="BM464" i="81"/>
  <c r="BY464" i="81"/>
  <c r="BM315" i="81"/>
  <c r="BY315" i="81"/>
  <c r="BM431" i="81"/>
  <c r="BV431" i="81"/>
  <c r="BM453" i="81"/>
  <c r="BY453" i="81"/>
  <c r="BL73" i="81"/>
  <c r="BM87" i="81"/>
  <c r="BY87" i="81"/>
  <c r="BL135" i="81"/>
  <c r="BL221" i="81"/>
  <c r="BL26" i="81"/>
  <c r="G41" i="43"/>
  <c r="I41" i="43" s="1"/>
  <c r="E41" i="43"/>
  <c r="BL424" i="81"/>
  <c r="BL251" i="81"/>
  <c r="BL262" i="81"/>
  <c r="BL108" i="81"/>
  <c r="AX108" i="81"/>
  <c r="BL220" i="81"/>
  <c r="BL225" i="81"/>
  <c r="BL146" i="81"/>
  <c r="BL372" i="81"/>
  <c r="BL91" i="81"/>
  <c r="BL165" i="81"/>
  <c r="BM417" i="81"/>
  <c r="BS417" i="81"/>
  <c r="BK416" i="81"/>
  <c r="BL160" i="81"/>
  <c r="BL43" i="81"/>
  <c r="BL167" i="81"/>
  <c r="BL375" i="81"/>
  <c r="BL126" i="81"/>
  <c r="BL56" i="81"/>
  <c r="AX56" i="81"/>
  <c r="BV436" i="81"/>
  <c r="AW436" i="81"/>
  <c r="BL237" i="81"/>
  <c r="BS440" i="81"/>
  <c r="AX440" i="81"/>
  <c r="BM440" i="81" s="1"/>
  <c r="AX130" i="81"/>
  <c r="BM130" i="81" s="1"/>
  <c r="BL258" i="81"/>
  <c r="BM111" i="81"/>
  <c r="BS111" i="81"/>
  <c r="BM179" i="81"/>
  <c r="BY179" i="81"/>
  <c r="BL330" i="81"/>
  <c r="BM210" i="81"/>
  <c r="BV210" i="81"/>
  <c r="AW134" i="81"/>
  <c r="BL175" i="81"/>
  <c r="BL334" i="81"/>
  <c r="BL362" i="81"/>
  <c r="BL173" i="81"/>
  <c r="BL325" i="81"/>
  <c r="BK44" i="81"/>
  <c r="BL94" i="81"/>
  <c r="BL351" i="81"/>
  <c r="BM451" i="81"/>
  <c r="BY451" i="81"/>
  <c r="BM152" i="81"/>
  <c r="BV152" i="81"/>
  <c r="BM123" i="81"/>
  <c r="BV123" i="81"/>
  <c r="BJ414" i="81"/>
  <c r="BL244" i="81"/>
  <c r="BL75" i="81"/>
  <c r="BL391" i="81"/>
  <c r="BL164" i="81"/>
  <c r="BL301" i="81"/>
  <c r="AX301" i="81"/>
  <c r="BM301" i="81" s="1"/>
  <c r="BL282" i="81"/>
  <c r="AW448" i="81"/>
  <c r="BK448" i="81" s="1"/>
  <c r="AX422" i="81"/>
  <c r="BM422" i="81" s="1"/>
  <c r="BM232" i="81"/>
  <c r="BS232" i="81"/>
  <c r="AW31" i="81"/>
  <c r="BM186" i="81"/>
  <c r="BS186" i="81"/>
  <c r="BL275" i="81"/>
  <c r="AX137" i="81"/>
  <c r="BV452" i="81"/>
  <c r="AW452" i="81"/>
  <c r="BK452" i="81" s="1"/>
  <c r="BK273" i="81"/>
  <c r="BL292" i="81"/>
  <c r="BL117" i="81"/>
  <c r="BK122" i="81"/>
  <c r="BS201" i="81"/>
  <c r="AX201" i="81"/>
  <c r="BM201" i="81" s="1"/>
  <c r="AX21" i="81"/>
  <c r="BL19" i="81"/>
  <c r="BL302" i="81"/>
  <c r="AX410" i="81"/>
  <c r="BM410" i="81" s="1"/>
  <c r="BM287" i="81"/>
  <c r="BV287" i="81"/>
  <c r="BM441" i="81"/>
  <c r="BY441" i="81"/>
  <c r="BL95" i="81"/>
  <c r="BK428" i="81"/>
  <c r="BL309" i="81"/>
  <c r="BK72" i="81"/>
  <c r="BK64" i="81"/>
  <c r="AX136" i="81"/>
  <c r="BM136" i="81" s="1"/>
  <c r="BM347" i="81"/>
  <c r="BY347" i="81"/>
  <c r="BM243" i="81"/>
  <c r="BV243" i="81"/>
  <c r="BM335" i="81"/>
  <c r="BV335" i="81"/>
  <c r="BJ432" i="81"/>
  <c r="BL148" i="81"/>
  <c r="BM318" i="81"/>
  <c r="BS318" i="81"/>
  <c r="BK48" i="81"/>
  <c r="BM176" i="81"/>
  <c r="BV176" i="81"/>
  <c r="BM42" i="81"/>
  <c r="BS42" i="81"/>
  <c r="BL200" i="81"/>
  <c r="BL32" i="81"/>
  <c r="AX32" i="81"/>
  <c r="BM32" i="81" s="1"/>
  <c r="AX144" i="81"/>
  <c r="BL283" i="81"/>
  <c r="BJ24" i="81"/>
  <c r="BL90" i="81"/>
  <c r="BL464" i="81"/>
  <c r="BL315" i="81"/>
  <c r="BL323" i="81"/>
  <c r="BL431" i="81"/>
  <c r="BL453" i="81"/>
  <c r="BL87" i="81"/>
  <c r="BL260" i="81"/>
  <c r="BM390" i="81"/>
  <c r="BV390" i="81"/>
  <c r="BL443" i="81"/>
  <c r="BL379" i="81"/>
  <c r="BM293" i="81"/>
  <c r="BS293" i="81"/>
  <c r="BK108" i="81"/>
  <c r="BL59" i="81"/>
  <c r="BL446" i="81"/>
  <c r="BM58" i="81"/>
  <c r="BY58" i="81"/>
  <c r="BL103" i="81"/>
  <c r="AW211" i="81"/>
  <c r="BM150" i="81"/>
  <c r="BV150" i="81"/>
  <c r="BL435" i="81"/>
  <c r="BL455" i="81"/>
  <c r="BL350" i="81"/>
  <c r="BM138" i="81"/>
  <c r="BS138" i="81"/>
  <c r="BL439" i="81"/>
  <c r="BS68" i="81"/>
  <c r="AX68" i="81"/>
  <c r="BM68" i="81" s="1"/>
  <c r="BL172" i="81"/>
  <c r="BL458" i="81"/>
  <c r="AX288" i="81"/>
  <c r="BJ106" i="81"/>
  <c r="BL417" i="81"/>
  <c r="V2" i="43"/>
  <c r="W3" i="43"/>
  <c r="W4" i="43" s="1"/>
  <c r="BL369" i="81"/>
  <c r="BL427" i="81"/>
  <c r="BK56" i="81"/>
  <c r="BJ436" i="81"/>
  <c r="BV444" i="81"/>
  <c r="AW444" i="81"/>
  <c r="BK444" i="81" s="1"/>
  <c r="BL419" i="81"/>
  <c r="BL222" i="81"/>
  <c r="BK440" i="81"/>
  <c r="BL118" i="81"/>
  <c r="BK130" i="81"/>
  <c r="BL157" i="81"/>
  <c r="BL405" i="81"/>
  <c r="BL205" i="81"/>
  <c r="BM228" i="81"/>
  <c r="BS228" i="81"/>
  <c r="BS366" i="81"/>
  <c r="AX366" i="81"/>
  <c r="BM366" i="81" s="1"/>
  <c r="BL111" i="81"/>
  <c r="BL179" i="81"/>
  <c r="BL210" i="81"/>
  <c r="BJ134" i="81"/>
  <c r="BK28" i="81"/>
  <c r="BK426" i="81"/>
  <c r="BM125" i="81"/>
  <c r="BV125" i="81"/>
  <c r="BM266" i="81"/>
  <c r="BV266" i="81"/>
  <c r="AW371" i="81"/>
  <c r="BK371" i="81" s="1"/>
  <c r="BS277" i="81"/>
  <c r="AX277" i="81"/>
  <c r="BM277" i="81" s="1"/>
  <c r="BM142" i="81"/>
  <c r="BS142" i="81"/>
  <c r="BL451" i="81"/>
  <c r="BL174" i="81"/>
  <c r="BL152" i="81"/>
  <c r="BL123" i="81"/>
  <c r="BM63" i="81"/>
  <c r="BV63" i="81"/>
  <c r="BM189" i="81"/>
  <c r="BV189" i="81"/>
  <c r="BL183" i="81"/>
  <c r="AW35" i="81"/>
  <c r="BK217" i="81"/>
  <c r="BL162" i="81"/>
  <c r="BL395" i="81"/>
  <c r="BK274" i="81"/>
  <c r="BK301" i="81"/>
  <c r="BL267" i="81"/>
  <c r="AX60" i="81"/>
  <c r="BM60" i="81" s="1"/>
  <c r="BL115" i="81"/>
  <c r="BM180" i="81"/>
  <c r="BY180" i="81"/>
  <c r="BL178" i="81"/>
  <c r="BL359" i="81"/>
  <c r="BL247" i="81"/>
  <c r="BM184" i="81"/>
  <c r="BV184" i="81"/>
  <c r="H67" i="39"/>
  <c r="G69" i="39"/>
  <c r="AX456" i="81"/>
  <c r="BK422" i="81"/>
  <c r="BL232" i="81"/>
  <c r="BM341" i="81"/>
  <c r="BV341" i="81"/>
  <c r="BV365" i="81"/>
  <c r="AX365" i="81"/>
  <c r="BM365" i="81" s="1"/>
  <c r="AX112" i="81"/>
  <c r="BL112" i="81" s="1"/>
  <c r="E39" i="43"/>
  <c r="G39" i="43"/>
  <c r="I39" i="43" s="1"/>
  <c r="E46" i="37"/>
  <c r="F46" i="37" s="1"/>
  <c r="E47" i="37"/>
  <c r="F47" i="37" s="1"/>
  <c r="I47" i="37"/>
  <c r="J47" i="37" s="1"/>
  <c r="BM246" i="81"/>
  <c r="BV246" i="81"/>
  <c r="AX227" i="81"/>
  <c r="BM227" i="81" s="1"/>
  <c r="BM263" i="81"/>
  <c r="BV263" i="81"/>
  <c r="AX52" i="81"/>
  <c r="BM52" i="81" s="1"/>
  <c r="BM113" i="81"/>
  <c r="BV113" i="81"/>
  <c r="AX76" i="81"/>
  <c r="BM76" i="81" s="1"/>
  <c r="AX213" i="81"/>
  <c r="BM213" i="81" s="1"/>
  <c r="BM79" i="81"/>
  <c r="BP79" i="81"/>
  <c r="AX219" i="81"/>
  <c r="BM219" i="81" s="1"/>
  <c r="AX132" i="81"/>
  <c r="BM132" i="81" s="1"/>
  <c r="E42" i="43"/>
  <c r="G42" i="43"/>
  <c r="I42" i="43" s="1"/>
  <c r="BM154" i="81"/>
  <c r="BV154" i="81"/>
  <c r="AX296" i="81"/>
  <c r="BM296" i="81" s="1"/>
  <c r="BL170" i="81"/>
  <c r="BM62" i="81"/>
  <c r="BY62" i="81"/>
  <c r="BM253" i="81"/>
  <c r="BV253" i="81"/>
  <c r="BS197" i="81"/>
  <c r="AX197" i="81"/>
  <c r="BM197" i="81" s="1"/>
  <c r="AW358" i="81"/>
  <c r="BK358" i="81" s="1"/>
  <c r="AX140" i="81"/>
  <c r="BM140" i="81" s="1"/>
  <c r="AX193" i="81"/>
  <c r="BM193" i="81" s="1"/>
  <c r="BM203" i="81"/>
  <c r="BV203" i="81"/>
  <c r="AX46" i="81"/>
  <c r="BM46" i="81" s="1"/>
  <c r="BV46" i="81"/>
  <c r="AX269" i="81"/>
  <c r="BM269" i="81" s="1"/>
  <c r="BL63" i="81"/>
  <c r="BL189" i="81"/>
  <c r="BJ35" i="81"/>
  <c r="BL71" i="81"/>
  <c r="BL307" i="81"/>
  <c r="BL171" i="81"/>
  <c r="BL291" i="81"/>
  <c r="G38" i="43"/>
  <c r="I38" i="43" s="1"/>
  <c r="E38" i="43"/>
  <c r="BL420" i="81"/>
  <c r="AW231" i="81"/>
  <c r="BK231" i="81" s="1"/>
  <c r="BL124" i="81"/>
  <c r="AX124" i="81"/>
  <c r="BM124" i="81" s="1"/>
  <c r="BL22" i="81"/>
  <c r="BL180" i="81"/>
  <c r="BL373" i="81"/>
  <c r="BL331" i="81"/>
  <c r="BL184" i="81"/>
  <c r="BJ448" i="81"/>
  <c r="BJ466" i="81" s="1"/>
  <c r="BL18" i="81"/>
  <c r="AX18" i="81"/>
  <c r="BM18" i="81" s="1"/>
  <c r="AX11" i="81"/>
  <c r="BM11" i="81" s="1"/>
  <c r="E6" i="3"/>
  <c r="C10" i="68"/>
  <c r="D19" i="68"/>
  <c r="D37" i="68" s="1"/>
  <c r="C37" i="68" s="1"/>
  <c r="C20" i="11"/>
  <c r="C25" i="11" s="1"/>
  <c r="C24" i="11"/>
  <c r="M19" i="9"/>
  <c r="C118" i="9" s="1"/>
  <c r="D29" i="6"/>
  <c r="D28" i="6"/>
  <c r="D26" i="6"/>
  <c r="H25" i="6"/>
  <c r="D24" i="6"/>
  <c r="H23" i="6"/>
  <c r="L19" i="9"/>
  <c r="E61" i="40"/>
  <c r="D25" i="6"/>
  <c r="R25" i="6" s="1"/>
  <c r="D9" i="6"/>
  <c r="D5" i="6"/>
  <c r="D22" i="6"/>
  <c r="H21" i="6"/>
  <c r="D20" i="6"/>
  <c r="D19" i="6"/>
  <c r="D15" i="6"/>
  <c r="D13" i="6"/>
  <c r="D11" i="6"/>
  <c r="D6" i="6"/>
  <c r="H24" i="6"/>
  <c r="H26" i="6"/>
  <c r="D23" i="6"/>
  <c r="R23" i="6" s="1"/>
  <c r="H22" i="6"/>
  <c r="D8" i="6"/>
  <c r="D14" i="6"/>
  <c r="D12" i="6"/>
  <c r="H20" i="6"/>
  <c r="D10" i="6"/>
  <c r="D21" i="6"/>
  <c r="R21" i="6" s="1"/>
  <c r="C18" i="4"/>
  <c r="I19" i="6"/>
  <c r="M27" i="6"/>
  <c r="D17" i="12"/>
  <c r="C17" i="12" s="1"/>
  <c r="C14" i="12"/>
  <c r="C16" i="12" s="1"/>
  <c r="C38" i="69"/>
  <c r="C35" i="69"/>
  <c r="D10" i="69"/>
  <c r="D20" i="12"/>
  <c r="C20" i="12" s="1"/>
  <c r="D10" i="11"/>
  <c r="C10" i="11" s="1"/>
  <c r="M16" i="1"/>
  <c r="N16" i="1" s="1"/>
  <c r="S16" i="1"/>
  <c r="AR6" i="1"/>
  <c r="AQ6" i="1"/>
  <c r="T6" i="1"/>
  <c r="T16" i="1" s="1"/>
  <c r="E6" i="70"/>
  <c r="E2" i="70" s="1"/>
  <c r="C14" i="15"/>
  <c r="C34" i="68"/>
  <c r="BK468" i="81" l="1"/>
  <c r="BL201" i="81"/>
  <c r="BL72" i="81"/>
  <c r="BL274" i="81"/>
  <c r="BL11" i="81"/>
  <c r="BL269" i="81"/>
  <c r="BL130" i="81"/>
  <c r="BL37" i="81"/>
  <c r="BL33" i="81"/>
  <c r="Q49" i="67"/>
  <c r="C13" i="67"/>
  <c r="Q70" i="67" s="1"/>
  <c r="C57" i="67"/>
  <c r="C64" i="67" s="1"/>
  <c r="J14" i="67"/>
  <c r="J59" i="67"/>
  <c r="J60" i="67" s="1"/>
  <c r="L46" i="67" s="1"/>
  <c r="C56" i="67"/>
  <c r="C65" i="67" s="1"/>
  <c r="D30" i="6"/>
  <c r="BV231" i="81"/>
  <c r="AX231" i="81"/>
  <c r="BM231" i="81" s="1"/>
  <c r="BL46" i="81"/>
  <c r="BL193" i="81"/>
  <c r="BL132" i="81"/>
  <c r="BL76" i="81"/>
  <c r="BL52" i="81"/>
  <c r="BL227" i="81"/>
  <c r="BM112" i="81"/>
  <c r="BS112" i="81"/>
  <c r="BL365" i="81"/>
  <c r="H69" i="39"/>
  <c r="I67" i="39"/>
  <c r="BL277" i="81"/>
  <c r="BL68" i="81"/>
  <c r="BV448" i="81"/>
  <c r="AX448" i="81"/>
  <c r="BM448" i="81" s="1"/>
  <c r="BM56" i="81"/>
  <c r="BS56" i="81"/>
  <c r="BM108" i="81"/>
  <c r="BV108" i="81"/>
  <c r="BL273" i="81"/>
  <c r="AX414" i="81"/>
  <c r="BM414" i="81" s="1"/>
  <c r="BM416" i="81"/>
  <c r="BY416" i="81"/>
  <c r="BL40" i="81"/>
  <c r="AX215" i="81"/>
  <c r="BM215" i="81" s="1"/>
  <c r="BM21" i="81"/>
  <c r="BS21" i="81"/>
  <c r="BM137" i="81"/>
  <c r="BS137" i="81"/>
  <c r="AX134" i="81"/>
  <c r="BM134" i="81" s="1"/>
  <c r="AX436" i="81"/>
  <c r="BL436" i="81" s="1"/>
  <c r="BM428" i="81"/>
  <c r="BS428" i="81"/>
  <c r="BP188" i="81"/>
  <c r="BJ468" i="81" s="1"/>
  <c r="BJ469" i="81" s="1"/>
  <c r="AX188" i="81"/>
  <c r="BM188" i="81" s="1"/>
  <c r="BM48" i="81"/>
  <c r="BY48" i="81"/>
  <c r="AX110" i="81"/>
  <c r="BM110" i="81" s="1"/>
  <c r="BM456" i="81"/>
  <c r="BY456" i="81"/>
  <c r="BP35" i="81"/>
  <c r="AX35" i="81"/>
  <c r="BM35" i="81" s="1"/>
  <c r="BS211" i="81"/>
  <c r="AX211" i="81"/>
  <c r="BM211" i="81" s="1"/>
  <c r="BL140" i="81"/>
  <c r="BL296" i="81"/>
  <c r="C30" i="43"/>
  <c r="B2" i="43" s="1"/>
  <c r="BL219" i="81"/>
  <c r="BL213" i="81"/>
  <c r="BL456" i="81"/>
  <c r="BL60" i="81"/>
  <c r="BK35" i="81"/>
  <c r="AX444" i="81"/>
  <c r="BL444" i="81" s="1"/>
  <c r="E34" i="43"/>
  <c r="C31" i="43" s="1"/>
  <c r="C34" i="43"/>
  <c r="BM288" i="81"/>
  <c r="BS288" i="81"/>
  <c r="BK211" i="81"/>
  <c r="BM144" i="81"/>
  <c r="BV144" i="81"/>
  <c r="BL410" i="81"/>
  <c r="BL21" i="81"/>
  <c r="AX452" i="81"/>
  <c r="BL137" i="81"/>
  <c r="BS31" i="81"/>
  <c r="AX31" i="81"/>
  <c r="BM31" i="81" s="1"/>
  <c r="BK134" i="81"/>
  <c r="BL25" i="81"/>
  <c r="AX106" i="81"/>
  <c r="BM106" i="81" s="1"/>
  <c r="BK188" i="81"/>
  <c r="BL48" i="81"/>
  <c r="BK215" i="81"/>
  <c r="BM29" i="81"/>
  <c r="BS29" i="81"/>
  <c r="BS371" i="81"/>
  <c r="AX371" i="81"/>
  <c r="BM371" i="81" s="1"/>
  <c r="BS358" i="81"/>
  <c r="AX358" i="81"/>
  <c r="BM358" i="81" s="1"/>
  <c r="BL197" i="81"/>
  <c r="BL366" i="81"/>
  <c r="BL288" i="81"/>
  <c r="BL144" i="81"/>
  <c r="BL136" i="81"/>
  <c r="BK31" i="81"/>
  <c r="BL422" i="81"/>
  <c r="BL440" i="81"/>
  <c r="BK436" i="81"/>
  <c r="AX24" i="81"/>
  <c r="BM24" i="81" s="1"/>
  <c r="AX432" i="81"/>
  <c r="BM432" i="81" s="1"/>
  <c r="BM64" i="81"/>
  <c r="BS64" i="81"/>
  <c r="H65" i="40"/>
  <c r="I63" i="40"/>
  <c r="BL122" i="81"/>
  <c r="BL217" i="81"/>
  <c r="BL28" i="81"/>
  <c r="BK106" i="81"/>
  <c r="D18" i="71"/>
  <c r="C17" i="71"/>
  <c r="BL294" i="81"/>
  <c r="BK110" i="81"/>
  <c r="R20" i="6"/>
  <c r="R22" i="6"/>
  <c r="C35" i="68"/>
  <c r="C38" i="68"/>
  <c r="C18" i="15"/>
  <c r="C15" i="15"/>
  <c r="D16" i="6"/>
  <c r="I27" i="6"/>
  <c r="S19" i="6"/>
  <c r="S27" i="6" s="1"/>
  <c r="R24" i="6"/>
  <c r="C28" i="11"/>
  <c r="C27" i="11" s="1"/>
  <c r="A7" i="51"/>
  <c r="B7" i="72" s="1"/>
  <c r="C4" i="52"/>
  <c r="B45" i="72" s="1"/>
  <c r="A10" i="51"/>
  <c r="B9" i="72" s="1"/>
  <c r="D27" i="6"/>
  <c r="D31" i="6" s="1"/>
  <c r="F50" i="69"/>
  <c r="F50" i="11"/>
  <c r="F50" i="68"/>
  <c r="C34" i="11"/>
  <c r="L16" i="1"/>
  <c r="C10" i="69"/>
  <c r="C8" i="69" s="1"/>
  <c r="C5" i="69" s="1"/>
  <c r="D19" i="69"/>
  <c r="H19" i="6"/>
  <c r="H27" i="6" s="1"/>
  <c r="R26" i="6"/>
  <c r="C22" i="11"/>
  <c r="B29" i="1"/>
  <c r="C18" i="12" s="1"/>
  <c r="C21" i="12" s="1"/>
  <c r="C8" i="68"/>
  <c r="B6" i="76"/>
  <c r="C75" i="67" l="1"/>
  <c r="BK466" i="81"/>
  <c r="BK469" i="81" s="1"/>
  <c r="BL31" i="81"/>
  <c r="BL371" i="81"/>
  <c r="Q48" i="67"/>
  <c r="BL110" i="81"/>
  <c r="BL188" i="81"/>
  <c r="BL414" i="81"/>
  <c r="BL448" i="81"/>
  <c r="BL231" i="81"/>
  <c r="BL215" i="81"/>
  <c r="C37" i="67"/>
  <c r="C30" i="67" s="1"/>
  <c r="C39" i="67" s="1"/>
  <c r="C40" i="67" s="1"/>
  <c r="J13" i="67"/>
  <c r="J23" i="67" s="1"/>
  <c r="J22" i="67"/>
  <c r="C58" i="67"/>
  <c r="C67" i="67" s="1"/>
  <c r="C68" i="67" s="1"/>
  <c r="C71" i="67" s="1"/>
  <c r="B2" i="76"/>
  <c r="I65" i="40"/>
  <c r="J63" i="40"/>
  <c r="C7" i="68"/>
  <c r="B3" i="43"/>
  <c r="BL432" i="81"/>
  <c r="BL358" i="81"/>
  <c r="BM444" i="81"/>
  <c r="BY444" i="81"/>
  <c r="BL35" i="81"/>
  <c r="BL134" i="81"/>
  <c r="BM436" i="81"/>
  <c r="BY436" i="81"/>
  <c r="D17" i="71"/>
  <c r="C16" i="71"/>
  <c r="BM452" i="81"/>
  <c r="BM466" i="81" s="1"/>
  <c r="BY452" i="81"/>
  <c r="BL211" i="81"/>
  <c r="BL24" i="81"/>
  <c r="BL106" i="81"/>
  <c r="BL468" i="81"/>
  <c r="BL452" i="81"/>
  <c r="J67" i="39"/>
  <c r="I69" i="39"/>
  <c r="C33" i="68"/>
  <c r="C39" i="68" s="1"/>
  <c r="C31" i="11"/>
  <c r="C19" i="15"/>
  <c r="C20" i="15" s="1"/>
  <c r="C26" i="15" s="1"/>
  <c r="C22" i="12"/>
  <c r="C27" i="12" s="1"/>
  <c r="C25" i="12" s="1"/>
  <c r="C23" i="69"/>
  <c r="C38" i="11"/>
  <c r="C35" i="11"/>
  <c r="C33" i="11" s="1"/>
  <c r="R19" i="6"/>
  <c r="C19" i="69"/>
  <c r="D37" i="69"/>
  <c r="C37" i="69" s="1"/>
  <c r="C33" i="69" s="1"/>
  <c r="C14" i="74"/>
  <c r="B2" i="74" s="1"/>
  <c r="I6" i="6"/>
  <c r="G3" i="43" s="1"/>
  <c r="I5" i="6"/>
  <c r="L51" i="67"/>
  <c r="J16" i="67" l="1"/>
  <c r="J25" i="67" s="1"/>
  <c r="C43" i="67"/>
  <c r="Q56" i="67"/>
  <c r="C83" i="67"/>
  <c r="C82" i="67" s="1"/>
  <c r="Q47" i="67"/>
  <c r="Q53" i="67" s="1"/>
  <c r="Q65" i="67"/>
  <c r="D2" i="67"/>
  <c r="B3" i="67" s="1"/>
  <c r="Q67" i="67"/>
  <c r="L57" i="67"/>
  <c r="L60" i="67" s="1"/>
  <c r="Q66" i="67" s="1"/>
  <c r="C80" i="67"/>
  <c r="C79" i="67" s="1"/>
  <c r="BL466" i="81"/>
  <c r="BL469" i="81" s="1"/>
  <c r="Q69" i="67"/>
  <c r="Q68" i="67" s="1"/>
  <c r="C45" i="67"/>
  <c r="C46" i="67" s="1"/>
  <c r="C5" i="68"/>
  <c r="J69" i="39"/>
  <c r="K67" i="39"/>
  <c r="T16" i="71"/>
  <c r="D16" i="71"/>
  <c r="U16" i="71" s="1"/>
  <c r="C15" i="71"/>
  <c r="M23" i="43"/>
  <c r="K63" i="40"/>
  <c r="J65" i="40"/>
  <c r="C42" i="68"/>
  <c r="C23" i="15"/>
  <c r="C29" i="15" s="1"/>
  <c r="C57" i="15" s="1"/>
  <c r="C64" i="15" s="1"/>
  <c r="C30" i="12"/>
  <c r="C28" i="12" s="1"/>
  <c r="C32" i="12" s="1"/>
  <c r="B2" i="12" s="1"/>
  <c r="B3" i="12" s="1"/>
  <c r="C20" i="69"/>
  <c r="C25" i="69" s="1"/>
  <c r="C24" i="69"/>
  <c r="D7" i="74"/>
  <c r="D8" i="74"/>
  <c r="R6" i="1"/>
  <c r="R27" i="6"/>
  <c r="C39" i="11"/>
  <c r="C42" i="11"/>
  <c r="C39" i="69"/>
  <c r="C42" i="69"/>
  <c r="H26" i="43"/>
  <c r="Z7" i="43"/>
  <c r="N94" i="46"/>
  <c r="G26" i="43"/>
  <c r="N370" i="46"/>
  <c r="B116" i="43"/>
  <c r="F26" i="43"/>
  <c r="E26" i="43"/>
  <c r="J26" i="43"/>
  <c r="C46" i="68"/>
  <c r="C45" i="68" s="1"/>
  <c r="C43" i="68"/>
  <c r="B2" i="67"/>
  <c r="M21" i="15"/>
  <c r="F35" i="15"/>
  <c r="Q75" i="67" l="1"/>
  <c r="Q57" i="67"/>
  <c r="Q62" i="67" s="1"/>
  <c r="K69" i="39"/>
  <c r="L67" i="39"/>
  <c r="D15" i="71"/>
  <c r="C14" i="71"/>
  <c r="C20" i="68"/>
  <c r="C23" i="68"/>
  <c r="K65" i="40"/>
  <c r="L63" i="40"/>
  <c r="J14" i="15"/>
  <c r="J22" i="15" s="1"/>
  <c r="C36" i="15"/>
  <c r="J59" i="15"/>
  <c r="J60" i="15" s="1"/>
  <c r="Q48" i="15" s="1"/>
  <c r="C13" i="15"/>
  <c r="Q70" i="15" s="1"/>
  <c r="Q49" i="15"/>
  <c r="C41" i="68"/>
  <c r="C49" i="68" s="1"/>
  <c r="C51" i="68" s="1"/>
  <c r="C22" i="69"/>
  <c r="C28" i="69"/>
  <c r="C27" i="69" s="1"/>
  <c r="J20" i="15"/>
  <c r="J17" i="15" s="1"/>
  <c r="F63" i="15"/>
  <c r="C62" i="15" s="1"/>
  <c r="C59" i="15" s="1"/>
  <c r="C34" i="15"/>
  <c r="C31" i="15" s="1"/>
  <c r="C46" i="11"/>
  <c r="C45" i="11" s="1"/>
  <c r="C43" i="11"/>
  <c r="C41" i="11" s="1"/>
  <c r="D26" i="43"/>
  <c r="C46" i="69"/>
  <c r="C45" i="69" s="1"/>
  <c r="C43" i="69"/>
  <c r="C41" i="69"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1" i="43"/>
  <c r="J121" i="43" s="1"/>
  <c r="K121" i="43" s="1"/>
  <c r="L121" i="43" s="1"/>
  <c r="M121" i="43" s="1"/>
  <c r="I122" i="43"/>
  <c r="J122" i="43" s="1"/>
  <c r="K122" i="43" s="1"/>
  <c r="L122" i="43" s="1"/>
  <c r="M122" i="43" s="1"/>
  <c r="I118" i="43"/>
  <c r="J118" i="43" s="1"/>
  <c r="K118" i="43" s="1"/>
  <c r="L118" i="43" s="1"/>
  <c r="M118" i="43" s="1"/>
  <c r="R16" i="1"/>
  <c r="C49" i="11" l="1"/>
  <c r="C51" i="11" s="1"/>
  <c r="L65" i="40"/>
  <c r="M63" i="40"/>
  <c r="D14" i="71"/>
  <c r="C13" i="71"/>
  <c r="M67" i="39"/>
  <c r="L69" i="39"/>
  <c r="C25" i="68"/>
  <c r="C22" i="68" s="1"/>
  <c r="C28" i="68"/>
  <c r="C27" i="68" s="1"/>
  <c r="J13" i="15"/>
  <c r="J23" i="15" s="1"/>
  <c r="J16" i="15" s="1"/>
  <c r="J25" i="15" s="1"/>
  <c r="C31" i="69"/>
  <c r="C37" i="15"/>
  <c r="C30" i="15" s="1"/>
  <c r="C39" i="15" s="1"/>
  <c r="C56" i="15"/>
  <c r="C65" i="15" s="1"/>
  <c r="C58" i="15" s="1"/>
  <c r="C67" i="15" s="1"/>
  <c r="C68" i="15" s="1"/>
  <c r="C71" i="15" s="1"/>
  <c r="C75" i="15"/>
  <c r="L46" i="15"/>
  <c r="C49" i="69"/>
  <c r="C51" i="69" s="1"/>
  <c r="C118" i="43"/>
  <c r="D116" i="43"/>
  <c r="C52" i="11"/>
  <c r="B2" i="11" s="1"/>
  <c r="B3" i="11" s="1"/>
  <c r="E6" i="76"/>
  <c r="C31" i="68" l="1"/>
  <c r="C52" i="68" s="1"/>
  <c r="B2" i="68" s="1"/>
  <c r="D13" i="71"/>
  <c r="C12" i="71"/>
  <c r="N67" i="39"/>
  <c r="M69" i="39"/>
  <c r="N63" i="40"/>
  <c r="M65" i="40"/>
  <c r="Q69" i="15"/>
  <c r="Q68" i="15" s="1"/>
  <c r="C52" i="69"/>
  <c r="B2" i="69" s="1"/>
  <c r="B3" i="69" s="1"/>
  <c r="C80" i="15"/>
  <c r="C79" i="15" s="1"/>
  <c r="C40" i="15"/>
  <c r="C46" i="15" s="1"/>
  <c r="E2" i="76"/>
  <c r="B3" i="76" s="1"/>
  <c r="C56" i="11"/>
  <c r="C57" i="11" s="1"/>
  <c r="L51" i="15"/>
  <c r="C19" i="9"/>
  <c r="C57" i="68" l="1"/>
  <c r="C56" i="68" s="1"/>
  <c r="C102" i="9"/>
  <c r="C21" i="9"/>
  <c r="T12" i="71"/>
  <c r="C11" i="71"/>
  <c r="D12" i="71"/>
  <c r="U12" i="71" s="1"/>
  <c r="N65" i="40"/>
  <c r="O63" i="40"/>
  <c r="O65" i="40" s="1"/>
  <c r="N69" i="39"/>
  <c r="O67" i="39"/>
  <c r="O69" i="39" s="1"/>
  <c r="C57" i="69"/>
  <c r="C56" i="69" s="1"/>
  <c r="C83" i="15"/>
  <c r="C82" i="15" s="1"/>
  <c r="B2" i="15"/>
  <c r="C43" i="15"/>
  <c r="Q65" i="15"/>
  <c r="Q75" i="15" s="1"/>
  <c r="Q56" i="15"/>
  <c r="Q62" i="15" s="1"/>
  <c r="Q47" i="15"/>
  <c r="Q53" i="15" s="1"/>
  <c r="Q67" i="15"/>
  <c r="D19" i="9"/>
  <c r="B3" i="68"/>
  <c r="AO6" i="1"/>
  <c r="H7" i="40" l="1"/>
  <c r="J7" i="40"/>
  <c r="F7" i="40"/>
  <c r="D11" i="71"/>
  <c r="C10" i="71"/>
  <c r="J7" i="39"/>
  <c r="F7" i="39"/>
  <c r="H7" i="39"/>
  <c r="D102" i="9"/>
  <c r="D21" i="9"/>
  <c r="G19" i="9"/>
  <c r="D22" i="9"/>
  <c r="B6" i="70"/>
  <c r="B2" i="70" s="1"/>
  <c r="B3" i="70" s="1"/>
  <c r="B3" i="15"/>
  <c r="D34" i="9"/>
  <c r="D35" i="9"/>
  <c r="D20" i="9"/>
  <c r="C20" i="9"/>
  <c r="C103" i="9" l="1"/>
  <c r="AA7" i="39"/>
  <c r="R47" i="39" s="1"/>
  <c r="S7" i="39"/>
  <c r="S7" i="40"/>
  <c r="AA7" i="40"/>
  <c r="R42" i="40" s="1"/>
  <c r="AC7" i="40"/>
  <c r="V42" i="40" s="1"/>
  <c r="I42" i="40" s="1"/>
  <c r="W7" i="40"/>
  <c r="W7" i="39"/>
  <c r="AC7" i="39"/>
  <c r="V47" i="39" s="1"/>
  <c r="I47" i="39" s="1"/>
  <c r="D10" i="71"/>
  <c r="C9" i="71"/>
  <c r="U7" i="40"/>
  <c r="AB7" i="40"/>
  <c r="T42" i="40" s="1"/>
  <c r="G42" i="40" s="1"/>
  <c r="AB7" i="39"/>
  <c r="T47" i="39" s="1"/>
  <c r="G47" i="39" s="1"/>
  <c r="U7" i="39"/>
  <c r="D14" i="74"/>
  <c r="F14" i="74" s="1"/>
  <c r="D28" i="9"/>
  <c r="D103" i="9"/>
  <c r="G20" i="9"/>
  <c r="C32" i="9"/>
  <c r="H118" i="9" s="1"/>
  <c r="G21" i="9"/>
  <c r="G51" i="39" l="1"/>
  <c r="H51" i="39" s="1"/>
  <c r="G52" i="39"/>
  <c r="H52" i="39" s="1"/>
  <c r="I47" i="40"/>
  <c r="J47" i="40" s="1"/>
  <c r="I46" i="40"/>
  <c r="J46" i="40" s="1"/>
  <c r="R48" i="39"/>
  <c r="E47" i="39"/>
  <c r="D9" i="71"/>
  <c r="C8" i="71"/>
  <c r="G47" i="40"/>
  <c r="H47" i="40" s="1"/>
  <c r="G46" i="40"/>
  <c r="H46" i="40" s="1"/>
  <c r="I52" i="39"/>
  <c r="J52" i="39" s="1"/>
  <c r="I51" i="39"/>
  <c r="J51" i="39" s="1"/>
  <c r="R43" i="40"/>
  <c r="E42" i="40"/>
  <c r="B5" i="74"/>
  <c r="D5" i="74" s="1"/>
  <c r="G14" i="74"/>
  <c r="B6" i="74" s="1"/>
  <c r="D6" i="74" s="1"/>
  <c r="E14" i="74"/>
  <c r="C35" i="9"/>
  <c r="F118" i="9" s="1"/>
  <c r="F119" i="9" s="1"/>
  <c r="F5" i="52" s="1"/>
  <c r="B53" i="72" s="1"/>
  <c r="H101" i="9"/>
  <c r="H119" i="9"/>
  <c r="H5" i="52" s="1"/>
  <c r="C104" i="9"/>
  <c r="F34" i="6" s="1"/>
  <c r="I118" i="9"/>
  <c r="H4" i="52"/>
  <c r="D8" i="71" l="1"/>
  <c r="C7" i="71"/>
  <c r="E46" i="40"/>
  <c r="F46" i="40" s="1"/>
  <c r="E47" i="40"/>
  <c r="F47" i="40" s="1"/>
  <c r="E52" i="39"/>
  <c r="F52" i="39" s="1"/>
  <c r="E51" i="39"/>
  <c r="F51" i="39" s="1"/>
  <c r="C43" i="40"/>
  <c r="C42" i="40"/>
  <c r="C47" i="39"/>
  <c r="C48" i="39"/>
  <c r="G118" i="9"/>
  <c r="G4" i="52" s="1"/>
  <c r="B52" i="72" s="1"/>
  <c r="F4" i="52"/>
  <c r="B51" i="72" s="1"/>
  <c r="C34" i="9"/>
  <c r="D118" i="9" s="1"/>
  <c r="D45" i="9"/>
  <c r="H107" i="9"/>
  <c r="M48" i="9"/>
  <c r="D5" i="53"/>
  <c r="C105" i="9"/>
  <c r="H102" i="9"/>
  <c r="I4" i="52"/>
  <c r="D119" i="9" l="1"/>
  <c r="D5" i="52" s="1"/>
  <c r="B49" i="72" s="1"/>
  <c r="J117" i="9"/>
  <c r="B52" i="40"/>
  <c r="F52" i="40" s="1"/>
  <c r="B54" i="40"/>
  <c r="F54" i="40" s="1"/>
  <c r="B51" i="40"/>
  <c r="F51" i="40" s="1"/>
  <c r="B60" i="40"/>
  <c r="F60" i="40" s="1"/>
  <c r="B59" i="40"/>
  <c r="F59" i="40" s="1"/>
  <c r="B58" i="40"/>
  <c r="F58" i="40" s="1"/>
  <c r="B57" i="40"/>
  <c r="F57" i="40" s="1"/>
  <c r="B56" i="40"/>
  <c r="F56" i="40" s="1"/>
  <c r="B53" i="40"/>
  <c r="F53" i="40" s="1"/>
  <c r="F61" i="40"/>
  <c r="B2" i="40" s="1"/>
  <c r="B3" i="40" s="1"/>
  <c r="B64" i="39"/>
  <c r="F64" i="39" s="1"/>
  <c r="B58" i="39"/>
  <c r="F58" i="39" s="1"/>
  <c r="B62" i="39"/>
  <c r="F62" i="39" s="1"/>
  <c r="B56" i="39"/>
  <c r="F56" i="39" s="1"/>
  <c r="F65" i="39" s="1"/>
  <c r="B2" i="39" s="1"/>
  <c r="B3" i="39" s="1"/>
  <c r="B60" i="39"/>
  <c r="F60" i="39" s="1"/>
  <c r="B63" i="39"/>
  <c r="F63" i="39" s="1"/>
  <c r="B57" i="39"/>
  <c r="F57" i="39" s="1"/>
  <c r="B59" i="39"/>
  <c r="F59" i="39" s="1"/>
  <c r="B61" i="39"/>
  <c r="F61" i="39" s="1"/>
  <c r="D7" i="71"/>
  <c r="C6" i="71"/>
  <c r="D4" i="52"/>
  <c r="B47" i="72" s="1"/>
  <c r="E118" i="9"/>
  <c r="E4" i="52" s="1"/>
  <c r="B48" i="72" s="1"/>
  <c r="D7" i="53"/>
  <c r="B21" i="72" s="1"/>
  <c r="C5" i="74"/>
  <c r="D6" i="53"/>
  <c r="B22" i="72" s="1"/>
  <c r="B20" i="72"/>
  <c r="D13" i="53"/>
  <c r="D122" i="9"/>
  <c r="M49" i="9"/>
  <c r="H108" i="9"/>
  <c r="C64" i="9"/>
  <c r="C63" i="9" s="1"/>
  <c r="C67" i="9" s="1"/>
  <c r="C93" i="9"/>
  <c r="C86" i="9" s="1"/>
  <c r="D55" i="9"/>
  <c r="M53" i="9" s="1"/>
  <c r="C85" i="9"/>
  <c r="D52" i="9"/>
  <c r="C78" i="9"/>
  <c r="C73" i="9" s="1"/>
  <c r="C72" i="9"/>
  <c r="D53" i="9"/>
  <c r="D6" i="71" l="1"/>
  <c r="C5" i="71"/>
  <c r="C79" i="9"/>
  <c r="C80" i="9" s="1"/>
  <c r="E80" i="9" s="1"/>
  <c r="E81" i="9" s="1"/>
  <c r="C95" i="9"/>
  <c r="D15" i="53"/>
  <c r="B31" i="72" s="1"/>
  <c r="C6" i="74"/>
  <c r="L67" i="9"/>
  <c r="M67" i="9" s="1"/>
  <c r="L64" i="9"/>
  <c r="M64" i="9" s="1"/>
  <c r="L63" i="9"/>
  <c r="M63" i="9" s="1"/>
  <c r="L66" i="9"/>
  <c r="M66" i="9" s="1"/>
  <c r="L65" i="9"/>
  <c r="M65" i="9" s="1"/>
  <c r="L68" i="9"/>
  <c r="M68" i="9" s="1"/>
  <c r="D8" i="52"/>
  <c r="D123" i="9"/>
  <c r="D9" i="52" s="1"/>
  <c r="C68" i="9"/>
  <c r="D54" i="9" s="1"/>
  <c r="D59" i="9"/>
  <c r="M55" i="9" s="1"/>
  <c r="B30" i="72"/>
  <c r="D14" i="53"/>
  <c r="B32" i="72" s="1"/>
  <c r="D5" i="71" l="1"/>
  <c r="M24" i="43"/>
  <c r="C81" i="9"/>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tc={98D35234-E98B-4589-B1E6-FEB7B3D2D914}</author>
    <author>陆佳佳 LU Jiajia</author>
    <author>Wu, Allie</author>
    <author>Administrator</author>
    <author>tc={4F9A2A82-1EAC-4E9A-94D5-7314D8F9BE52}</author>
    <author>tc={49693C40-B5AE-4CFD-9BA4-30370BDA718C}</author>
    <author>tc={29E55BE2-52B3-4311-A1EA-A84567C3EE49}</author>
    <author>tc={24747B95-A47D-49EB-9676-1F62716F8EFE}</author>
    <author>tc={57A215A9-D054-4066-9FC8-4062748CB919}</author>
    <author>tc={97813F61-3F92-4D15-BFB1-8F56463DBFE9}</author>
    <author>tc={2597931D-5DB5-42E4-A2AA-D93C3812409D}</author>
    <author>tc={880FEE9E-E2BB-42DE-AB6B-F66AF34141A8}</author>
    <author>tc={2760D9C7-AF7C-492A-88DB-77DEA874F139}</author>
    <author>tc={AD44A8D5-24E1-42A5-98C1-BD40D42BB1F5}</author>
    <author>tc={194B8A82-1293-40A7-8B88-C8F293CC479B}</author>
    <author>tc={B4705EB5-D649-4FFD-A7E2-3189B3952892}</author>
    <author>tc={AA226096-735E-4486-9F42-E6005BC2668E}</author>
    <author>tc={73B1DAFD-AF4F-4FB3-839A-D9B6421E5845}</author>
  </authors>
  <commentList>
    <comment ref="AP3" authorId="0" shapeId="0" xr:uid="{00000000-0006-0000-1800-000001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对于部分无租售比的租户，假设其运营情况处于平均水平</t>
        </r>
      </text>
    </comment>
    <comment ref="AR3" authorId="1" shapeId="0" xr:uid="{00000000-0006-0000-1800-000002000000}">
      <text>
        <r>
          <rPr>
            <b/>
            <sz val="9"/>
            <rFont val="宋体"/>
            <family val="3"/>
            <charset val="134"/>
          </rPr>
          <t>按目前时点合同约定的月租金单价填写</t>
        </r>
        <r>
          <rPr>
            <sz val="9"/>
            <rFont val="宋体"/>
            <family val="3"/>
            <charset val="134"/>
          </rPr>
          <t xml:space="preserve">
</t>
        </r>
      </text>
    </comment>
    <comment ref="BA3" authorId="1" shapeId="0" xr:uid="{00000000-0006-0000-1800-000003000000}">
      <text>
        <r>
          <rPr>
            <sz val="9"/>
            <rFont val="宋体"/>
            <family val="3"/>
            <charset val="134"/>
          </rPr>
          <t xml:space="preserve">
按目前时点合同约定的月物业费单价填写</t>
        </r>
      </text>
    </comment>
    <comment ref="BB3" authorId="1" shapeId="0" xr:uid="{00000000-0006-0000-1800-000004000000}">
      <text>
        <r>
          <rPr>
            <sz val="9"/>
            <rFont val="宋体"/>
            <family val="3"/>
            <charset val="134"/>
          </rPr>
          <t xml:space="preserve">
按目前时点合同约定的月物业费单价填写</t>
        </r>
      </text>
    </comment>
    <comment ref="BC3" authorId="1" shapeId="0" xr:uid="{00000000-0006-0000-1800-000005000000}">
      <text>
        <r>
          <rPr>
            <sz val="9"/>
            <rFont val="宋体"/>
            <family val="3"/>
            <charset val="134"/>
          </rPr>
          <t xml:space="preserve">
按目前时点合同约定的月物业费单价填写</t>
        </r>
      </text>
    </comment>
    <comment ref="BD3" authorId="1" shapeId="0" xr:uid="{00000000-0006-0000-1800-000006000000}">
      <text>
        <r>
          <rPr>
            <sz val="9"/>
            <rFont val="宋体"/>
            <family val="3"/>
            <charset val="134"/>
          </rPr>
          <t xml:space="preserve">
按目前时点合同约定的月物业费单价填写</t>
        </r>
      </text>
    </comment>
    <comment ref="BE3" authorId="1" shapeId="0" xr:uid="{00000000-0006-0000-1800-000007000000}">
      <text>
        <r>
          <rPr>
            <sz val="9"/>
            <rFont val="宋体"/>
            <family val="3"/>
            <charset val="134"/>
          </rPr>
          <t xml:space="preserve">
按目前时点合同约定的月物业费单价填写</t>
        </r>
      </text>
    </comment>
    <comment ref="P13" authorId="2" shapeId="0" xr:uid="{00000000-0006-0000-1800-000008000000}">
      <text>
        <r>
          <rPr>
            <b/>
            <sz val="9"/>
            <rFont val="Tahoma"/>
            <family val="2"/>
          </rPr>
          <t>Wu, Allie:</t>
        </r>
        <r>
          <rPr>
            <sz val="9"/>
            <rFont val="Tahoma"/>
            <family val="2"/>
          </rPr>
          <t xml:space="preserve">
(含抽成、物管费、推广费)</t>
        </r>
      </text>
    </comment>
    <comment ref="P15" authorId="2" shapeId="0" xr:uid="{00000000-0006-0000-1800-000009000000}">
      <text>
        <r>
          <rPr>
            <b/>
            <sz val="9"/>
            <rFont val="Tahoma"/>
            <family val="2"/>
          </rPr>
          <t>Wu, Allie:</t>
        </r>
        <r>
          <rPr>
            <sz val="9"/>
            <rFont val="Tahoma"/>
            <family val="2"/>
          </rPr>
          <t xml:space="preserve">
税后营业额150万以内（含150万），5%；150-250万（含250万），7%；250万-350万（含350万），8%；350万-450万（含450万），9%；大于450万，10%</t>
        </r>
      </text>
    </comment>
    <comment ref="P19" authorId="2" shapeId="0" xr:uid="{00000000-0006-0000-1800-00000A000000}">
      <text>
        <r>
          <rPr>
            <b/>
            <sz val="9"/>
            <rFont val="Tahoma"/>
            <family val="2"/>
          </rPr>
          <t>Wu, Allie:</t>
        </r>
        <r>
          <rPr>
            <sz val="9"/>
            <rFont val="Tahoma"/>
            <family val="2"/>
          </rPr>
          <t xml:space="preserve">
第一档：承租方商店的月营业额&lt;40万元，按7%提成；
第二档：承租方商店的月营业额≥40万元，按8%提成
</t>
        </r>
      </text>
    </comment>
    <comment ref="P41" authorId="2" shapeId="0" xr:uid="{00000000-0006-0000-1800-00000B000000}">
      <text>
        <r>
          <rPr>
            <b/>
            <sz val="9"/>
            <rFont val="Tahoma"/>
            <family val="2"/>
          </rPr>
          <t>Wu, Allie:</t>
        </r>
        <r>
          <rPr>
            <sz val="9"/>
            <rFont val="Tahoma"/>
            <family val="2"/>
          </rPr>
          <t xml:space="preserve">
14%，特价销售期间为7.5%</t>
        </r>
      </text>
    </comment>
    <comment ref="P44" authorId="2" shapeId="0" xr:uid="{00000000-0006-0000-1800-00000C000000}">
      <text>
        <r>
          <rPr>
            <b/>
            <sz val="9"/>
            <rFont val="Tahoma"/>
            <family val="2"/>
          </rPr>
          <t>Wu, Allie:</t>
        </r>
        <r>
          <rPr>
            <sz val="9"/>
            <rFont val="Tahoma"/>
            <family val="2"/>
          </rPr>
          <t xml:space="preserve">
手机类3%，配件类10%</t>
        </r>
      </text>
    </comment>
    <comment ref="P61" authorId="2" shapeId="0" xr:uid="{00000000-0006-0000-1800-00000D000000}">
      <text>
        <r>
          <rPr>
            <b/>
            <sz val="9"/>
            <rFont val="Tahoma"/>
            <family val="2"/>
          </rPr>
          <t>Wu, Allie:</t>
        </r>
        <r>
          <rPr>
            <sz val="9"/>
            <rFont val="Tahoma"/>
            <family val="2"/>
          </rPr>
          <t xml:space="preserve">
年营业额4800万元以下（含），15%；4800万元以上，6500万元以下（含），16%；6500万元以上，17%</t>
        </r>
      </text>
    </comment>
    <comment ref="C69" authorId="3" shapeId="0" xr:uid="{00000000-0006-0000-1800-00000E000000}">
      <text>
        <r>
          <rPr>
            <b/>
            <sz val="9"/>
            <rFont val="宋体"/>
            <family val="3"/>
            <charset val="134"/>
          </rPr>
          <t>Administrator:</t>
        </r>
        <r>
          <rPr>
            <sz val="9"/>
            <rFont val="宋体"/>
            <family val="3"/>
            <charset val="134"/>
          </rPr>
          <t xml:space="preserve">
新租户</t>
        </r>
      </text>
    </comment>
    <comment ref="C111" authorId="3" shapeId="0" xr:uid="{00000000-0006-0000-1800-00000F000000}">
      <text>
        <r>
          <rPr>
            <b/>
            <sz val="9"/>
            <rFont val="宋体"/>
            <family val="3"/>
            <charset val="134"/>
          </rPr>
          <t>Administrator:</t>
        </r>
        <r>
          <rPr>
            <sz val="9"/>
            <rFont val="宋体"/>
            <family val="3"/>
            <charset val="134"/>
          </rPr>
          <t xml:space="preserve">
新租户</t>
        </r>
      </text>
    </comment>
    <comment ref="BR117" authorId="4" shapeId="0" xr:uid="{00000000-0006-0000-1800-000010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117" authorId="5" shapeId="0" xr:uid="{00000000-0006-0000-1800-000011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117" authorId="6" shapeId="0" xr:uid="{00000000-0006-0000-1800-000012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117" authorId="7" shapeId="0" xr:uid="{00000000-0006-0000-1800-000013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P158" authorId="2" shapeId="0" xr:uid="{00000000-0006-0000-1800-000014000000}">
      <text>
        <r>
          <rPr>
            <b/>
            <sz val="9"/>
            <rFont val="Tahoma"/>
            <family val="2"/>
          </rPr>
          <t>Wu, Allie:</t>
        </r>
        <r>
          <rPr>
            <sz val="9"/>
            <rFont val="Tahoma"/>
            <family val="2"/>
          </rPr>
          <t xml:space="preserve">
年营业额小于等于800万，提成比例7%；大于800万小于等于1200万，提成比例8%；大于1200万，提成比例9%</t>
        </r>
      </text>
    </comment>
    <comment ref="C195" authorId="3" shapeId="0" xr:uid="{00000000-0006-0000-1800-000015000000}">
      <text>
        <r>
          <rPr>
            <b/>
            <sz val="9"/>
            <rFont val="宋体"/>
            <family val="3"/>
            <charset val="134"/>
          </rPr>
          <t>Administrator:</t>
        </r>
        <r>
          <rPr>
            <sz val="9"/>
            <rFont val="宋体"/>
            <family val="3"/>
            <charset val="134"/>
          </rPr>
          <t xml:space="preserve">
新租户</t>
        </r>
      </text>
    </comment>
    <comment ref="P200" authorId="2" shapeId="0" xr:uid="{00000000-0006-0000-1800-000016000000}">
      <text>
        <r>
          <rPr>
            <b/>
            <sz val="9"/>
            <rFont val="Tahoma"/>
            <family val="2"/>
          </rPr>
          <t>Wu, Allie:</t>
        </r>
        <r>
          <rPr>
            <sz val="9"/>
            <rFont val="Tahoma"/>
            <family val="2"/>
          </rPr>
          <t xml:space="preserve">
黄金类：4.00%；镶嵌/K金/铂金类产品：9.50%</t>
        </r>
      </text>
    </comment>
    <comment ref="P201" authorId="2" shapeId="0" xr:uid="{00000000-0006-0000-1800-000017000000}">
      <text>
        <r>
          <rPr>
            <b/>
            <sz val="9"/>
            <rFont val="Tahoma"/>
            <family val="2"/>
          </rPr>
          <t>Wu, Allie:</t>
        </r>
        <r>
          <rPr>
            <sz val="9"/>
            <rFont val="Tahoma"/>
            <family val="2"/>
          </rPr>
          <t xml:space="preserve">
14%，每年两季折扣季，五折至七折商品以当月含税销售额为计算基数：第四、五年扣点比例为：8%（含税）</t>
        </r>
      </text>
    </comment>
    <comment ref="P229" authorId="2" shapeId="0" xr:uid="{00000000-0006-0000-1800-000018000000}">
      <text>
        <r>
          <rPr>
            <b/>
            <sz val="9"/>
            <rFont val="Tahoma"/>
            <family val="2"/>
          </rPr>
          <t>Wu, Allie:</t>
        </r>
        <r>
          <rPr>
            <sz val="9"/>
            <rFont val="Tahoma"/>
            <family val="2"/>
          </rPr>
          <t xml:space="preserve">
每年营业额小于等于2亿的部分，3.5%；每年营业额2-3亿的部分，4%；每年营业额超过3亿的部分，5%。每月先按3.5%预付</t>
        </r>
      </text>
    </comment>
    <comment ref="P233" authorId="2" shapeId="0" xr:uid="{00000000-0006-0000-1800-000019000000}">
      <text>
        <r>
          <rPr>
            <b/>
            <sz val="9"/>
            <rFont val="Tahoma"/>
            <family val="2"/>
          </rPr>
          <t>Wu, Allie:</t>
        </r>
        <r>
          <rPr>
            <sz val="9"/>
            <rFont val="Tahoma"/>
            <family val="2"/>
          </rPr>
          <t xml:space="preserve">
IPHONE和IPAD 2%,其他 4%</t>
        </r>
      </text>
    </comment>
    <comment ref="C235" authorId="8" shapeId="0" xr:uid="{00000000-0006-0000-1800-00001A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2024年到期，无新租或续租信息，按照25年换租考虑</t>
        </r>
      </text>
    </comment>
    <comment ref="P252" authorId="2" shapeId="0" xr:uid="{00000000-0006-0000-1800-00001B000000}">
      <text>
        <r>
          <rPr>
            <b/>
            <sz val="9"/>
            <rFont val="Tahoma"/>
            <family val="2"/>
          </rPr>
          <t>Wu, Allie:</t>
        </r>
        <r>
          <rPr>
            <sz val="9"/>
            <rFont val="Tahoma"/>
            <family val="2"/>
          </rPr>
          <t xml:space="preserve">
提成租金根据超市税后销售额(此税后销售额不包含增值税销售额，不包括转租区销售额)收取，提成租金的计算包括基本租金，物业管理费及推广费之和打包计算。</t>
        </r>
      </text>
    </comment>
    <comment ref="P267" authorId="2" shapeId="0" xr:uid="{00000000-0006-0000-1800-00001C000000}">
      <text>
        <r>
          <rPr>
            <b/>
            <sz val="9"/>
            <rFont val="Tahoma"/>
            <family val="2"/>
          </rPr>
          <t>Wu, Allie:</t>
        </r>
        <r>
          <rPr>
            <sz val="9"/>
            <rFont val="Tahoma"/>
            <family val="2"/>
          </rPr>
          <t xml:space="preserve">
足金工艺品摆件类（即投资类金条）：1%；足金工艺品摆件类（即非投资类产品）：2%；黄金饰品类：3%；镶嵌/K金/大钻：10%。</t>
        </r>
      </text>
    </comment>
    <comment ref="P282" authorId="2" shapeId="0" xr:uid="{00000000-0006-0000-1800-00001D000000}">
      <text>
        <r>
          <rPr>
            <b/>
            <sz val="9"/>
            <rFont val="Tahoma"/>
            <family val="2"/>
          </rPr>
          <t>Wu, Allie:</t>
        </r>
        <r>
          <rPr>
            <sz val="9"/>
            <rFont val="Tahoma"/>
            <family val="2"/>
          </rPr>
          <t xml:space="preserve">
黄金：5%；其余：10%</t>
        </r>
      </text>
    </comment>
    <comment ref="P289" authorId="2" shapeId="0" xr:uid="{00000000-0006-0000-1800-00001E000000}">
      <text>
        <r>
          <rPr>
            <b/>
            <sz val="9"/>
            <rFont val="Tahoma"/>
            <family val="2"/>
          </rPr>
          <t>Wu, Allie:</t>
        </r>
        <r>
          <rPr>
            <sz val="9"/>
            <rFont val="Tahoma"/>
            <family val="2"/>
          </rPr>
          <t xml:space="preserve">
（每年12月-2月，10.97%）</t>
        </r>
      </text>
    </comment>
    <comment ref="P290" authorId="2" shapeId="0" xr:uid="{00000000-0006-0000-1800-00001F000000}">
      <text>
        <r>
          <rPr>
            <b/>
            <sz val="9"/>
            <rFont val="Tahoma"/>
            <family val="2"/>
          </rPr>
          <t>Wu, Allie:</t>
        </r>
        <r>
          <rPr>
            <sz val="9"/>
            <rFont val="Tahoma"/>
            <family val="2"/>
          </rPr>
          <t xml:space="preserve">
14.00%（每年12月-2月，10.97%）</t>
        </r>
      </text>
    </comment>
    <comment ref="P294" authorId="2" shapeId="0" xr:uid="{00000000-0006-0000-1800-000020000000}">
      <text>
        <r>
          <rPr>
            <b/>
            <sz val="9"/>
            <rFont val="Tahoma"/>
            <family val="2"/>
          </rPr>
          <t>Wu, Allie:</t>
        </r>
        <r>
          <rPr>
            <sz val="9"/>
            <rFont val="Tahoma"/>
            <family val="2"/>
          </rPr>
          <t xml:space="preserve">
第一个租赁年度至第十个租赁年度：
年营业额在600万元（含）以下，年租金为年营业额的7%；
年营业额超过600万元低于800万元（含）以下，年租金为年营业额的8%；
年营业额超过800万元低于1000万元（含）以下，年租金为年营业额的9%；
年营业额超过1000万元，年租金为年营业额的10%。
以上“年营业额”为该租赁年度的营业额，以上“年租金”为该租赁年度的营业额提成租金。   “营业额提成租金”指提成比例与任何租赁年度所取得的营业额的乘积。营业额提成租金只有在高于同期基本租金和物业管理费和市场推广费之和的情况下方应支付，支付营业额提成租金时应扣除已经支付的基本租金和物业管理费和市场推广费。
</t>
        </r>
      </text>
    </comment>
    <comment ref="P298" authorId="2" shapeId="0" xr:uid="{00000000-0006-0000-1800-000021000000}">
      <text>
        <r>
          <rPr>
            <b/>
            <sz val="9"/>
            <rFont val="Tahoma"/>
            <family val="2"/>
          </rPr>
          <t>Wu, Allie:</t>
        </r>
        <r>
          <rPr>
            <sz val="9"/>
            <rFont val="Tahoma"/>
            <family val="2"/>
          </rPr>
          <t xml:space="preserve">
月营业额高于月基本租金且低于人民币800,000元的部分：11%；月营业额高于人民币800,000元的部分：12%</t>
        </r>
      </text>
    </comment>
    <comment ref="P299" authorId="2" shapeId="0" xr:uid="{00000000-0006-0000-1800-000022000000}">
      <text>
        <r>
          <rPr>
            <b/>
            <sz val="9"/>
            <rFont val="Tahoma"/>
            <family val="2"/>
          </rPr>
          <t>Wu, Allie:</t>
        </r>
        <r>
          <rPr>
            <sz val="9"/>
            <rFont val="Tahoma"/>
            <family val="2"/>
          </rPr>
          <t xml:space="preserve">
黄金2%，K金铂金8%，镶嵌/翡翠玉石10%</t>
        </r>
      </text>
    </comment>
    <comment ref="P311" authorId="2" shapeId="0" xr:uid="{00000000-0006-0000-1800-000023000000}">
      <text>
        <r>
          <rPr>
            <b/>
            <sz val="9"/>
            <rFont val="Tahoma"/>
            <family val="2"/>
          </rPr>
          <t>Wu, Allie:</t>
        </r>
        <r>
          <rPr>
            <sz val="9"/>
            <rFont val="Tahoma"/>
            <family val="2"/>
          </rPr>
          <t xml:space="preserve">
堂食6.5%；外卖3%</t>
        </r>
      </text>
    </comment>
    <comment ref="P313" authorId="2" shapeId="0" xr:uid="{00000000-0006-0000-1800-000024000000}">
      <text>
        <r>
          <rPr>
            <b/>
            <sz val="9"/>
            <rFont val="Tahoma"/>
            <family val="2"/>
          </rPr>
          <t>Wu, Allie:</t>
        </r>
        <r>
          <rPr>
            <sz val="9"/>
            <rFont val="Tahoma"/>
            <family val="2"/>
          </rPr>
          <t xml:space="preserve">
年营业额小于等于800万，提成比例7%；大于800万小于等于1200万，提成比例8%；大于1200万，提成比例9%</t>
        </r>
      </text>
    </comment>
    <comment ref="P315" authorId="2" shapeId="0" xr:uid="{00000000-0006-0000-1800-000025000000}">
      <text>
        <r>
          <rPr>
            <b/>
            <sz val="9"/>
            <rFont val="Tahoma"/>
            <family val="2"/>
          </rPr>
          <t>Wu, Allie:</t>
        </r>
        <r>
          <rPr>
            <sz val="9"/>
            <rFont val="Tahoma"/>
            <family val="2"/>
          </rPr>
          <t xml:space="preserve">
贵金属4%，非贵金属12%</t>
        </r>
      </text>
    </comment>
    <comment ref="P320" authorId="2" shapeId="0" xr:uid="{00000000-0006-0000-1800-000026000000}">
      <text>
        <r>
          <rPr>
            <b/>
            <sz val="9"/>
            <rFont val="Tahoma"/>
            <family val="2"/>
          </rPr>
          <t>Wu, Allie:</t>
        </r>
        <r>
          <rPr>
            <sz val="9"/>
            <rFont val="Tahoma"/>
            <family val="2"/>
          </rPr>
          <t xml:space="preserve">
镶嵌、K金类产品4%；黄金、铂金类产品2%；配件类1%</t>
        </r>
      </text>
    </comment>
    <comment ref="P330" authorId="2" shapeId="0" xr:uid="{00000000-0006-0000-1800-000027000000}">
      <text>
        <r>
          <rPr>
            <b/>
            <sz val="9"/>
            <rFont val="Tahoma"/>
            <family val="2"/>
          </rPr>
          <t>Wu, Allie:</t>
        </r>
        <r>
          <rPr>
            <sz val="9"/>
            <rFont val="Tahoma"/>
            <family val="2"/>
          </rPr>
          <t xml:space="preserve">
黄金类饰品3%；镶嵌类饰品10%；K金类饰品5%；大钻类饰品5%</t>
        </r>
      </text>
    </comment>
    <comment ref="P335" authorId="2" shapeId="0" xr:uid="{00000000-0006-0000-1800-000028000000}">
      <text>
        <r>
          <rPr>
            <b/>
            <sz val="9"/>
            <rFont val="Tahoma"/>
            <family val="2"/>
          </rPr>
          <t>Wu, Allie:</t>
        </r>
        <r>
          <rPr>
            <sz val="9"/>
            <rFont val="Tahoma"/>
            <family val="2"/>
          </rPr>
          <t xml:space="preserve">
足金工艺品摆件类（即投资类金条）：1%；足金工艺品摆件类（即非投资类产品）：2%；黄金工艺品摆件类：2%；黄金饰品类：2%；足金饰品类：2%；K金、素铂金类：3%；钻石、翡翠、宝石、珍珠镶嵌类：5%。</t>
        </r>
      </text>
    </comment>
    <comment ref="P339" authorId="2" shapeId="0" xr:uid="{00000000-0006-0000-1800-000029000000}">
      <text>
        <r>
          <rPr>
            <b/>
            <sz val="9"/>
            <rFont val="Tahoma"/>
            <family val="2"/>
          </rPr>
          <t>Wu, Allie:</t>
        </r>
        <r>
          <rPr>
            <sz val="9"/>
            <rFont val="Tahoma"/>
            <family val="2"/>
          </rPr>
          <t xml:space="preserve">
黄金类产品：4.00%；镶嵌、K金、铂金类产品：10.00%</t>
        </r>
      </text>
    </comment>
    <comment ref="P341" authorId="2" shapeId="0" xr:uid="{00000000-0006-0000-1800-00002A000000}">
      <text>
        <r>
          <rPr>
            <b/>
            <sz val="9"/>
            <rFont val="Tahoma"/>
            <family val="2"/>
          </rPr>
          <t>Wu, Allie:</t>
        </r>
        <r>
          <rPr>
            <sz val="9"/>
            <rFont val="Tahoma"/>
            <family val="2"/>
          </rPr>
          <t xml:space="preserve">
（每年5月1日至8月31日：9%）</t>
        </r>
      </text>
    </comment>
    <comment ref="P345" authorId="2" shapeId="0" xr:uid="{00000000-0006-0000-1800-00002B000000}">
      <text>
        <r>
          <rPr>
            <b/>
            <sz val="9"/>
            <rFont val="Tahoma"/>
            <family val="2"/>
          </rPr>
          <t>Wu, Allie:</t>
        </r>
        <r>
          <rPr>
            <sz val="9"/>
            <rFont val="Tahoma"/>
            <family val="2"/>
          </rPr>
          <t xml:space="preserve">
足金工艺品摆件类（即投资类金条）：1%；足金工艺品摆件类（即非投资类产品）：2%；黄金工艺品摆件类：2%；黄金饰品类：2%；足金饰品类：2%；K金、素铂金类：3%；钻石、翡翠、宝石、珍珠镶嵌类：5%。</t>
        </r>
      </text>
    </comment>
    <comment ref="C379" authorId="9" shapeId="0" xr:uid="{00000000-0006-0000-1800-00002C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2024年到期，无新租或续租信息，按照25年换租考虑</t>
        </r>
      </text>
    </comment>
    <comment ref="BR379" authorId="10" shapeId="0" xr:uid="{00000000-0006-0000-1800-00002D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379" authorId="11" shapeId="0" xr:uid="{00000000-0006-0000-1800-00002E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379" authorId="12" shapeId="0" xr:uid="{00000000-0006-0000-1800-00002F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379" authorId="13" shapeId="0" xr:uid="{00000000-0006-0000-1800-000030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R421" authorId="14" shapeId="0" xr:uid="{00000000-0006-0000-1800-000031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421" authorId="15" shapeId="0" xr:uid="{00000000-0006-0000-1800-000032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421" authorId="16" shapeId="0" xr:uid="{00000000-0006-0000-1800-000033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421" authorId="17" shapeId="0" xr:uid="{00000000-0006-0000-1800-000034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<sst xmlns="http://schemas.openxmlformats.org/spreadsheetml/2006/main" count="11285" uniqueCount="3846">
  <si>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</si>
  <si>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</si>
  <si>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</si>
  <si>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</si>
  <si>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</si>
  <si>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</si>
  <si>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</si>
  <si>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</si>
  <si>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</si>
  <si>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</si>
  <si>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</si>
  <si>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</si>
  <si>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</si>
  <si>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</si>
  <si>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</si>
  <si>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</si>
  <si>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</si>
  <si>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</si>
  <si>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</si>
  <si>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</si>
  <si>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</si>
  <si>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</si>
  <si>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</si>
  <si>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</si>
  <si>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</si>
  <si>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</si>
  <si>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</si>
  <si>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</si>
  <si>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</si>
  <si>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</si>
  <si>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</si>
  <si>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</si>
  <si>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</si>
  <si>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</si>
  <si>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</si>
  <si>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</si>
  <si>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</si>
  <si>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</si>
  <si>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</si>
  <si>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</si>
  <si>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</si>
  <si>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</si>
  <si>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</si>
  <si>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</si>
  <si>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</si>
  <si>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</si>
  <si>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</si>
  <si>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</si>
  <si>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</si>
  <si>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</si>
  <si>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</si>
  <si>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</si>
  <si>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</si>
  <si>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</si>
  <si>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</si>
  <si>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</si>
  <si>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</si>
  <si>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</si>
  <si>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</si>
  <si>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</si>
  <si>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</si>
  <si>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</si>
  <si>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</si>
  <si>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</si>
  <si>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</si>
  <si>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</si>
  <si>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</si>
  <si>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</si>
  <si>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</si>
  <si>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</si>
  <si>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</si>
  <si>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</si>
  <si>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</si>
  <si>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</si>
  <si>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</si>
  <si>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</si>
  <si>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</si>
  <si>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</si>
  <si>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</si>
  <si>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</si>
  <si>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</si>
  <si>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</si>
  <si>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</si>
  <si>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</si>
  <si>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</si>
  <si>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</si>
  <si>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</si>
  <si>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</si>
  <si>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</si>
  <si>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</si>
  <si>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</si>
  <si>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</si>
  <si>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</si>
  <si>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</si>
  <si>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</si>
  <si>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</si>
  <si>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</si>
  <si>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</si>
  <si>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</si>
  <si>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</si>
  <si>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</si>
  <si>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</si>
  <si>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</si>
  <si>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</si>
  <si>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</si>
  <si>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</si>
  <si>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</si>
  <si>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</si>
  <si>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</si>
  <si>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</si>
  <si>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</si>
  <si>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</si>
  <si>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</si>
  <si>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</si>
  <si>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</si>
  <si>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</si>
  <si>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</si>
  <si>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</si>
  <si>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</si>
  <si>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</si>
  <si>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</si>
  <si>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</si>
  <si>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</si>
  <si>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</si>
  <si>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</si>
  <si>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</si>
  <si>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</si>
  <si>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</si>
  <si>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</si>
  <si>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</si>
  <si>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</si>
  <si>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</si>
  <si>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</si>
  <si>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</si>
  <si>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</si>
  <si>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</si>
  <si>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</si>
  <si>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</si>
  <si>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</si>
  <si>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</si>
  <si>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</si>
  <si>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</si>
  <si>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</si>
  <si>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</si>
  <si>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</si>
  <si>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</si>
  <si>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</si>
  <si>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</si>
  <si>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</si>
  <si>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</si>
  <si>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</si>
  <si>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</si>
  <si>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</si>
  <si>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</si>
  <si>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</si>
  <si>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</si>
  <si>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</si>
  <si>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</si>
  <si>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</si>
  <si>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</si>
  <si>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</si>
  <si>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</si>
  <si>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</si>
  <si>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</si>
  <si>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</si>
  <si>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</si>
  <si>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</si>
  <si>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</si>
  <si>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</si>
  <si>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</si>
  <si>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</si>
  <si>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</si>
  <si>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</si>
  <si>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</si>
  <si>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</si>
  <si>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</si>
  <si>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</si>
  <si>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</si>
  <si>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</si>
  <si>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</si>
  <si>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</si>
  <si>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</si>
  <si>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</si>
  <si>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</si>
  <si>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</si>
  <si>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</si>
  <si>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</si>
  <si>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</si>
  <si>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</si>
  <si>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</si>
  <si>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</si>
  <si>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</si>
  <si>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</si>
  <si>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</si>
  <si>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</si>
  <si>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</si>
  <si>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</si>
  <si>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</si>
  <si>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</si>
  <si>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</si>
  <si>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</si>
  <si>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</si>
  <si>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</si>
  <si>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</si>
  <si>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</si>
  <si>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</si>
  <si>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</si>
  <si>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</si>
  <si>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</si>
  <si>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</si>
  <si>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</si>
  <si>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</si>
  <si>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</si>
  <si>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</si>
  <si>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</si>
  <si>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</si>
  <si>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</si>
  <si>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</si>
  <si>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</si>
  <si>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</si>
  <si>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</si>
  <si>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</si>
  <si>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</si>
  <si>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</si>
  <si>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</si>
  <si>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</si>
  <si>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</si>
  <si>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</si>
  <si>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</si>
  <si>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</si>
  <si>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</si>
  <si>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</si>
  <si>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</si>
  <si>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</si>
  <si>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</si>
  <si>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</si>
  <si>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</si>
  <si>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</si>
  <si>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</si>
  <si>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</si>
  <si>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</si>
  <si>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</si>
  <si>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</si>
  <si>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</si>
  <si>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</si>
  <si>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</si>
  <si>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</si>
  <si>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</si>
  <si>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</si>
  <si>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</si>
  <si>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</si>
  <si>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</si>
  <si>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</si>
  <si>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</si>
  <si>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</si>
  <si>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</si>
  <si>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</si>
  <si>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</si>
  <si>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</si>
  <si>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</si>
  <si>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</si>
  <si>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</si>
  <si>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</si>
  <si>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</si>
  <si>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</si>
  <si>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</si>
  <si>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</si>
  <si>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</si>
  <si>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</si>
  <si>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</si>
  <si>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</si>
  <si>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</si>
  <si>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</si>
  <si>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</si>
  <si>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</si>
  <si>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</si>
  <si>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</si>
  <si>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</si>
  <si>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</si>
  <si>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</si>
  <si>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</si>
  <si>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</si>
  <si>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</si>
  <si>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</si>
  <si>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</si>
  <si>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</si>
  <si>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</si>
  <si>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</si>
  <si>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</si>
  <si>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</si>
  <si>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</si>
  <si>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</si>
  <si>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</si>
  <si>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</si>
  <si>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</si>
  <si>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</si>
  <si>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</si>
  <si>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</si>
  <si>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</si>
  <si>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</si>
  <si>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</si>
  <si>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</si>
  <si>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</si>
  <si>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</si>
  <si>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</si>
  <si>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</si>
  <si>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</si>
  <si>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</si>
  <si>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</si>
  <si>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</si>
  <si>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</si>
  <si>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</si>
  <si>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</si>
  <si>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</si>
  <si>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</si>
  <si>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</si>
  <si>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</si>
  <si>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</si>
  <si>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</si>
  <si>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</si>
  <si>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</si>
  <si>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</si>
  <si>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</si>
  <si>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</si>
  <si>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</si>
  <si>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</si>
  <si>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</si>
  <si>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</si>
  <si>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</si>
  <si>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</si>
  <si>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</si>
  <si>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</si>
  <si>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</si>
  <si>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</si>
  <si>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</si>
  <si>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</si>
  <si>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</si>
  <si>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</si>
  <si>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</si>
  <si>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</si>
  <si>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</si>
  <si>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</si>
  <si>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</si>
  <si>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</si>
  <si>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</si>
  <si>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</si>
  <si>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</si>
  <si>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</si>
  <si>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</si>
  <si>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</si>
  <si>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</si>
  <si>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</si>
  <si>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</si>
  <si>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</si>
  <si>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</si>
  <si>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</si>
  <si>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</si>
  <si>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</si>
  <si>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</si>
  <si>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</si>
  <si>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</si>
  <si>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</si>
  <si>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</si>
  <si>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</si>
  <si>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</si>
  <si>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</si>
  <si>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</si>
  <si>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</si>
  <si>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</si>
  <si>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</si>
  <si>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</si>
  <si>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</si>
  <si>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</si>
  <si>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</si>
  <si>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</si>
  <si>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</si>
  <si>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</si>
  <si>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</si>
  <si>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</si>
  <si>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</si>
  <si>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</si>
  <si>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</si>
  <si>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</si>
  <si>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</si>
  <si>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</si>
  <si>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</si>
  <si>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</si>
  <si>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</si>
  <si>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</si>
  <si>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</si>
  <si>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</si>
  <si>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</si>
  <si>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</si>
  <si>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</si>
  <si>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</si>
  <si>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</si>
  <si>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</si>
  <si>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</si>
  <si>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</si>
  <si>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</si>
  <si>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</si>
  <si>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</si>
  <si>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</si>
  <si>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</si>
  <si>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</si>
  <si>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</si>
  <si>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</si>
  <si>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</si>
  <si>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</si>
  <si>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</si>
  <si>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</si>
  <si>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</si>
  <si>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</si>
  <si>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</si>
  <si>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</si>
  <si>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</si>
  <si>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</si>
  <si>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</si>
  <si>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</si>
  <si>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</si>
  <si>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</si>
  <si>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</si>
  <si>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</si>
  <si>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</si>
  <si>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</si>
  <si>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</si>
  <si>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</si>
  <si>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</si>
  <si>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</si>
  <si>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</si>
  <si>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</si>
  <si>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</si>
  <si>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</si>
  <si>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</si>
  <si>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</si>
  <si>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</si>
  <si>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</si>
  <si>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</si>
  <si>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</si>
  <si>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</si>
  <si>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</si>
  <si>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</si>
  <si>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</si>
  <si>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</si>
  <si>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</si>
  <si>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</si>
  <si>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</si>
  <si>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</si>
  <si>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</si>
  <si>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</si>
  <si>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</si>
  <si>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</si>
  <si>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</si>
  <si>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</si>
  <si>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</si>
  <si>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</si>
  <si>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</si>
  <si>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</si>
  <si>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</si>
  <si>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</si>
  <si>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</si>
  <si>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</si>
  <si>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</si>
  <si>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</si>
  <si>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</si>
  <si>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</si>
  <si>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</si>
  <si>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</si>
  <si>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</si>
  <si>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</si>
  <si>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</si>
  <si>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</si>
  <si>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</si>
  <si>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</si>
  <si>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</si>
  <si>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</si>
  <si>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</si>
  <si>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</si>
  <si>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</si>
  <si>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</si>
  <si>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</si>
  <si>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</si>
  <si>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</si>
  <si>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</si>
  <si>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</si>
  <si>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</si>
  <si>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</si>
  <si>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</si>
  <si>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</si>
  <si>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</si>
  <si>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</si>
  <si>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</si>
  <si>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</si>
  <si>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</si>
  <si>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</si>
  <si>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</si>
  <si>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</si>
  <si>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</si>
  <si>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</si>
  <si>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</si>
  <si>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</si>
  <si>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</si>
  <si>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</si>
  <si>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</si>
  <si>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</si>
  <si>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</si>
  <si>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</si>
  <si>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</si>
  <si>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</si>
  <si>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</si>
  <si>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</si>
  <si>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</si>
  <si>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</si>
  <si>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</si>
  <si>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</si>
  <si>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</si>
  <si>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</si>
  <si>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</si>
  <si>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</si>
  <si>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</si>
  <si>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</si>
  <si>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</si>
  <si>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</si>
  <si>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</si>
  <si>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</si>
  <si>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</si>
  <si>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</si>
  <si>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</si>
  <si>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</si>
  <si>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</si>
  <si>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</si>
  <si>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</si>
  <si>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</si>
  <si>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</si>
  <si>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</si>
  <si>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</si>
  <si>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</si>
  <si>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</si>
  <si>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</si>
  <si>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</si>
  <si>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</si>
  <si>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</si>
  <si>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</si>
  <si>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</si>
  <si>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</si>
  <si>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</si>
  <si>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</si>
  <si>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</si>
  <si>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</si>
  <si>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</si>
  <si>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</si>
  <si>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</si>
  <si>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</si>
  <si>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</si>
  <si>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</si>
  <si>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</si>
  <si>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</si>
  <si>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</si>
  <si>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</si>
  <si>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</si>
  <si>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</si>
  <si>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</si>
  <si>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</si>
  <si>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</si>
  <si>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</si>
  <si>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</si>
  <si>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</si>
  <si>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</si>
  <si>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</si>
  <si>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rgb="FF000000"/>
        <rFont val="宋体"/>
        <family val="3"/>
        <charset val="134"/>
      </rPr>
      <t>号楼</t>
    </r>
  </si>
  <si>
    <t>是</t>
  </si>
  <si>
    <r>
      <rPr>
        <sz val="10"/>
        <color indexed="8"/>
        <rFont val="Arial"/>
        <family val="2"/>
      </rPr>
      <t>2</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</si>
  <si>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</si>
  <si>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</si>
  <si>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</si>
  <si>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</si>
  <si>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</si>
  <si>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</si>
  <si>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</si>
  <si>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</si>
  <si>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</si>
  <si>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</si>
  <si>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</si>
  <si>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</si>
  <si>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</si>
  <si>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</si>
  <si>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</si>
  <si>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</si>
  <si>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</si>
  <si>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</si>
  <si>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</si>
  <si>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</si>
  <si>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</si>
  <si>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</si>
  <si>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</si>
  <si>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</si>
  <si>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</si>
  <si>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</si>
  <si>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</si>
  <si>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</si>
  <si>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</si>
  <si>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</si>
  <si>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</si>
  <si>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</si>
  <si>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</si>
  <si>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</si>
  <si>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</si>
  <si>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</si>
  <si>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</si>
  <si>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</si>
  <si>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</si>
  <si>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</si>
  <si>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</si>
  <si>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</si>
  <si>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</si>
  <si>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荟聚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</si>
  <si>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</si>
  <si>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</si>
  <si>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</si>
  <si>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</si>
  <si>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</si>
  <si>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</si>
  <si>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</si>
  <si>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</si>
  <si>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</si>
  <si>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</si>
  <si>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</si>
  <si>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</si>
  <si>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</si>
  <si>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</si>
  <si>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</si>
  <si>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</si>
  <si>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</si>
  <si>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</si>
  <si>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</si>
  <si>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</si>
  <si>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</si>
  <si>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</si>
  <si>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</si>
  <si>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</si>
  <si>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</si>
  <si>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</si>
  <si>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</si>
  <si>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</si>
  <si>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</si>
  <si>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</si>
  <si>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</si>
  <si>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</si>
  <si>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</si>
  <si>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</si>
  <si>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</si>
  <si>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</si>
  <si>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</si>
  <si>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</si>
  <si>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</si>
  <si>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</si>
  <si>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</si>
  <si>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</si>
  <si>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</si>
  <si>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</si>
  <si>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</si>
  <si>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</si>
  <si>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</si>
  <si>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</si>
  <si>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</si>
  <si>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</si>
  <si>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</si>
  <si>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</si>
  <si>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</si>
  <si>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</si>
  <si>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</si>
  <si>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</si>
  <si>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</si>
  <si>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</si>
  <si>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</si>
  <si>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</si>
  <si>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</si>
  <si>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</si>
  <si>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</si>
  <si>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</si>
  <si>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</si>
  <si>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</si>
  <si>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</si>
  <si>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</si>
  <si>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</si>
  <si>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</si>
  <si>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</si>
  <si>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</si>
  <si>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</si>
  <si>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</si>
  <si>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</si>
  <si>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</si>
  <si>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</si>
  <si>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</si>
  <si>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</si>
  <si>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</si>
  <si>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</si>
  <si>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</si>
  <si>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</si>
  <si>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</si>
  <si>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</si>
  <si>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</si>
  <si>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</si>
  <si>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</si>
  <si>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</si>
  <si>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</si>
  <si>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</si>
  <si>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</si>
  <si>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</si>
  <si>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</si>
  <si>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</si>
  <si>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</si>
  <si>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</si>
  <si>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</si>
  <si>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</si>
  <si>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</si>
  <si>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</si>
  <si>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</si>
  <si>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</si>
  <si>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</si>
  <si>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</si>
  <si>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</si>
  <si>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</si>
  <si>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</si>
  <si>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</si>
  <si>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</si>
  <si>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</si>
  <si>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</si>
  <si>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</si>
  <si>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</si>
  <si>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</si>
  <si>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</si>
  <si>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</si>
  <si>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建筑面积</t>
  </si>
  <si>
    <t>层高</t>
  </si>
  <si>
    <t>主体建安</t>
  </si>
  <si>
    <t>竣工</t>
  </si>
  <si>
    <t>1层</t>
  </si>
  <si>
    <t>1号楼</t>
  </si>
  <si>
    <t>2层</t>
  </si>
  <si>
    <t>2号楼</t>
  </si>
  <si>
    <t>3层</t>
  </si>
  <si>
    <t>4层</t>
  </si>
  <si>
    <t>地下1层</t>
  </si>
  <si>
    <t>地下2层</t>
  </si>
  <si>
    <t>地下3层</t>
  </si>
  <si>
    <t>地上夹层</t>
  </si>
  <si>
    <t>附属用房1</t>
  </si>
  <si>
    <t>附属用房</t>
  </si>
  <si>
    <t>附属用房2</t>
  </si>
  <si>
    <t>产证面积</t>
  </si>
  <si>
    <t>放在设备里了</t>
  </si>
  <si>
    <t>外部</t>
  </si>
  <si>
    <t>成新</t>
  </si>
  <si>
    <t>1号楼直线</t>
  </si>
  <si>
    <t>2号楼直线</t>
  </si>
  <si>
    <t>综合直线</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</si>
  <si>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</si>
  <si>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</si>
  <si>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</si>
  <si>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</si>
  <si>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</si>
  <si>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</si>
  <si>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</si>
  <si>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</si>
  <si>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</si>
  <si>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</si>
  <si>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</si>
  <si>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</si>
  <si>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</si>
  <si>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</si>
  <si>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</si>
  <si>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</si>
  <si>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</si>
  <si>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</si>
  <si>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</si>
  <si>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</si>
  <si>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</si>
  <si>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</si>
  <si>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</si>
  <si>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</si>
  <si>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</si>
  <si>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</si>
  <si>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</si>
  <si>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</si>
  <si>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</si>
  <si>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</si>
  <si>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</si>
  <si>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</si>
  <si>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</si>
  <si>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</si>
  <si>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</si>
  <si>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</si>
  <si>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</si>
  <si>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</si>
  <si>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</si>
  <si>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</si>
  <si>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</si>
  <si>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</si>
  <si>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</si>
  <si>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</si>
  <si>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</si>
  <si>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</si>
  <si>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</si>
  <si>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</si>
  <si>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</si>
  <si>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</si>
  <si>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</si>
  <si>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</si>
  <si>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</si>
  <si>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</si>
  <si>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</si>
  <si>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</si>
  <si>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</si>
  <si>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</si>
  <si>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</si>
  <si>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</si>
  <si>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</si>
  <si>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</si>
  <si>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</si>
  <si>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</si>
  <si>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</si>
  <si>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</si>
  <si>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</si>
  <si>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</si>
  <si>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</si>
  <si>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</si>
  <si>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</si>
  <si>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</si>
  <si>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</si>
  <si>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</si>
  <si>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</si>
  <si>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</si>
  <si>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</si>
  <si>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</si>
  <si>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</si>
  <si>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</si>
  <si>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</si>
  <si>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</si>
  <si>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</si>
  <si>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</si>
  <si>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</si>
  <si>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</si>
  <si>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</si>
  <si>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</si>
  <si>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</si>
  <si>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</si>
  <si>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</si>
  <si>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</si>
  <si>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</si>
  <si>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</si>
  <si>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</si>
  <si>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</si>
  <si>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</si>
  <si>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</si>
  <si>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</si>
  <si>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</si>
  <si>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</si>
  <si>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</si>
  <si>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</si>
  <si>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</si>
  <si>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</si>
  <si>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</si>
  <si>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</si>
  <si>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</si>
  <si>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</si>
  <si>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</si>
  <si>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</si>
  <si>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</si>
  <si>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</si>
  <si>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</si>
  <si>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</si>
  <si>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</si>
  <si>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</si>
  <si>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</si>
  <si>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</si>
  <si>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</si>
  <si>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</si>
  <si>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</si>
  <si>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</si>
  <si>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</si>
  <si>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</si>
  <si>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</si>
  <si>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</si>
  <si>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</si>
  <si>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</si>
  <si>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</si>
  <si>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</si>
  <si>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</si>
  <si>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</si>
  <si>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</si>
  <si>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</si>
  <si>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</si>
  <si>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</si>
  <si>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</si>
  <si>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</si>
  <si>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</si>
  <si>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</si>
  <si>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</si>
  <si>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</si>
  <si>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</si>
  <si>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</si>
  <si>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</si>
  <si>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</si>
  <si>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</si>
  <si>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</si>
  <si>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</si>
  <si>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</si>
  <si>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</si>
  <si>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</si>
  <si>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</si>
  <si>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</si>
  <si>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</si>
  <si>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</si>
  <si>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</si>
  <si>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</si>
  <si>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</si>
  <si>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</si>
  <si>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</si>
  <si>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</si>
  <si>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</si>
  <si>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</si>
  <si>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</si>
  <si>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</si>
  <si>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</si>
  <si>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</si>
  <si>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</si>
  <si>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</si>
  <si>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</si>
  <si>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</si>
  <si>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</si>
  <si>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</si>
  <si>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</si>
  <si>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</si>
  <si>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</si>
  <si>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</si>
  <si>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</si>
  <si>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</si>
  <si>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</si>
  <si>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</si>
  <si>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</si>
  <si>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</si>
  <si>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</si>
  <si>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</si>
  <si>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</si>
  <si>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</si>
  <si>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</si>
  <si>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</si>
  <si>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</si>
  <si>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</si>
  <si>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</si>
  <si>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</si>
  <si>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</si>
  <si>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</si>
  <si>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</si>
  <si>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</si>
  <si>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</si>
  <si>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</si>
  <si>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</si>
  <si>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</si>
  <si>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</si>
  <si>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</si>
  <si>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</si>
  <si>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</si>
  <si>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</si>
  <si>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</si>
  <si>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</si>
  <si>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</si>
  <si>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</si>
  <si>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</si>
  <si>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</si>
  <si>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</si>
  <si>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</si>
  <si>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</si>
  <si>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</si>
  <si>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</si>
  <si>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</si>
  <si>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</si>
  <si>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</si>
  <si>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</si>
  <si>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</si>
  <si>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</si>
  <si>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</si>
  <si>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</si>
  <si>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</si>
  <si>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</si>
  <si>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</si>
  <si>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</si>
  <si>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</si>
  <si>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</si>
  <si>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</si>
  <si>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</si>
  <si>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</si>
  <si>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</si>
  <si>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</si>
  <si>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</si>
  <si>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</si>
  <si>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</si>
  <si>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</si>
  <si>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</si>
  <si>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</si>
  <si>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</si>
  <si>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</si>
  <si>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</si>
  <si>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</si>
  <si>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</si>
  <si>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</si>
  <si>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</si>
  <si>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</si>
  <si>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</si>
  <si>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</si>
  <si>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</si>
  <si>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</si>
  <si>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</si>
  <si>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</si>
  <si>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</si>
  <si>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</si>
  <si>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</si>
  <si>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</si>
  <si>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</si>
  <si>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</si>
  <si>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</si>
  <si>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</si>
  <si>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</si>
  <si>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</si>
  <si>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</si>
  <si>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</si>
  <si>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</si>
  <si>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</si>
  <si>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</si>
  <si>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</si>
  <si>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</si>
  <si>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</si>
  <si>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</si>
  <si>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</si>
  <si>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</si>
  <si>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</si>
  <si>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</si>
  <si>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</si>
  <si>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</si>
  <si>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</si>
  <si>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</si>
  <si>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</si>
  <si>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</si>
  <si>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</si>
  <si>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</si>
  <si>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</si>
  <si>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</si>
  <si>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</si>
  <si>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</si>
  <si>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</si>
  <si>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</si>
  <si>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</si>
  <si>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</si>
  <si>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</si>
  <si>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</si>
  <si>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</si>
  <si>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</si>
  <si>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</si>
  <si>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</si>
  <si>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</si>
  <si>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</si>
  <si>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</si>
  <si>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</si>
  <si>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</si>
  <si>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</si>
  <si>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</si>
  <si>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</si>
  <si>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</si>
  <si>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</si>
  <si>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</si>
  <si>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</si>
  <si>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</si>
  <si>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</si>
  <si>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</si>
  <si>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</si>
  <si>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</si>
  <si>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</si>
  <si>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</si>
  <si>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</si>
  <si>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</si>
  <si>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</si>
  <si>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</si>
  <si>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</si>
  <si>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</si>
  <si>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</si>
  <si>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</si>
  <si>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</si>
  <si>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</si>
  <si>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</si>
  <si>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</si>
  <si>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</si>
  <si>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</si>
  <si>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</si>
  <si>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</si>
  <si>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</si>
  <si>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</si>
  <si>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</si>
  <si>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</si>
  <si>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</si>
  <si>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</si>
  <si>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</si>
  <si>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</si>
  <si>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</si>
  <si>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</si>
  <si>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</si>
  <si>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</si>
  <si>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</si>
  <si>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</si>
  <si>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</si>
  <si>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</si>
  <si>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</si>
  <si>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</si>
  <si>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</si>
  <si>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</si>
  <si>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</si>
  <si>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</si>
  <si>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</si>
  <si>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</si>
  <si>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</si>
  <si>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</si>
  <si>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</si>
  <si>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</si>
  <si>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</si>
  <si>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</si>
  <si>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</si>
  <si>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</si>
  <si>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</si>
  <si>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</si>
  <si>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</si>
  <si>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</si>
  <si>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</si>
  <si>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</si>
  <si>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</si>
  <si>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</si>
  <si>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</si>
  <si>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</si>
  <si>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</si>
  <si>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</si>
  <si>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</si>
  <si>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</si>
  <si>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</si>
  <si>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</si>
  <si>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</si>
  <si>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</si>
  <si>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</si>
  <si>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</si>
  <si>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</si>
  <si>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</si>
  <si>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</si>
  <si>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</si>
  <si>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</si>
  <si>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</si>
  <si>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</si>
  <si>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</si>
  <si>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</si>
  <si>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</si>
  <si>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</si>
  <si>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</si>
  <si>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</si>
  <si>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</si>
  <si>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</si>
  <si>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</si>
  <si>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</si>
  <si>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</si>
  <si>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</si>
  <si>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</si>
  <si>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</si>
  <si>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</si>
  <si>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</si>
  <si>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</si>
  <si>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</si>
  <si>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</si>
  <si>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</si>
  <si>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</si>
  <si>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</si>
  <si>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</si>
  <si>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</si>
  <si>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</si>
  <si>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</si>
  <si>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</si>
  <si>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</si>
  <si>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</si>
  <si>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</si>
  <si>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</si>
  <si>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</si>
  <si>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</si>
  <si>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</si>
  <si>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</si>
  <si>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</si>
  <si>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</si>
  <si>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</si>
  <si>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</si>
  <si>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</si>
  <si>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</si>
  <si>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</si>
  <si>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</si>
  <si>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</si>
  <si>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</si>
  <si>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</si>
  <si>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</si>
  <si>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</si>
  <si>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</si>
  <si>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</si>
  <si>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</si>
  <si>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</si>
  <si>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</si>
  <si>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</si>
  <si>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</si>
  <si>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</si>
  <si>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</si>
  <si>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</si>
  <si>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</si>
  <si>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</si>
  <si>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</si>
  <si>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</si>
  <si>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</si>
  <si>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</si>
  <si>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</si>
  <si>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</si>
  <si>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</si>
  <si>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</si>
  <si>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</si>
  <si>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</si>
  <si>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</si>
  <si>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</si>
  <si>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</si>
  <si>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</si>
  <si>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</si>
  <si>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</si>
  <si>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</si>
  <si>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</si>
  <si>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</si>
  <si>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</si>
  <si>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</si>
  <si>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</si>
  <si>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</si>
  <si>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</si>
  <si>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</si>
  <si>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</si>
  <si>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</si>
  <si>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</si>
  <si>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</si>
  <si>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</si>
  <si>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</si>
  <si>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</si>
  <si>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</si>
  <si>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</si>
  <si>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</si>
  <si>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</si>
  <si>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</si>
  <si>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</si>
  <si>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</si>
  <si>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</si>
  <si>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</si>
  <si>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</si>
  <si>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</si>
  <si>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</si>
  <si>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</si>
  <si>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</si>
  <si>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</si>
  <si>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</si>
  <si>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</si>
  <si>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</si>
  <si>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</si>
  <si>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</si>
  <si>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</si>
  <si>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</si>
  <si>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</si>
  <si>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</si>
  <si>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</si>
  <si>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</si>
  <si>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</si>
  <si>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</si>
  <si>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</si>
  <si>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</si>
  <si>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</si>
  <si>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</si>
  <si>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</si>
  <si>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</si>
  <si>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</si>
  <si>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</si>
  <si>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</si>
  <si>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</si>
  <si>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</si>
  <si>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</si>
  <si>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</si>
  <si>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</si>
  <si>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</si>
  <si>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</si>
  <si>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</si>
  <si>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</si>
  <si>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</si>
  <si>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</si>
  <si>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</si>
  <si>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</si>
  <si>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</si>
  <si>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</si>
  <si>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</si>
  <si>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</si>
  <si>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</si>
  <si>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</si>
  <si>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</si>
  <si>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</si>
  <si>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</si>
  <si>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</si>
  <si>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</si>
  <si>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</si>
  <si>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</si>
  <si>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</si>
  <si>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</si>
  <si>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</si>
  <si>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</si>
  <si>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</si>
  <si>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</si>
  <si>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</si>
  <si>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</si>
  <si>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</si>
  <si>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</si>
  <si>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</si>
  <si>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</si>
  <si>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</si>
  <si>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</si>
  <si>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</si>
  <si>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</si>
  <si>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</si>
  <si>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</si>
  <si>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</si>
  <si>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</si>
  <si>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</si>
  <si>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</si>
  <si>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</si>
  <si>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</si>
  <si>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</si>
  <si>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</si>
  <si>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</si>
  <si>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</si>
  <si>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</si>
  <si>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</si>
  <si>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</si>
  <si>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</si>
  <si>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</si>
  <si>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</si>
  <si>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</si>
  <si>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</si>
  <si>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</si>
  <si>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</si>
  <si>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</si>
  <si>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</si>
  <si>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</si>
  <si>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</si>
  <si>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</si>
  <si>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</si>
  <si>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</si>
  <si>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</si>
  <si>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</si>
  <si>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</si>
  <si>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</si>
  <si>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</si>
  <si>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</si>
  <si>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</si>
  <si>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</si>
  <si>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</si>
  <si>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</si>
  <si>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</si>
  <si>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</si>
  <si>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</si>
  <si>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</si>
  <si>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</si>
  <si>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</si>
  <si>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</si>
  <si>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</si>
  <si>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</si>
  <si>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</si>
  <si>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</si>
  <si>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</si>
  <si>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</si>
  <si>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</si>
  <si>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</si>
  <si>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</si>
  <si>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</si>
  <si>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</si>
  <si>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</si>
  <si>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</si>
  <si>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</si>
  <si>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</si>
  <si>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</si>
  <si>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</si>
  <si>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</si>
  <si>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</si>
  <si>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</si>
  <si>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</si>
  <si>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</si>
  <si>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</si>
  <si>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</si>
  <si>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</si>
  <si>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</si>
  <si>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</si>
  <si>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</si>
  <si>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</si>
  <si>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</si>
  <si>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</si>
  <si>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</si>
  <si>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</si>
  <si>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</si>
  <si>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</si>
  <si>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</si>
  <si>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</si>
  <si>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</si>
  <si>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</si>
  <si>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</si>
  <si>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</si>
  <si>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</si>
  <si>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</si>
  <si>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</si>
  <si>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</si>
  <si>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</si>
  <si>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</si>
  <si>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</si>
  <si>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</si>
  <si>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</si>
  <si>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</si>
  <si>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</si>
  <si>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</si>
  <si>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</si>
  <si>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</si>
  <si>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</si>
  <si>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</si>
  <si>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</si>
  <si>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</si>
  <si>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</si>
  <si>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</si>
  <si>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</si>
  <si>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</si>
  <si>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</si>
  <si>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</si>
  <si>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</si>
  <si>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</si>
  <si>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</si>
  <si>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</si>
  <si>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</si>
  <si>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</si>
  <si>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</si>
  <si>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</si>
  <si>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</si>
  <si>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</si>
  <si>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</si>
  <si>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</si>
  <si>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</si>
  <si>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</si>
  <si>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</si>
  <si>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</si>
  <si>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</si>
  <si>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</si>
  <si>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</si>
  <si>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</si>
  <si>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</si>
  <si>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</si>
  <si>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</si>
  <si>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</si>
  <si>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</si>
  <si>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</si>
  <si>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</si>
  <si>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</si>
  <si>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</si>
  <si>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</si>
  <si>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</si>
  <si>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</si>
  <si>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</si>
  <si>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</si>
  <si>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</si>
  <si>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</si>
  <si>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</si>
  <si>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</si>
  <si>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</si>
  <si>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</si>
  <si>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</si>
  <si>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</si>
  <si>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</si>
  <si>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</si>
  <si>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</si>
  <si>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</si>
  <si>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</si>
  <si>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</si>
  <si>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</si>
  <si>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</si>
  <si>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</si>
  <si>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</si>
  <si>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</si>
  <si>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</si>
  <si>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</si>
  <si>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</si>
  <si>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</si>
  <si>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</si>
  <si>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</si>
  <si>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</si>
  <si>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</si>
  <si>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</si>
  <si>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</si>
  <si>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</si>
  <si>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</si>
  <si>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</si>
  <si>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</si>
  <si>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</si>
  <si>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</si>
  <si>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</si>
  <si>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</si>
  <si>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</si>
  <si>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</si>
  <si>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</si>
  <si>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</si>
  <si>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</si>
  <si>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</si>
  <si>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</si>
  <si>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</si>
  <si>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</si>
  <si>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</si>
  <si>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</si>
  <si>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</si>
  <si>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</si>
  <si>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</si>
  <si>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</si>
  <si>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</si>
  <si>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</si>
  <si>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</si>
  <si>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</si>
  <si>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</si>
  <si>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</si>
  <si>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</si>
  <si>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</si>
  <si>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</si>
  <si>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</si>
  <si>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</si>
  <si>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</si>
  <si>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</si>
  <si>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</si>
  <si>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</si>
  <si>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</si>
  <si>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</si>
  <si>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</si>
  <si>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</si>
  <si>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</si>
  <si>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</si>
  <si>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</si>
  <si>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</si>
  <si>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</si>
  <si>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</si>
  <si>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</si>
  <si>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</si>
  <si>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</si>
  <si>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</si>
  <si>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</si>
  <si>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</si>
  <si>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</si>
  <si>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</si>
  <si>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</si>
  <si>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</si>
  <si>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</si>
  <si>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</si>
  <si>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</si>
  <si>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</si>
  <si>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</si>
  <si>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</si>
  <si>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</si>
  <si>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</si>
  <si>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</si>
  <si>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</si>
  <si>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</si>
  <si>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</si>
  <si>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</si>
  <si>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</si>
  <si>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</si>
  <si>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</si>
  <si>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</si>
  <si>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</si>
  <si>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</si>
  <si>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</si>
  <si>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</si>
  <si>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</si>
  <si>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</si>
  <si>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</si>
  <si>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</si>
  <si>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</si>
  <si>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</si>
  <si>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</si>
  <si>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</si>
  <si>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</si>
  <si>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</si>
  <si>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</si>
  <si>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</si>
  <si>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</si>
  <si>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合同固定租金部分(元/平米/月）</t>
  </si>
  <si>
    <t>固租部分(元/平米/月）-现有+预估</t>
  </si>
  <si>
    <t>调整时间</t>
  </si>
  <si>
    <t>固定租金</t>
  </si>
  <si>
    <t>免租期1</t>
  </si>
  <si>
    <t>免租期2</t>
  </si>
  <si>
    <t>免租期3</t>
  </si>
  <si>
    <t>免租期4</t>
  </si>
  <si>
    <t>免租期5</t>
  </si>
  <si>
    <t>商务条件</t>
  </si>
  <si>
    <t>固租-Y1</t>
  </si>
  <si>
    <t>固租-Y2</t>
  </si>
  <si>
    <t>固租-Y3</t>
  </si>
  <si>
    <t>固租-Y4</t>
  </si>
  <si>
    <t>固租-Y5</t>
  </si>
  <si>
    <t>固租-Y6</t>
  </si>
  <si>
    <t>固租-Y7</t>
  </si>
  <si>
    <t>铺位号</t>
  </si>
  <si>
    <t>品牌</t>
  </si>
  <si>
    <t>一级业态</t>
  </si>
  <si>
    <t>二级业态</t>
  </si>
  <si>
    <t>合同状态</t>
  </si>
  <si>
    <t>合同类型</t>
  </si>
  <si>
    <t>租赁面积</t>
  </si>
  <si>
    <t>面积段</t>
  </si>
  <si>
    <t>合同起始时间</t>
  </si>
  <si>
    <t>合同有效期至</t>
  </si>
  <si>
    <t>租赁期长
（月）</t>
  </si>
  <si>
    <t>租费累计</t>
  </si>
  <si>
    <t>租金
（元/月/平）</t>
  </si>
  <si>
    <t>租金（元/月）</t>
  </si>
  <si>
    <t>租金扣率</t>
  </si>
  <si>
    <t>物业费标准
（元/月/平）</t>
  </si>
  <si>
    <t>物业费（元/月）</t>
  </si>
  <si>
    <t>推广费标准
（元/月/平）</t>
  </si>
  <si>
    <t>推广费（元/月）</t>
  </si>
  <si>
    <t>免租期
（天）</t>
  </si>
  <si>
    <t>24年月销售（元）</t>
  </si>
  <si>
    <t>销售坪效</t>
  </si>
  <si>
    <t>租售比</t>
  </si>
  <si>
    <t>OCR Benchmark</t>
  </si>
  <si>
    <t>时点租金</t>
  </si>
  <si>
    <t>25年调整后26年调整前</t>
  </si>
  <si>
    <t>26年调整后27年调整前</t>
  </si>
  <si>
    <t>27年调整后28年调整前</t>
  </si>
  <si>
    <t>28年调整后29年调整前</t>
  </si>
  <si>
    <t>29年调整后30年调整前</t>
  </si>
  <si>
    <t>30年调整后31年调整前</t>
  </si>
  <si>
    <t>调整类型</t>
  </si>
  <si>
    <t>调整年份</t>
  </si>
  <si>
    <t>对比</t>
  </si>
  <si>
    <t>到期调整租金系数</t>
  </si>
  <si>
    <t>参考列</t>
  </si>
  <si>
    <t>辅助列</t>
  </si>
  <si>
    <t>调整日期</t>
  </si>
  <si>
    <t>调整前天数</t>
  </si>
  <si>
    <t>调整后天数</t>
  </si>
  <si>
    <t>2025年</t>
  </si>
  <si>
    <t>2026年</t>
  </si>
  <si>
    <t>2027年</t>
  </si>
  <si>
    <t>2028年</t>
  </si>
  <si>
    <t>2029年</t>
  </si>
  <si>
    <t>2030年</t>
  </si>
  <si>
    <t>2031年</t>
  </si>
  <si>
    <t>到期年份</t>
  </si>
  <si>
    <t>免租金额</t>
  </si>
  <si>
    <t>IKEABOX</t>
  </si>
  <si>
    <t>IKEA</t>
  </si>
  <si>
    <t>主力店</t>
  </si>
  <si>
    <t>家居大卖场</t>
  </si>
  <si>
    <t>固租+提成</t>
  </si>
  <si>
    <t>1F</t>
  </si>
  <si>
    <t>1A001</t>
  </si>
  <si>
    <t>Auchan</t>
  </si>
  <si>
    <t>超市</t>
  </si>
  <si>
    <t>3F</t>
  </si>
  <si>
    <t>3A001</t>
  </si>
  <si>
    <t>Suning</t>
  </si>
  <si>
    <t>电器大卖场</t>
  </si>
  <si>
    <t>3G122</t>
  </si>
  <si>
    <t>Jinyi</t>
  </si>
  <si>
    <t>影院</t>
  </si>
  <si>
    <t>按年提成（详见BF列）</t>
  </si>
  <si>
    <t>3B029</t>
  </si>
  <si>
    <t>NEOBIO奈尔宝</t>
  </si>
  <si>
    <t>配套</t>
  </si>
  <si>
    <t>休闲和教育</t>
  </si>
  <si>
    <t>次主力店</t>
  </si>
  <si>
    <t>3C063</t>
  </si>
  <si>
    <t>银乐迪KTV</t>
  </si>
  <si>
    <t>娱乐健身</t>
  </si>
  <si>
    <t>纯固租</t>
  </si>
  <si>
    <t>1F001</t>
  </si>
  <si>
    <t>迪卡侬Decathlon</t>
  </si>
  <si>
    <t>零售</t>
  </si>
  <si>
    <t>运动大卖场</t>
  </si>
  <si>
    <t>2F</t>
  </si>
  <si>
    <t>2F001</t>
  </si>
  <si>
    <t>VS SPORTS PAKR运动玩乐园</t>
  </si>
  <si>
    <t>1D113</t>
  </si>
  <si>
    <t>ZARAInditex</t>
  </si>
  <si>
    <t>时尚服装</t>
  </si>
  <si>
    <t>纯抽</t>
  </si>
  <si>
    <t>1E133</t>
  </si>
  <si>
    <t>H&amp;M</t>
  </si>
  <si>
    <t>3E113</t>
  </si>
  <si>
    <t>SkyLand</t>
  </si>
  <si>
    <t>餐饮</t>
  </si>
  <si>
    <t>2B050</t>
  </si>
  <si>
    <t>Funspace泛时空</t>
  </si>
  <si>
    <t>1E151</t>
  </si>
  <si>
    <t>Uniqlo</t>
  </si>
  <si>
    <t>1E124&amp;2E127</t>
  </si>
  <si>
    <t>URBANREVIVO</t>
  </si>
  <si>
    <t>3B031</t>
  </si>
  <si>
    <t>XiaJiaoMei虾饺妹</t>
  </si>
  <si>
    <t>2C084</t>
  </si>
  <si>
    <t>KKV------W.Management</t>
  </si>
  <si>
    <t>日杂便利</t>
  </si>
  <si>
    <t>3B033</t>
  </si>
  <si>
    <t>峨嵋酒家/ErMeiRestaurant</t>
  </si>
  <si>
    <t>3F003</t>
  </si>
  <si>
    <t>Cartoony</t>
  </si>
  <si>
    <t>03A21/04A21</t>
  </si>
  <si>
    <t>Spacelab 失重</t>
  </si>
  <si>
    <t>1E153</t>
  </si>
  <si>
    <t>Nike</t>
  </si>
  <si>
    <t>运动时尚</t>
  </si>
  <si>
    <t>1D111</t>
  </si>
  <si>
    <t>MAP</t>
  </si>
  <si>
    <t>鞋包服饰</t>
  </si>
  <si>
    <t>02E133</t>
  </si>
  <si>
    <t>BENLAI本来</t>
  </si>
  <si>
    <t>01E129+01E131</t>
  </si>
  <si>
    <t>APPLE STORE-1</t>
  </si>
  <si>
    <t>数码音响</t>
  </si>
  <si>
    <t>3D087</t>
  </si>
  <si>
    <t>玩具反斗城/ToysRus</t>
  </si>
  <si>
    <t>3F02</t>
  </si>
  <si>
    <t>炼炼有意思</t>
  </si>
  <si>
    <t>2G006</t>
  </si>
  <si>
    <t>Wiscovery奇思可睿</t>
  </si>
  <si>
    <t>2G165</t>
  </si>
  <si>
    <t>源氏木语</t>
  </si>
  <si>
    <t>家具家居</t>
  </si>
  <si>
    <t>特大</t>
  </si>
  <si>
    <t>1C067</t>
  </si>
  <si>
    <t>FILA</t>
  </si>
  <si>
    <t>2E158</t>
  </si>
  <si>
    <t xml:space="preserve">8 MILE skatepark </t>
  </si>
  <si>
    <t>3E108</t>
  </si>
  <si>
    <t>Haidilaohotpot海底捞</t>
  </si>
  <si>
    <t>1C083</t>
  </si>
  <si>
    <t>NIO蔚来</t>
  </si>
  <si>
    <t>汽车</t>
  </si>
  <si>
    <t>2D113</t>
  </si>
  <si>
    <t>Hotwind热风---鹿岛生活</t>
  </si>
  <si>
    <t>2G013</t>
  </si>
  <si>
    <t>WiseWhale维斯沃儿童水育馆</t>
  </si>
  <si>
    <t>2B051</t>
  </si>
  <si>
    <t>SISYPHE西西弗书店</t>
  </si>
  <si>
    <t>3E110</t>
  </si>
  <si>
    <t>ShuangLiuLaoMa双流老妈</t>
  </si>
  <si>
    <t>1B057</t>
  </si>
  <si>
    <t>MASSIMODUTTI品牌和Inditex集团旗下其他品牌</t>
  </si>
  <si>
    <t>1C082</t>
  </si>
  <si>
    <t>ICBC--BOSIDENG 波司登</t>
  </si>
  <si>
    <t>生活服务</t>
  </si>
  <si>
    <t>2E154</t>
  </si>
  <si>
    <t>Jack&amp;Jones杰克琼斯</t>
  </si>
  <si>
    <t>3E111A</t>
  </si>
  <si>
    <t>TiDu提督</t>
  </si>
  <si>
    <t>1E135</t>
  </si>
  <si>
    <t>LINING李宁--FILA</t>
  </si>
  <si>
    <t>2B064</t>
  </si>
  <si>
    <t>外婆家/Grandma'sKitchen</t>
  </si>
  <si>
    <t>3E114</t>
  </si>
  <si>
    <t>XIBEI西贝</t>
  </si>
  <si>
    <t>3F04E</t>
  </si>
  <si>
    <t>一番赏</t>
  </si>
  <si>
    <t>暂无销售/租金数据</t>
  </si>
  <si>
    <t>3D089</t>
  </si>
  <si>
    <t>Anta Kids</t>
  </si>
  <si>
    <t>1C072</t>
  </si>
  <si>
    <t>Adidas</t>
  </si>
  <si>
    <t>02D116</t>
  </si>
  <si>
    <t>only</t>
  </si>
  <si>
    <t>2E139</t>
  </si>
  <si>
    <t>Naturehike挪客</t>
  </si>
  <si>
    <t>3E115</t>
  </si>
  <si>
    <t>Song怂</t>
  </si>
  <si>
    <t>大</t>
  </si>
  <si>
    <t>1E155</t>
  </si>
  <si>
    <t>Qpokee番茄口袋</t>
  </si>
  <si>
    <t>3E120</t>
  </si>
  <si>
    <t>JiangBianChengWai江边城外</t>
  </si>
  <si>
    <t>1D101</t>
  </si>
  <si>
    <t>HUAWEI华为</t>
  </si>
  <si>
    <t>1C069</t>
  </si>
  <si>
    <t>KOLON SPORT</t>
  </si>
  <si>
    <t>1B050</t>
  </si>
  <si>
    <t>YiMei壹美</t>
  </si>
  <si>
    <t>1A032B</t>
  </si>
  <si>
    <t>DESCENTE迪桑特</t>
  </si>
  <si>
    <t>2A032</t>
  </si>
  <si>
    <t>Dayuhotpot大渝火锅</t>
  </si>
  <si>
    <t>2E132</t>
  </si>
  <si>
    <t>Girdear&amp;Amass</t>
  </si>
  <si>
    <t>2G010</t>
  </si>
  <si>
    <t>ShangXiang尚翔少儿篮球</t>
  </si>
  <si>
    <t>3B044</t>
  </si>
  <si>
    <t>SuBangYuan苏帮袁</t>
  </si>
  <si>
    <t>1C081</t>
  </si>
  <si>
    <t>Arc'teryx 始祖鸟</t>
  </si>
  <si>
    <t>2C065</t>
  </si>
  <si>
    <t>GLORIA歌莉娅</t>
  </si>
  <si>
    <t>1C077</t>
  </si>
  <si>
    <t>CN LiNing中国李宁</t>
  </si>
  <si>
    <t>1C076</t>
  </si>
  <si>
    <t>TASTY西堤</t>
  </si>
  <si>
    <t>2C076</t>
  </si>
  <si>
    <t>PeaceBirdWoman</t>
  </si>
  <si>
    <t>2C072</t>
  </si>
  <si>
    <t>Vero Moda</t>
  </si>
  <si>
    <t>3C051</t>
  </si>
  <si>
    <t>RussianKitchen俄士厨房</t>
  </si>
  <si>
    <t>1B054</t>
  </si>
  <si>
    <t>BOSIDENG</t>
  </si>
  <si>
    <t>12月-2月:11%;3月-11月:16%</t>
  </si>
  <si>
    <t>1D114</t>
  </si>
  <si>
    <t>Abercrombie &amp; Fitch</t>
  </si>
  <si>
    <t>2D104/2D105</t>
  </si>
  <si>
    <t>CTC极斗综合格斗馆</t>
  </si>
  <si>
    <t>3D075</t>
  </si>
  <si>
    <t>THE TREE 大樹</t>
  </si>
  <si>
    <t>2C073</t>
  </si>
  <si>
    <t>太平鸟男装--LINING李宁</t>
  </si>
  <si>
    <t>3C062</t>
  </si>
  <si>
    <t xml:space="preserve">New Spicy Way新辣道 </t>
  </si>
  <si>
    <t>3A019</t>
  </si>
  <si>
    <t>McDonalds麦当劳餐饮</t>
  </si>
  <si>
    <t>3F005</t>
  </si>
  <si>
    <t>JinZhangShao金掌勺</t>
  </si>
  <si>
    <t>2E160</t>
  </si>
  <si>
    <t>Purcotton</t>
  </si>
  <si>
    <t>1B062</t>
  </si>
  <si>
    <t>Sephora</t>
  </si>
  <si>
    <t>化妆品</t>
  </si>
  <si>
    <t>1A028</t>
  </si>
  <si>
    <t>GAGA</t>
  </si>
  <si>
    <t>3C060</t>
  </si>
  <si>
    <t>JiangTaiWuEr---姥姥家春饼店</t>
  </si>
  <si>
    <t>2E137</t>
  </si>
  <si>
    <t>DRAGONSTAR英龙华辰---MINISO</t>
  </si>
  <si>
    <t>2G018</t>
  </si>
  <si>
    <t>赫石</t>
  </si>
  <si>
    <t>3B034</t>
  </si>
  <si>
    <t>FILA KIDS</t>
  </si>
  <si>
    <t>1B051</t>
  </si>
  <si>
    <t>Lixiang理想汽车</t>
  </si>
  <si>
    <t>3E115B</t>
  </si>
  <si>
    <t>YunHaiYao云海肴</t>
  </si>
  <si>
    <t>1D099</t>
  </si>
  <si>
    <t>Icicle之禾</t>
  </si>
  <si>
    <t>2C081</t>
  </si>
  <si>
    <t>BOSIDENG波司登</t>
  </si>
  <si>
    <t>1D094</t>
  </si>
  <si>
    <t>lululemon</t>
  </si>
  <si>
    <t>3F012</t>
  </si>
  <si>
    <t>GuiManLong 桂满陇</t>
  </si>
  <si>
    <t>2G009</t>
  </si>
  <si>
    <t>KidSmile小鬼当佳</t>
  </si>
  <si>
    <t>3E120A</t>
  </si>
  <si>
    <t>左庭右院</t>
  </si>
  <si>
    <t>3A022</t>
  </si>
  <si>
    <t>BaNuMaoDuHuoGu巴奴毛肚火锅</t>
  </si>
  <si>
    <t>3C062A</t>
  </si>
  <si>
    <t>很久以前羊肉串</t>
  </si>
  <si>
    <t>1B064</t>
  </si>
  <si>
    <t>ChowSangSang</t>
  </si>
  <si>
    <t>珠宝配饰</t>
  </si>
  <si>
    <t>3E109</t>
  </si>
  <si>
    <t>YangYang阳阳</t>
  </si>
  <si>
    <t>3A015</t>
  </si>
  <si>
    <t>ShuiMuJinTang水木锦堂</t>
  </si>
  <si>
    <t>3B032</t>
  </si>
  <si>
    <t>PengRanSiJi烹然四季</t>
  </si>
  <si>
    <t>3E112</t>
  </si>
  <si>
    <t>太二-----胶东小馆</t>
  </si>
  <si>
    <t>3E118F</t>
  </si>
  <si>
    <t>ChangAnJiJiuSi长安记酒肆</t>
  </si>
  <si>
    <t>2A042</t>
  </si>
  <si>
    <t>DZH HOME代字行</t>
  </si>
  <si>
    <t>3E116</t>
  </si>
  <si>
    <t>Mongolian Barbecue猛古里</t>
  </si>
  <si>
    <t>2D093</t>
  </si>
  <si>
    <t>Song Shan Mian Dian 松山棉店</t>
  </si>
  <si>
    <t>内衣</t>
  </si>
  <si>
    <t>3E119</t>
  </si>
  <si>
    <t>宴京玖</t>
  </si>
  <si>
    <t>02A43</t>
  </si>
  <si>
    <t>Watsons</t>
  </si>
  <si>
    <t>2G004</t>
  </si>
  <si>
    <t>MagicForestArtEducation童画森林艺术教育</t>
  </si>
  <si>
    <t>1C073</t>
  </si>
  <si>
    <t>MLB</t>
  </si>
  <si>
    <t>3D078</t>
  </si>
  <si>
    <t>Balabala巴拉巴拉</t>
  </si>
  <si>
    <t>1G160</t>
  </si>
  <si>
    <t>ARRAIL瑞尔专业口腔医疗机构</t>
  </si>
  <si>
    <t>3B038</t>
  </si>
  <si>
    <t>Lining Young</t>
  </si>
  <si>
    <t>2A036</t>
  </si>
  <si>
    <t>Kulechaowan酷乐潮玩</t>
  </si>
  <si>
    <t>3C048</t>
  </si>
  <si>
    <t>MaLiuJi麻六记</t>
  </si>
  <si>
    <t>3C047</t>
  </si>
  <si>
    <t>ThaiFoodShow太食獸</t>
  </si>
  <si>
    <t>1E121</t>
  </si>
  <si>
    <t>Aimer爱慕</t>
  </si>
  <si>
    <t>1D095A</t>
  </si>
  <si>
    <t>adidas ORIGINALS</t>
  </si>
  <si>
    <t>中</t>
  </si>
  <si>
    <t>3B042</t>
  </si>
  <si>
    <t>Imon&amp;Hansa</t>
  </si>
  <si>
    <t>1A033</t>
  </si>
  <si>
    <t>ERDOS鄂尔多斯</t>
  </si>
  <si>
    <t>3D079</t>
  </si>
  <si>
    <t>Leyou乐友</t>
  </si>
  <si>
    <t>儿童零售</t>
  </si>
  <si>
    <t>3D074</t>
  </si>
  <si>
    <t>OnYasai温野菜</t>
  </si>
  <si>
    <t>1F026</t>
  </si>
  <si>
    <t>Shake Shack</t>
  </si>
  <si>
    <t>3C059</t>
  </si>
  <si>
    <t>WaLaiDa蛙来哒</t>
  </si>
  <si>
    <t>2F031</t>
  </si>
  <si>
    <t>ShengBoDian胜博殿</t>
  </si>
  <si>
    <t>2G002</t>
  </si>
  <si>
    <t>BigPizza比格</t>
  </si>
  <si>
    <t>2E161</t>
  </si>
  <si>
    <t>GXG</t>
  </si>
  <si>
    <t>3F007</t>
  </si>
  <si>
    <t>FeiDaChu费大厨</t>
  </si>
  <si>
    <t>1B060A</t>
  </si>
  <si>
    <t>Laomiaohuangjin老庙黄金</t>
  </si>
  <si>
    <t>黄金按比例</t>
  </si>
  <si>
    <t>1A037</t>
  </si>
  <si>
    <t>POPMART泡泡玛特</t>
  </si>
  <si>
    <t>3C053</t>
  </si>
  <si>
    <t>Men Wah Bing Teng敏华冰厅</t>
  </si>
  <si>
    <t>1C079</t>
  </si>
  <si>
    <t>X-BIONIC三夫户外</t>
  </si>
  <si>
    <t>3C055</t>
  </si>
  <si>
    <t>爸爸烤肉</t>
  </si>
  <si>
    <t>2B053</t>
  </si>
  <si>
    <t>HIMO 海马体</t>
  </si>
  <si>
    <t>1E142</t>
  </si>
  <si>
    <t>LuXiHe泸溪河</t>
  </si>
  <si>
    <t>1E149</t>
  </si>
  <si>
    <t>ANTA GUANJUN</t>
  </si>
  <si>
    <t>1E150</t>
  </si>
  <si>
    <t>BONELESS</t>
  </si>
  <si>
    <t>2G011</t>
  </si>
  <si>
    <t>SKINOW雪乐山</t>
  </si>
  <si>
    <t>3C057</t>
  </si>
  <si>
    <t>TARHAR塔哈尔</t>
  </si>
  <si>
    <t>1D107</t>
  </si>
  <si>
    <t>Chow Tai Fook 周大福</t>
  </si>
  <si>
    <t>不同种类提成不同</t>
  </si>
  <si>
    <t>2C069</t>
  </si>
  <si>
    <t>HLA</t>
  </si>
  <si>
    <t>3D088A</t>
  </si>
  <si>
    <t>lijiababy丽家宝贝</t>
  </si>
  <si>
    <t>2B048</t>
  </si>
  <si>
    <t>KFC</t>
  </si>
  <si>
    <t>3E117</t>
  </si>
  <si>
    <t>AN YOU PANG 安又胖</t>
  </si>
  <si>
    <t>1D103</t>
  </si>
  <si>
    <t>PinZhenGe品真阁</t>
  </si>
  <si>
    <t>按品类抽成</t>
  </si>
  <si>
    <t>1D100B</t>
  </si>
  <si>
    <t>YinerClub品牌服装集合店---Koradior</t>
  </si>
  <si>
    <t>2C068</t>
  </si>
  <si>
    <t>Joeone九牧王</t>
  </si>
  <si>
    <t>1E148B</t>
  </si>
  <si>
    <t>蕉内Bananain</t>
  </si>
  <si>
    <t>2E125</t>
  </si>
  <si>
    <t>GuiWeiPuLaTi归位普拉提</t>
  </si>
  <si>
    <t>1E122</t>
  </si>
  <si>
    <t>ERDOS鄂尔多斯1980生活家</t>
  </si>
  <si>
    <t>1D115</t>
  </si>
  <si>
    <t>nice rice 好饭</t>
  </si>
  <si>
    <t>1E128</t>
  </si>
  <si>
    <t>Lego LCS</t>
  </si>
  <si>
    <t>02B59</t>
  </si>
  <si>
    <t>VSARNNI华萨尼</t>
  </si>
  <si>
    <t>1B060B</t>
  </si>
  <si>
    <t>LUKFOOK</t>
  </si>
  <si>
    <t>1A35</t>
  </si>
  <si>
    <t>名见</t>
  </si>
  <si>
    <t>奢侈品珠宝： 3%； 钟表： 3%； 奢侈品配饰: 4%；服装： 12%</t>
  </si>
  <si>
    <t>1C078</t>
  </si>
  <si>
    <t>UnderArmour</t>
  </si>
  <si>
    <t>1E144</t>
  </si>
  <si>
    <t>KOLON SPORT可隆体育---KAILAS</t>
  </si>
  <si>
    <t>3F010A</t>
  </si>
  <si>
    <t>CunShangYiWu村上一屋</t>
  </si>
  <si>
    <t>1E123</t>
  </si>
  <si>
    <t>LANCY朗姿</t>
  </si>
  <si>
    <t>2E152</t>
  </si>
  <si>
    <t>Meilleur Moment麦檬</t>
  </si>
  <si>
    <t>2F030</t>
  </si>
  <si>
    <t>PHOYePHO爺</t>
  </si>
  <si>
    <t>1F016</t>
  </si>
  <si>
    <t>Kicks Lounge</t>
  </si>
  <si>
    <t>1B044</t>
  </si>
  <si>
    <t>霸王茶姬</t>
  </si>
  <si>
    <t>2D104</t>
  </si>
  <si>
    <t>BeautyFarm美丽田园</t>
  </si>
  <si>
    <t>2B054</t>
  </si>
  <si>
    <t>Lagogo</t>
  </si>
  <si>
    <t>2E150</t>
  </si>
  <si>
    <t>Thegreenparty</t>
  </si>
  <si>
    <t>2D103</t>
  </si>
  <si>
    <t>SIYANLI思妍丽</t>
  </si>
  <si>
    <t>01C68</t>
  </si>
  <si>
    <t>MAMMUT猛犸象</t>
  </si>
  <si>
    <t>17%</t>
  </si>
  <si>
    <t>1D093</t>
  </si>
  <si>
    <t>CalvinKleinJeans</t>
  </si>
  <si>
    <t>2B047</t>
  </si>
  <si>
    <t>Pizzahut必胜客披萨饼餐厅</t>
  </si>
  <si>
    <t>3A016</t>
  </si>
  <si>
    <t>TheWoods</t>
  </si>
  <si>
    <t>1A033B</t>
  </si>
  <si>
    <t>Jordan</t>
  </si>
  <si>
    <t>2B060</t>
  </si>
  <si>
    <t>Youngor雅戈尔</t>
  </si>
  <si>
    <t>2C083</t>
  </si>
  <si>
    <t>a blueberry 一颗蓝莓</t>
  </si>
  <si>
    <t>1D116</t>
  </si>
  <si>
    <t>Charles&amp;Keith</t>
  </si>
  <si>
    <t>3C058</t>
  </si>
  <si>
    <t>沙胆彪炭炉牛杂煲</t>
  </si>
  <si>
    <t>1F021</t>
  </si>
  <si>
    <t>Wagas---TOPCRUSH</t>
  </si>
  <si>
    <t>1D092</t>
  </si>
  <si>
    <t>On Running 昂跑</t>
  </si>
  <si>
    <t>1D096</t>
  </si>
  <si>
    <t>POLO RALPH LAUREN</t>
  </si>
  <si>
    <t>2A039</t>
  </si>
  <si>
    <t>Hitgoo 嗨特购</t>
  </si>
  <si>
    <t>1D091</t>
  </si>
  <si>
    <t>Moussy&amp;SLY</t>
  </si>
  <si>
    <t>1D090</t>
  </si>
  <si>
    <t>Lacoste</t>
  </si>
  <si>
    <t>1F025A</t>
  </si>
  <si>
    <t>Apple苹果（英龙华辰）</t>
  </si>
  <si>
    <t>01C66</t>
  </si>
  <si>
    <t>AVATR阿维塔</t>
  </si>
  <si>
    <t>2C077</t>
  </si>
  <si>
    <t>eifini</t>
  </si>
  <si>
    <t>3D076</t>
  </si>
  <si>
    <t>FuXiaoJie付小姐</t>
  </si>
  <si>
    <t>1F023A</t>
  </si>
  <si>
    <t>ZEEKR极氪汽车</t>
  </si>
  <si>
    <t>1B058A</t>
  </si>
  <si>
    <t>TONI&amp;GUY汤尼英盖</t>
  </si>
  <si>
    <t>1A034</t>
  </si>
  <si>
    <t>EDITION------LESS</t>
  </si>
  <si>
    <t>1B043</t>
  </si>
  <si>
    <t>BUTTERFUL&amp;CREAMOROUS</t>
  </si>
  <si>
    <t>2E143</t>
  </si>
  <si>
    <t>XiaBuXiaBu呷哺呷哺</t>
  </si>
  <si>
    <t>2F022</t>
  </si>
  <si>
    <t>Genki Sushi 元气寿司</t>
  </si>
  <si>
    <t>2E141</t>
  </si>
  <si>
    <t>MaJiYong马记永</t>
  </si>
  <si>
    <t>3D088B</t>
  </si>
  <si>
    <t>NikeKids</t>
  </si>
  <si>
    <t>1E158</t>
  </si>
  <si>
    <t>Hengdeliwatch</t>
  </si>
  <si>
    <t>1F027</t>
  </si>
  <si>
    <t>星巴克咖啡/Starbucks</t>
  </si>
  <si>
    <t>1D117</t>
  </si>
  <si>
    <t>EVISU惠美寿</t>
  </si>
  <si>
    <t>1E136</t>
  </si>
  <si>
    <t>Mihome</t>
  </si>
  <si>
    <t>1F014</t>
  </si>
  <si>
    <t>TheNorthFace</t>
  </si>
  <si>
    <t>2D096</t>
  </si>
  <si>
    <t>OVV------ARIOSEYEARS</t>
  </si>
  <si>
    <t>2D095</t>
  </si>
  <si>
    <t>ochirly欧时力-----麻筱那</t>
  </si>
  <si>
    <t>2D094</t>
  </si>
  <si>
    <t>ReBlue</t>
  </si>
  <si>
    <t>1D100A</t>
  </si>
  <si>
    <t>VGRASS------Marisfrog</t>
  </si>
  <si>
    <t>2E157</t>
  </si>
  <si>
    <t>SKECHERS</t>
  </si>
  <si>
    <t>2A038</t>
  </si>
  <si>
    <t>LOVLIFE 片断</t>
  </si>
  <si>
    <t>02D94</t>
  </si>
  <si>
    <t>MO&amp;Co</t>
  </si>
  <si>
    <t>1B055</t>
  </si>
  <si>
    <t>Ecco爱步</t>
  </si>
  <si>
    <t>2E148</t>
  </si>
  <si>
    <t>BEERBRO</t>
  </si>
  <si>
    <t>1E148A</t>
  </si>
  <si>
    <t>WILSON 威尔胜</t>
  </si>
  <si>
    <t>2C080</t>
  </si>
  <si>
    <t>NO ONE ELSE</t>
  </si>
  <si>
    <t>2A034</t>
  </si>
  <si>
    <t>Hush puppies</t>
  </si>
  <si>
    <t>2C067</t>
  </si>
  <si>
    <t>Levi's</t>
  </si>
  <si>
    <t>1D118</t>
  </si>
  <si>
    <t>MaiaActive</t>
  </si>
  <si>
    <t>3A023</t>
  </si>
  <si>
    <t>NanLuoFeiMao南锣肥猫</t>
  </si>
  <si>
    <t>2D089</t>
  </si>
  <si>
    <t>Famecoco</t>
  </si>
  <si>
    <t>1E146</t>
  </si>
  <si>
    <t>RESIMPLE</t>
  </si>
  <si>
    <t>2E142</t>
  </si>
  <si>
    <t>HeFuLaoMian和府捞面</t>
  </si>
  <si>
    <t>01B45</t>
  </si>
  <si>
    <t>冉耳</t>
  </si>
  <si>
    <t>1D119</t>
  </si>
  <si>
    <t>POLA宝丽</t>
  </si>
  <si>
    <t>2D098</t>
  </si>
  <si>
    <t>THE SEA LIFE</t>
  </si>
  <si>
    <t>3A025</t>
  </si>
  <si>
    <t>胡子大厨超级小炒肉</t>
  </si>
  <si>
    <t>1B058B</t>
  </si>
  <si>
    <t>MaiMengDePangZi麦萌の胖子</t>
  </si>
  <si>
    <t>1A038</t>
  </si>
  <si>
    <t>Nautica</t>
  </si>
  <si>
    <t>1A039</t>
  </si>
  <si>
    <t>TCH</t>
  </si>
  <si>
    <t>2G019A</t>
  </si>
  <si>
    <t>唯美舞动</t>
  </si>
  <si>
    <t>1D089</t>
  </si>
  <si>
    <t>MissSixty</t>
  </si>
  <si>
    <t>2B055</t>
  </si>
  <si>
    <t>LILY</t>
  </si>
  <si>
    <t>02B57</t>
  </si>
  <si>
    <t>ARIOSEYEARS--依我之见</t>
  </si>
  <si>
    <t>1F023B</t>
  </si>
  <si>
    <t>M Stand</t>
  </si>
  <si>
    <t>2F028</t>
  </si>
  <si>
    <t>HotMaxx</t>
  </si>
  <si>
    <t>3D077B</t>
  </si>
  <si>
    <t>KaYou卡游</t>
  </si>
  <si>
    <t>3F011</t>
  </si>
  <si>
    <t>XiaoManShouGongFen小满手工粉</t>
  </si>
  <si>
    <t>2C082</t>
  </si>
  <si>
    <t>HIMO海马体------OLD ORDER</t>
  </si>
  <si>
    <t>1D110</t>
  </si>
  <si>
    <t>GONGJIANG宫匠造办</t>
  </si>
  <si>
    <t>按比例抽成</t>
  </si>
  <si>
    <t>2B062</t>
  </si>
  <si>
    <t>ZaWuShe九木杂物社</t>
  </si>
  <si>
    <t>3C049</t>
  </si>
  <si>
    <t>Majialie玛嘉烈</t>
  </si>
  <si>
    <t>3B043</t>
  </si>
  <si>
    <t>Rookie</t>
  </si>
  <si>
    <t>3D073</t>
  </si>
  <si>
    <t>MiniPeace</t>
  </si>
  <si>
    <t>2G028</t>
  </si>
  <si>
    <t>miggle小米果轮滑</t>
  </si>
  <si>
    <t>3E108B</t>
  </si>
  <si>
    <t>尖叫熊猫</t>
  </si>
  <si>
    <t>1B063</t>
  </si>
  <si>
    <t>ChaoHongJi潮宏基</t>
  </si>
  <si>
    <t>1C071</t>
  </si>
  <si>
    <t>SALOMON</t>
  </si>
  <si>
    <t>2E129</t>
  </si>
  <si>
    <t>Tribeca</t>
  </si>
  <si>
    <t>2F027</t>
  </si>
  <si>
    <t>ReQiQiu热气球</t>
  </si>
  <si>
    <t>2D091</t>
  </si>
  <si>
    <t>U/TI</t>
  </si>
  <si>
    <t>3D090</t>
  </si>
  <si>
    <t>Goodbaby好孩子</t>
  </si>
  <si>
    <t>1E141</t>
  </si>
  <si>
    <t>Palladium</t>
  </si>
  <si>
    <t>2F018</t>
  </si>
  <si>
    <t>哈里小屋 Harry’s Kitchen</t>
  </si>
  <si>
    <t>01E129+01E132</t>
  </si>
  <si>
    <t>APPLE STORE-2</t>
  </si>
  <si>
    <t>1D109</t>
  </si>
  <si>
    <t>LaoFengXiang老凤祥</t>
  </si>
  <si>
    <t>金条1%；黄金饰品/摆件3%；镶嵌/钻石8%</t>
  </si>
  <si>
    <t>3D072B</t>
  </si>
  <si>
    <t>SkechersKids</t>
  </si>
  <si>
    <t>2D103B</t>
  </si>
  <si>
    <t>M2LAB</t>
  </si>
  <si>
    <t>2D097</t>
  </si>
  <si>
    <t>REVAN</t>
  </si>
  <si>
    <t>2F019</t>
  </si>
  <si>
    <t>TOPTOY</t>
  </si>
  <si>
    <t>2A038A</t>
  </si>
  <si>
    <t>NINEROADPIZZERIA速度披萨</t>
  </si>
  <si>
    <t>2E128A</t>
  </si>
  <si>
    <t>SIEMENS西门子</t>
  </si>
  <si>
    <t>2G005</t>
  </si>
  <si>
    <t>汉翔书法教育</t>
  </si>
  <si>
    <t>1E137</t>
  </si>
  <si>
    <t xml:space="preserve">New Balance </t>
  </si>
  <si>
    <t>2D102</t>
  </si>
  <si>
    <t>CELANO柯兰诺-----翠贝卡</t>
  </si>
  <si>
    <t>1F024</t>
  </si>
  <si>
    <t>TESLA特斯拉</t>
  </si>
  <si>
    <t>3D077A</t>
  </si>
  <si>
    <t>Babycare</t>
  </si>
  <si>
    <t>1E120</t>
  </si>
  <si>
    <t>ChowTaiSeng周大生</t>
  </si>
  <si>
    <t>足金工艺品摆件：【1】%；
黄金饰品类：【3】%；
镶嵌，K 金 ，大钻：【10】%</t>
  </si>
  <si>
    <t>2F023</t>
  </si>
  <si>
    <t>Honor 荣耀</t>
  </si>
  <si>
    <t>2E131</t>
  </si>
  <si>
    <t>The Mslan</t>
  </si>
  <si>
    <t>1D104</t>
  </si>
  <si>
    <t>CaiBai菜百首饰</t>
  </si>
  <si>
    <t>2D106</t>
  </si>
  <si>
    <t>CICI----水云间</t>
  </si>
  <si>
    <t>3A024</t>
  </si>
  <si>
    <t>MiCun米村</t>
  </si>
  <si>
    <t>2G019B</t>
  </si>
  <si>
    <t>Toys&amp;Friends玩具和朋友们</t>
  </si>
  <si>
    <t>3D071</t>
  </si>
  <si>
    <t>Adidas Kids</t>
  </si>
  <si>
    <t>3D072</t>
  </si>
  <si>
    <t>Little Mo&amp;Co</t>
  </si>
  <si>
    <t>1F025B</t>
  </si>
  <si>
    <t>Dyson戴森</t>
  </si>
  <si>
    <t>2F011</t>
  </si>
  <si>
    <t xml:space="preserve">聂卫平围棋道场 </t>
  </si>
  <si>
    <t>3D070</t>
  </si>
  <si>
    <t>YeeHoO英氏</t>
  </si>
  <si>
    <t>1D088</t>
  </si>
  <si>
    <t>UGG</t>
  </si>
  <si>
    <t>2G003</t>
  </si>
  <si>
    <t>Yoshinoya吉野家</t>
  </si>
  <si>
    <t>3B045</t>
  </si>
  <si>
    <t>ZiFen自分</t>
  </si>
  <si>
    <t>1E143C</t>
  </si>
  <si>
    <t>ecco</t>
  </si>
  <si>
    <t>2D111</t>
  </si>
  <si>
    <t>J.D.V</t>
  </si>
  <si>
    <t>1F022</t>
  </si>
  <si>
    <t>TongRenTang同仁堂</t>
  </si>
  <si>
    <t>医药健康</t>
  </si>
  <si>
    <t>3B041</t>
  </si>
  <si>
    <t>TEMPUR 泰普尔</t>
  </si>
  <si>
    <t>3D080</t>
  </si>
  <si>
    <t>OGAWA</t>
  </si>
  <si>
    <t>2D117</t>
  </si>
  <si>
    <t>LALABOBO</t>
  </si>
  <si>
    <t>2D100A</t>
  </si>
  <si>
    <t>BLUE ERDOS</t>
  </si>
  <si>
    <t>3D093</t>
  </si>
  <si>
    <t>Taranis</t>
  </si>
  <si>
    <t>2D112</t>
  </si>
  <si>
    <t>Croquis速写</t>
  </si>
  <si>
    <t>1E159</t>
  </si>
  <si>
    <t>Longines浪琴</t>
  </si>
  <si>
    <t>2D110</t>
  </si>
  <si>
    <t>Clarks</t>
  </si>
  <si>
    <t>3D069</t>
  </si>
  <si>
    <t>Moody Tiger</t>
  </si>
  <si>
    <t>2D107</t>
  </si>
  <si>
    <t>ME+--------YOYOALWAYS</t>
  </si>
  <si>
    <t>已降租</t>
  </si>
  <si>
    <t>2E146</t>
  </si>
  <si>
    <t>Vans</t>
  </si>
  <si>
    <t>02C75</t>
  </si>
  <si>
    <t>HuiLi回力</t>
  </si>
  <si>
    <t>2D099</t>
  </si>
  <si>
    <t>JNBY</t>
  </si>
  <si>
    <t>2D109</t>
  </si>
  <si>
    <t>New Era</t>
  </si>
  <si>
    <t>2G008</t>
  </si>
  <si>
    <t>MME街舞</t>
  </si>
  <si>
    <t>1F011</t>
  </si>
  <si>
    <t>EVE Q</t>
  </si>
  <si>
    <t>2B056</t>
  </si>
  <si>
    <t>Feiniaohexinjiu飞鸟和新酒</t>
  </si>
  <si>
    <t>1A040</t>
  </si>
  <si>
    <t>Lenscrafters亮视点</t>
  </si>
  <si>
    <t>1D087</t>
  </si>
  <si>
    <t>YSL圣罗兰</t>
  </si>
  <si>
    <t>3B036</t>
  </si>
  <si>
    <t>SEQB小象Q比</t>
  </si>
  <si>
    <t>2D088</t>
  </si>
  <si>
    <t>d'zzit</t>
  </si>
  <si>
    <t>2E128B</t>
  </si>
  <si>
    <t>LUOLAI罗莱家纺</t>
  </si>
  <si>
    <t>2A040</t>
  </si>
  <si>
    <t>Bouthentique</t>
  </si>
  <si>
    <t>2D101</t>
  </si>
  <si>
    <t>Lavinia</t>
  </si>
  <si>
    <t>2E133</t>
  </si>
  <si>
    <t>YOYOALWAYS---Femecco</t>
  </si>
  <si>
    <t>2D086</t>
  </si>
  <si>
    <t>MOISSAC摩萨克</t>
  </si>
  <si>
    <t>2A045</t>
  </si>
  <si>
    <t>manner</t>
  </si>
  <si>
    <t>02E147</t>
  </si>
  <si>
    <t>F426</t>
  </si>
  <si>
    <t>1E156</t>
  </si>
  <si>
    <t>HOKA ONE ONE 霍伽</t>
  </si>
  <si>
    <t>2D120</t>
  </si>
  <si>
    <t>ZIHAN紫涵</t>
  </si>
  <si>
    <t>2D118</t>
  </si>
  <si>
    <t>TINDAR---柯兰诺</t>
  </si>
  <si>
    <t>2B057B</t>
  </si>
  <si>
    <t>6ixty8ight</t>
  </si>
  <si>
    <t>2D119</t>
  </si>
  <si>
    <t>8 miles skatepark</t>
  </si>
  <si>
    <t>2E162</t>
  </si>
  <si>
    <t>MOFAN--AIMEEWQ</t>
  </si>
  <si>
    <t>1E157</t>
  </si>
  <si>
    <t>Saucony</t>
  </si>
  <si>
    <t>1E138</t>
  </si>
  <si>
    <t>Asics</t>
  </si>
  <si>
    <t>1E140</t>
  </si>
  <si>
    <t>DJI大疆</t>
  </si>
  <si>
    <t>2D121</t>
  </si>
  <si>
    <t>YouDing柚丁</t>
  </si>
  <si>
    <t>3D084</t>
  </si>
  <si>
    <t>MLB KIDS</t>
  </si>
  <si>
    <t>2E145</t>
  </si>
  <si>
    <t>TonyStudio东田造型</t>
  </si>
  <si>
    <t>01D97</t>
  </si>
  <si>
    <t>PINKO</t>
  </si>
  <si>
    <t>2D090</t>
  </si>
  <si>
    <t>Broadcast播---JESSYLINE</t>
  </si>
  <si>
    <t>1E126</t>
  </si>
  <si>
    <t>Estee Lauder</t>
  </si>
  <si>
    <t>1F018A</t>
  </si>
  <si>
    <t>HAIROLOGY丝域</t>
  </si>
  <si>
    <t>3F008</t>
  </si>
  <si>
    <t>QuanNiuJiang全牛匠</t>
  </si>
  <si>
    <t>2F026</t>
  </si>
  <si>
    <t>家传麻辣香锅</t>
  </si>
  <si>
    <t>2F016</t>
  </si>
  <si>
    <t>ROG玩家国度</t>
  </si>
  <si>
    <t>1E145</t>
  </si>
  <si>
    <t>CHUMS</t>
  </si>
  <si>
    <t>3D094</t>
  </si>
  <si>
    <t>M.Latin</t>
  </si>
  <si>
    <t>1D098</t>
  </si>
  <si>
    <t>CHANEL</t>
  </si>
  <si>
    <t>2A035</t>
  </si>
  <si>
    <t>MAXRIENY</t>
  </si>
  <si>
    <t>2G015</t>
  </si>
  <si>
    <t>叶罗丽艺术工坊</t>
  </si>
  <si>
    <t>B1</t>
  </si>
  <si>
    <t>B1CW01</t>
  </si>
  <si>
    <t>Carsone美车堂</t>
  </si>
  <si>
    <t>2F029</t>
  </si>
  <si>
    <t>BoshiOptical----SUMSANG</t>
  </si>
  <si>
    <t>小</t>
  </si>
  <si>
    <t>1F017</t>
  </si>
  <si>
    <t>nothomme blue</t>
  </si>
  <si>
    <t>1F008</t>
  </si>
  <si>
    <t>CHINA GOLD中国黄金</t>
  </si>
  <si>
    <t>3D083</t>
  </si>
  <si>
    <t>BUYDEE北鼎</t>
  </si>
  <si>
    <t>3D092</t>
  </si>
  <si>
    <t>NB Kids</t>
  </si>
  <si>
    <t>2A046B</t>
  </si>
  <si>
    <t>MollyWood茉莉屋</t>
  </si>
  <si>
    <t>2C066</t>
  </si>
  <si>
    <t>Sanrio</t>
  </si>
  <si>
    <t>1F009</t>
  </si>
  <si>
    <t>Calvin Klein</t>
  </si>
  <si>
    <t>2E123B</t>
  </si>
  <si>
    <t>ubras</t>
  </si>
  <si>
    <t>3B039</t>
  </si>
  <si>
    <t>DR KONG江博士</t>
  </si>
  <si>
    <t>1A036</t>
  </si>
  <si>
    <t>Swarovski施华洛世奇---ash</t>
  </si>
  <si>
    <t>2D085</t>
  </si>
  <si>
    <t>tanni----切铺MY TIMELAB+莉娜熊</t>
  </si>
  <si>
    <t>2B061</t>
  </si>
  <si>
    <t>Jamor----MOFAN临时店</t>
  </si>
  <si>
    <t>2F014</t>
  </si>
  <si>
    <t>hp----华硕</t>
  </si>
  <si>
    <t>3D064</t>
  </si>
  <si>
    <t>Chocolat</t>
  </si>
  <si>
    <t>2G023</t>
  </si>
  <si>
    <t>Special Space三度空间</t>
  </si>
  <si>
    <t>2A044</t>
  </si>
  <si>
    <t>JINS睛姿</t>
  </si>
  <si>
    <t>2F010</t>
  </si>
  <si>
    <t>Lenovo来酷智生活</t>
  </si>
  <si>
    <t>2F012</t>
  </si>
  <si>
    <t>ALIENWARE</t>
  </si>
  <si>
    <t>1F007</t>
  </si>
  <si>
    <t>SAMSUNG-----壁克峰</t>
  </si>
  <si>
    <t>手机： 4%；其他： 10%</t>
  </si>
  <si>
    <t>3D085</t>
  </si>
  <si>
    <t>The North Face Kids</t>
  </si>
  <si>
    <t>2B058</t>
  </si>
  <si>
    <t>imi’s爱美丽</t>
  </si>
  <si>
    <t>3D091</t>
  </si>
  <si>
    <t>PawinPaw</t>
  </si>
  <si>
    <t>2E126</t>
  </si>
  <si>
    <t>CUTIENAILS悦·指间</t>
  </si>
  <si>
    <t>2G016</t>
  </si>
  <si>
    <t>Byoyo贝悠悠</t>
  </si>
  <si>
    <t>1D106</t>
  </si>
  <si>
    <t>PANDORA</t>
  </si>
  <si>
    <t>2A046A</t>
  </si>
  <si>
    <t>SHINE萱子</t>
  </si>
  <si>
    <t>3D068</t>
  </si>
  <si>
    <t>jnby by JNBY</t>
  </si>
  <si>
    <t>2G014B</t>
  </si>
  <si>
    <t>研社多彩绘梦</t>
  </si>
  <si>
    <t>1D095B</t>
  </si>
  <si>
    <t>BOBBIBROWN</t>
  </si>
  <si>
    <t>2F003</t>
  </si>
  <si>
    <t>YOUFANER CALL DUCK有范儿柯尔鸭公社-------I LOVE TOY</t>
  </si>
  <si>
    <t>1D086</t>
  </si>
  <si>
    <t>KIEHL’S科颜氏</t>
  </si>
  <si>
    <t>3F009B</t>
  </si>
  <si>
    <t>ChiTianSuShi池田寿司</t>
  </si>
  <si>
    <t>1A029</t>
  </si>
  <si>
    <t>MAC</t>
  </si>
  <si>
    <t>3D082</t>
  </si>
  <si>
    <t>OSIM傲胜</t>
  </si>
  <si>
    <t>1A032A</t>
  </si>
  <si>
    <t>LolaRose罗拉玫瑰</t>
  </si>
  <si>
    <t>Rotai荣泰</t>
  </si>
  <si>
    <t>2F017</t>
  </si>
  <si>
    <t>M-JBABY梦洁宝贝</t>
  </si>
  <si>
    <t>1D085</t>
  </si>
  <si>
    <t>LANCOME兰蔻</t>
  </si>
  <si>
    <t>1A041</t>
  </si>
  <si>
    <t>APMMonaco</t>
  </si>
  <si>
    <t>01A31</t>
  </si>
  <si>
    <t>icebreaker</t>
  </si>
  <si>
    <t>2F002</t>
  </si>
  <si>
    <t>ManKu漫库</t>
  </si>
  <si>
    <t>2F008</t>
  </si>
  <si>
    <t>Dell戴尔</t>
  </si>
  <si>
    <t>1E143B</t>
  </si>
  <si>
    <t>TABIO 踏比鸥</t>
  </si>
  <si>
    <t>B2</t>
  </si>
  <si>
    <t>B2CW01</t>
  </si>
  <si>
    <t>2G007</t>
  </si>
  <si>
    <t>CYTS中青旅</t>
  </si>
  <si>
    <t>1C070</t>
  </si>
  <si>
    <t>ROCK&amp;RIDE（原1C068)</t>
  </si>
  <si>
    <t>2E146B</t>
  </si>
  <si>
    <t>结绳记</t>
  </si>
  <si>
    <t xml:space="preserve">黄金5%，其他18% </t>
  </si>
  <si>
    <t>01A30</t>
  </si>
  <si>
    <t>ORIGINS</t>
  </si>
  <si>
    <t>2G025</t>
  </si>
  <si>
    <t>Jim's Recipe吉姆大师傅</t>
  </si>
  <si>
    <t>1D084</t>
  </si>
  <si>
    <t>Clarins娇韵诗</t>
  </si>
  <si>
    <t>3D067</t>
  </si>
  <si>
    <t>AimerKids</t>
  </si>
  <si>
    <t>2G017A</t>
  </si>
  <si>
    <t>COMF-PRO康朴乐</t>
  </si>
  <si>
    <t>3D065</t>
  </si>
  <si>
    <t>reima</t>
  </si>
  <si>
    <t>2F009</t>
  </si>
  <si>
    <t>Joy Kids</t>
  </si>
  <si>
    <t>3A014A</t>
  </si>
  <si>
    <t>MeetFresh鲜芋仙----KOI Thé</t>
  </si>
  <si>
    <t>1A042</t>
  </si>
  <si>
    <t>MVUKE 布歌</t>
  </si>
  <si>
    <t>2G027</t>
  </si>
  <si>
    <t>佳儿萌豆</t>
  </si>
  <si>
    <t>1B052</t>
  </si>
  <si>
    <t>Cole Haan</t>
  </si>
  <si>
    <t>2F015</t>
  </si>
  <si>
    <t>巨好玩盒子</t>
  </si>
  <si>
    <t>1B51B</t>
  </si>
  <si>
    <t>Sam Edelman</t>
  </si>
  <si>
    <t>1E127</t>
  </si>
  <si>
    <t>Clinique</t>
  </si>
  <si>
    <t>2E130A</t>
  </si>
  <si>
    <t>Rebecca</t>
  </si>
  <si>
    <t>01F06C</t>
  </si>
  <si>
    <t>薇诺娜</t>
  </si>
  <si>
    <t>01F06D</t>
  </si>
  <si>
    <t>优剪</t>
  </si>
  <si>
    <t>2D105</t>
  </si>
  <si>
    <t>Mr Brow眉毛先生</t>
  </si>
  <si>
    <t>1F012</t>
  </si>
  <si>
    <t>LYFEN来伊份</t>
  </si>
  <si>
    <t>1F010</t>
  </si>
  <si>
    <t>ZhangYiYuan张一元</t>
  </si>
  <si>
    <t>2E163</t>
  </si>
  <si>
    <t>WACOAL 华歌尔</t>
  </si>
  <si>
    <t>3E117B</t>
  </si>
  <si>
    <t>XiaXiaoShi虾小士-----薛记炒货</t>
  </si>
  <si>
    <t>2G021</t>
  </si>
  <si>
    <t>皮特曼淘矿小镇</t>
  </si>
  <si>
    <t>1D105A</t>
  </si>
  <si>
    <t>DarryRing</t>
  </si>
  <si>
    <t>1C075</t>
  </si>
  <si>
    <t>HEYTEA喜茶</t>
  </si>
  <si>
    <t>3A014C</t>
  </si>
  <si>
    <t>龙囍捞肉</t>
  </si>
  <si>
    <t>2G017B</t>
  </si>
  <si>
    <t>LeKeVR乐客VR</t>
  </si>
  <si>
    <t>2A033</t>
  </si>
  <si>
    <t>LELECHA 乐乐茶</t>
  </si>
  <si>
    <t>1F020</t>
  </si>
  <si>
    <t>ZhuYeQing竹叶青</t>
  </si>
  <si>
    <t>2E130B</t>
  </si>
  <si>
    <t>COFANCY</t>
  </si>
  <si>
    <t>2G001</t>
  </si>
  <si>
    <t>ZuiMian醉面</t>
  </si>
  <si>
    <t>2C070</t>
  </si>
  <si>
    <t>Joycode</t>
  </si>
  <si>
    <t>2G026</t>
  </si>
  <si>
    <t>王者头号玩家</t>
  </si>
  <si>
    <t>02E144A</t>
  </si>
  <si>
    <t>ChaBaiDao茶百道</t>
  </si>
  <si>
    <t>2A032B</t>
  </si>
  <si>
    <t>SUBWAY赛百味</t>
  </si>
  <si>
    <t>2A037</t>
  </si>
  <si>
    <t>CROCS</t>
  </si>
  <si>
    <t>2D100B</t>
  </si>
  <si>
    <t xml:space="preserve">Blueglass yogurt </t>
  </si>
  <si>
    <t>2E149</t>
  </si>
  <si>
    <t>AJIDOU</t>
  </si>
  <si>
    <t>2D087</t>
  </si>
  <si>
    <t>SWOFCARE</t>
  </si>
  <si>
    <t>1F019</t>
  </si>
  <si>
    <t>OnitsukaTiger</t>
  </si>
  <si>
    <t>3D081C</t>
  </si>
  <si>
    <t>ChaHuaNong茶话弄</t>
  </si>
  <si>
    <t>特小</t>
  </si>
  <si>
    <t>1E134A</t>
  </si>
  <si>
    <t>Ray-Ban</t>
  </si>
  <si>
    <t>1E134</t>
  </si>
  <si>
    <t>Calzedonia</t>
  </si>
  <si>
    <t>3A013</t>
  </si>
  <si>
    <t>Auntea Jenny沪上阿姨</t>
  </si>
  <si>
    <t>1F004</t>
  </si>
  <si>
    <t>WuYuTai吴裕泰</t>
  </si>
  <si>
    <t>2G012</t>
  </si>
  <si>
    <t>JoyKids大悦童</t>
  </si>
  <si>
    <t>3E118E</t>
  </si>
  <si>
    <t>Coco都可茶饮-----fufuland</t>
  </si>
  <si>
    <t>1F006A</t>
  </si>
  <si>
    <t>TOSWIM</t>
  </si>
  <si>
    <t>3D086</t>
  </si>
  <si>
    <t>Domiamia</t>
  </si>
  <si>
    <t>2F024</t>
  </si>
  <si>
    <t>Aijiewuyu</t>
  </si>
  <si>
    <t>2D108B</t>
  </si>
  <si>
    <t>L’Oreal</t>
  </si>
  <si>
    <t>2G003A</t>
  </si>
  <si>
    <t>DQ</t>
  </si>
  <si>
    <t>1F002</t>
  </si>
  <si>
    <t>AiHuiShou爱回收</t>
  </si>
  <si>
    <t>1D105C</t>
  </si>
  <si>
    <t>HEFANG</t>
  </si>
  <si>
    <t>2E144B</t>
  </si>
  <si>
    <t>兰熊鲜奶</t>
  </si>
  <si>
    <t>1F013</t>
  </si>
  <si>
    <t>DaoXiangCun稻香村</t>
  </si>
  <si>
    <t>2G024</t>
  </si>
  <si>
    <t>Lijiababy丽家宝贝</t>
  </si>
  <si>
    <t>3D081B</t>
  </si>
  <si>
    <t>LiangZhiYeZi两只椰子</t>
  </si>
  <si>
    <t>3D081A</t>
  </si>
  <si>
    <t>不已手製</t>
  </si>
  <si>
    <t>PinZhenGe品真阁-----华夏典当行</t>
  </si>
  <si>
    <t>1D105B</t>
  </si>
  <si>
    <t>MONOLOGUE</t>
  </si>
  <si>
    <t>黄金商品提成比例：10%其他商品及服务提成比例：18%</t>
  </si>
  <si>
    <t>3A026</t>
  </si>
  <si>
    <t>BeeChengHiang美珍香</t>
  </si>
  <si>
    <t>3D066</t>
  </si>
  <si>
    <t>PAPA</t>
  </si>
  <si>
    <t>2D108A</t>
  </si>
  <si>
    <t>MuJiuShi木九十</t>
  </si>
  <si>
    <t>3E111E</t>
  </si>
  <si>
    <t>乐乐姐</t>
  </si>
  <si>
    <t>3E111C</t>
  </si>
  <si>
    <t>鹿野制菓</t>
  </si>
  <si>
    <t>1E143A</t>
  </si>
  <si>
    <t>HappySocks</t>
  </si>
  <si>
    <t>2C079</t>
  </si>
  <si>
    <t>iFLYTEK科大讯飞</t>
  </si>
  <si>
    <t>3E111B</t>
  </si>
  <si>
    <t>爆脾气</t>
  </si>
  <si>
    <t>3A018</t>
  </si>
  <si>
    <t>宝珠奶酪</t>
  </si>
  <si>
    <t>3E111D</t>
  </si>
  <si>
    <t>都士竟成</t>
  </si>
  <si>
    <t>3E118A</t>
  </si>
  <si>
    <t>咏巷炸鸡</t>
  </si>
  <si>
    <t>3E118</t>
  </si>
  <si>
    <t>LuShanChuan卤山川</t>
  </si>
  <si>
    <t>3E118C</t>
  </si>
  <si>
    <t>FuQian福前小酥肉</t>
  </si>
  <si>
    <t>2E146A</t>
  </si>
  <si>
    <t>EAU Flora</t>
  </si>
  <si>
    <t>2C078</t>
  </si>
  <si>
    <t>3D-JP</t>
  </si>
  <si>
    <t>3F010B</t>
  </si>
  <si>
    <t>Sweet7</t>
  </si>
  <si>
    <t>RoyalBaby优贝</t>
  </si>
  <si>
    <t>2G022</t>
  </si>
  <si>
    <t>ChuangYu 创宇小飞侠</t>
  </si>
  <si>
    <t>3E118B</t>
  </si>
  <si>
    <t>阿芮</t>
  </si>
  <si>
    <t>2E123A</t>
  </si>
  <si>
    <t>CASIO</t>
  </si>
  <si>
    <t>2G020</t>
  </si>
  <si>
    <t>美吉大师傅</t>
  </si>
  <si>
    <t>1F003</t>
  </si>
  <si>
    <t>JiangXinGongFang匠心工坊</t>
  </si>
  <si>
    <t>2C074</t>
  </si>
  <si>
    <t>Miomi</t>
  </si>
  <si>
    <t>1A043</t>
  </si>
  <si>
    <t>MeiZhiLian美芝莲</t>
  </si>
  <si>
    <t>2E144</t>
  </si>
  <si>
    <t>ShiJingPo 市井婆-----北平制冰厂</t>
  </si>
  <si>
    <t>3F009</t>
  </si>
  <si>
    <t>ZEROPRAK零度乐园</t>
  </si>
  <si>
    <t>1F005</t>
  </si>
  <si>
    <t>ShiJiDeLi世纪得利</t>
  </si>
  <si>
    <t>出租面积</t>
  </si>
  <si>
    <t>台账出租率</t>
  </si>
  <si>
    <t>总可租赁面积</t>
  </si>
  <si>
    <t>免租后租金</t>
  </si>
  <si>
    <t xml:space="preserve"> </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</si>
  <si>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</si>
  <si>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</si>
  <si>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</si>
  <si>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</si>
  <si>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</si>
  <si>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</si>
  <si>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</si>
  <si>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</si>
  <si>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</si>
  <si>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</si>
  <si>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</si>
  <si>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</si>
  <si>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</si>
  <si>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</si>
  <si>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</si>
  <si>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</si>
  <si>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</si>
  <si>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</si>
  <si>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</si>
  <si>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</si>
  <si>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</si>
  <si>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</si>
  <si>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</si>
  <si>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</si>
  <si>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</si>
  <si>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</si>
  <si>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</si>
  <si>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</si>
  <si>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</si>
  <si>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</si>
  <si>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</si>
  <si>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</si>
  <si>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</si>
  <si>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</si>
  <si>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</si>
  <si>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</si>
  <si>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</si>
  <si>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</si>
  <si>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</si>
  <si>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</si>
  <si>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</si>
  <si>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</si>
  <si>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</si>
  <si>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</si>
  <si>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</si>
  <si>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</si>
  <si>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</si>
  <si>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</si>
  <si>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</si>
  <si>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</si>
  <si>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</si>
  <si>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</si>
  <si>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</si>
  <si>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</si>
  <si>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</si>
  <si>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</si>
  <si>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</si>
  <si>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</si>
  <si>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</si>
  <si>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</si>
  <si>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</si>
  <si>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</si>
  <si>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</si>
  <si>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</si>
  <si>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</si>
  <si>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</si>
  <si>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</si>
  <si>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</si>
  <si>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</si>
  <si>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</si>
  <si>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</si>
  <si>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</si>
  <si>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</si>
  <si>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</si>
  <si>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</si>
  <si>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</si>
  <si>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</si>
  <si>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</si>
  <si>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</si>
  <si>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</si>
  <si>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</si>
  <si>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</si>
  <si>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</si>
  <si>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</si>
  <si>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</si>
  <si>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</si>
  <si>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</si>
  <si>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</si>
  <si>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</si>
  <si>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</si>
  <si>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</si>
  <si>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</si>
  <si>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</si>
  <si>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</si>
  <si>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</si>
  <si>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</si>
  <si>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</si>
  <si>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</si>
  <si>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</si>
  <si>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</si>
  <si>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</si>
  <si>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</si>
  <si>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</si>
  <si>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</si>
  <si>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</si>
  <si>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</si>
  <si>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</si>
  <si>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</si>
  <si>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</si>
  <si>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</si>
  <si>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</si>
  <si>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</si>
  <si>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</si>
  <si>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</si>
  <si>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</si>
  <si>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</si>
  <si>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</si>
  <si>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</si>
  <si>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</si>
  <si>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</si>
  <si>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</si>
  <si>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</si>
  <si>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</si>
  <si>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</si>
  <si>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</si>
  <si>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</si>
  <si>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</si>
  <si>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</si>
  <si>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</si>
  <si>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</si>
  <si>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</si>
  <si>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</si>
  <si>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</si>
  <si>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</si>
  <si>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</si>
  <si>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</si>
  <si>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</si>
  <si>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</si>
  <si>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</si>
  <si>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</si>
  <si>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</si>
  <si>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</si>
  <si>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</si>
  <si>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</si>
  <si>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</si>
  <si>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</si>
  <si>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</si>
  <si>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</si>
  <si>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</si>
  <si>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</si>
  <si>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</si>
  <si>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</si>
  <si>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</si>
  <si>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</si>
  <si>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</si>
  <si>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</si>
  <si>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</si>
  <si>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</si>
  <si>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</si>
  <si>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</si>
  <si>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</si>
  <si>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</si>
  <si>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</si>
  <si>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</si>
  <si>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</si>
  <si>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</si>
  <si>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</si>
  <si>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</si>
  <si>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</si>
  <si>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</si>
  <si>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</si>
  <si>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</si>
  <si>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</si>
  <si>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</si>
  <si>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</si>
  <si>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</si>
  <si>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</si>
  <si>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</si>
  <si>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</si>
  <si>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</si>
  <si>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</si>
  <si>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</si>
  <si>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</si>
  <si>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</si>
  <si>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</si>
  <si>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</si>
  <si>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</si>
  <si>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</si>
  <si>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</si>
  <si>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</si>
  <si>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</si>
  <si>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</si>
  <si>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</si>
  <si>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</si>
  <si>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</si>
  <si>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</si>
  <si>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</si>
  <si>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</si>
  <si>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</si>
  <si>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</si>
  <si>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</si>
  <si>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</si>
  <si>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</si>
  <si>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</si>
  <si>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</si>
  <si>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</si>
  <si>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</si>
  <si>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</si>
  <si>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</si>
  <si>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</si>
  <si>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</si>
  <si>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</si>
  <si>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</si>
  <si>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</si>
  <si>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</si>
  <si>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</si>
  <si>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</si>
  <si>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</si>
  <si>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</si>
  <si>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</si>
  <si>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</si>
  <si>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</si>
  <si>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</si>
  <si>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</si>
  <si>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</si>
  <si>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</si>
  <si>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</si>
  <si>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</si>
  <si>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</si>
  <si>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</si>
  <si>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</si>
  <si>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</si>
  <si>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</si>
  <si>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</si>
  <si>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</si>
  <si>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</si>
  <si>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</si>
  <si>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</si>
  <si>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</si>
  <si>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</si>
  <si>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</si>
  <si>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</si>
  <si>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</si>
  <si>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</si>
  <si>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</si>
  <si>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</si>
  <si>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</si>
  <si>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</si>
  <si>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</si>
  <si>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</si>
  <si>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</si>
  <si>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</si>
  <si>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</si>
  <si>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</si>
  <si>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</si>
  <si>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</si>
  <si>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</si>
  <si>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</si>
  <si>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</si>
  <si>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</si>
  <si>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</si>
  <si>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</si>
  <si>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</si>
  <si>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</si>
  <si>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</si>
  <si>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</si>
  <si>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</si>
  <si>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</si>
  <si>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</si>
  <si>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</si>
  <si>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</si>
  <si>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</si>
  <si>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</si>
  <si>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</si>
  <si>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</si>
  <si>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</si>
  <si>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</si>
  <si>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</si>
  <si>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</si>
  <si>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</si>
  <si>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</si>
  <si>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</si>
  <si>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</si>
  <si>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</si>
  <si>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</si>
  <si>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</si>
  <si>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</si>
  <si>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</si>
  <si>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</si>
  <si>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</si>
  <si>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</si>
  <si>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</si>
  <si>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</si>
  <si>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</si>
  <si>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</si>
  <si>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</si>
  <si>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</si>
  <si>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</si>
  <si>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</si>
  <si>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</si>
  <si>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</si>
  <si>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</si>
  <si>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</si>
  <si>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</si>
  <si>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</si>
  <si>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</si>
  <si>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</si>
  <si>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</si>
  <si>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</si>
  <si>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</si>
  <si>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</si>
  <si>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</si>
  <si>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</si>
  <si>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</si>
  <si>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</si>
  <si>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</si>
  <si>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</si>
  <si>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</si>
  <si>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</si>
  <si>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</si>
  <si>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</si>
  <si>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</si>
  <si>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</si>
  <si>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</si>
  <si>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</si>
  <si>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</si>
  <si>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</si>
  <si>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</si>
  <si>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</si>
  <si>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</si>
  <si>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</si>
  <si>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</si>
  <si>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</si>
  <si>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</si>
  <si>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</si>
  <si>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</si>
  <si>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</si>
  <si>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</si>
  <si>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</si>
  <si>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</si>
  <si>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</si>
  <si>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</si>
  <si>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</si>
  <si>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</si>
  <si>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</si>
  <si>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</si>
  <si>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</si>
  <si>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</si>
  <si>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</si>
  <si>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</si>
  <si>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</si>
  <si>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</si>
  <si>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</si>
  <si>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</si>
  <si>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</si>
  <si>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</si>
  <si>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</si>
  <si>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</si>
  <si>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</si>
  <si>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</si>
  <si>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</si>
  <si>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</si>
  <si>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</si>
  <si>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</si>
  <si>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</si>
  <si>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</si>
  <si>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</si>
  <si>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</si>
  <si>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</si>
  <si>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</si>
  <si>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</si>
  <si>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</si>
  <si>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</si>
  <si>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</si>
  <si>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</si>
  <si>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</si>
  <si>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</si>
  <si>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</si>
  <si>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</si>
  <si>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</si>
  <si>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</si>
  <si>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</si>
  <si>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</si>
  <si>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</si>
  <si>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</si>
  <si>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</si>
  <si>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</si>
  <si>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</si>
  <si>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</si>
  <si>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</si>
  <si>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</si>
  <si>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</si>
  <si>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</si>
  <si>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</si>
  <si>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</si>
  <si>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</si>
  <si>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</si>
  <si>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</si>
  <si>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</si>
  <si>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</si>
  <si>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</si>
  <si>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</si>
  <si>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</si>
  <si>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</si>
  <si>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</si>
  <si>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</si>
  <si>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</si>
  <si>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</si>
  <si>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</si>
  <si>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</si>
  <si>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</si>
  <si>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</si>
  <si>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</si>
  <si>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</si>
  <si>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</si>
  <si>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</si>
  <si>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</si>
  <si>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</si>
  <si>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</si>
  <si>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</si>
  <si>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</si>
  <si>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</si>
  <si>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</si>
  <si>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</si>
  <si>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</si>
  <si>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</si>
  <si>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</si>
  <si>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</si>
  <si>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</si>
  <si>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</si>
  <si>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</si>
  <si>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</si>
  <si>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</si>
  <si>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</si>
  <si>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</si>
  <si>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</si>
  <si>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</si>
  <si>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</si>
  <si>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</si>
  <si>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</si>
  <si>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</si>
  <si>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</si>
  <si>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</si>
  <si>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</si>
  <si>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</si>
  <si>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</si>
  <si>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</si>
  <si>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</si>
  <si>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</si>
  <si>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</si>
  <si>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</si>
  <si>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</si>
  <si>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</si>
  <si>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</si>
  <si>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</si>
  <si>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</si>
  <si>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</si>
  <si>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</si>
  <si>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</si>
  <si>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</si>
  <si>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</si>
  <si>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</si>
  <si>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</si>
  <si>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</si>
  <si>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</si>
  <si>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</si>
  <si>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</si>
  <si>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</si>
  <si>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</si>
  <si>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</si>
  <si>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</si>
  <si>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</si>
  <si>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</si>
  <si>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</si>
  <si>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</si>
  <si>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</si>
  <si>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</si>
  <si>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</si>
  <si>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</si>
  <si>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</si>
  <si>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</si>
  <si>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</si>
  <si>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</si>
  <si>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</si>
  <si>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</si>
  <si>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</si>
  <si>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</si>
  <si>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</si>
  <si>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</si>
  <si>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</si>
  <si>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</si>
  <si>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</si>
  <si>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</si>
  <si>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</si>
  <si>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</si>
  <si>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</si>
  <si>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</si>
  <si>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</si>
  <si>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</si>
  <si>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</si>
  <si>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</si>
  <si>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</si>
  <si>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</si>
  <si>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</si>
  <si>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</si>
  <si>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</si>
  <si>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</si>
  <si>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</si>
  <si>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</si>
  <si>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</si>
  <si>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</si>
  <si>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</si>
  <si>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</si>
  <si>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</si>
  <si>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</si>
  <si>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</si>
  <si>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</si>
  <si>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</si>
  <si>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</si>
  <si>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</si>
  <si>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</si>
  <si>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</si>
  <si>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</si>
  <si>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</si>
  <si>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</si>
  <si>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</si>
  <si>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</si>
  <si>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</si>
  <si>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</si>
  <si>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</si>
  <si>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</si>
  <si>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</si>
  <si>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</si>
  <si>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</si>
  <si>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</si>
  <si>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</si>
  <si>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</si>
  <si>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</si>
  <si>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</si>
  <si>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</si>
  <si>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</si>
  <si>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</si>
  <si>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</si>
  <si>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</si>
  <si>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</si>
  <si>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</si>
  <si>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</si>
  <si>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</si>
  <si>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</si>
  <si>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</si>
  <si>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</si>
  <si>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</si>
  <si>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</si>
  <si>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</si>
  <si>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</si>
  <si>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</si>
  <si>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</si>
  <si>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</si>
  <si>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</si>
  <si>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</si>
  <si>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</si>
  <si>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</si>
  <si>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</si>
  <si>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</si>
  <si>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</si>
  <si>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</si>
  <si>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</si>
  <si>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</si>
  <si>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</si>
  <si>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</si>
  <si>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</si>
  <si>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</si>
  <si>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</si>
  <si>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</si>
  <si>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</si>
  <si>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</si>
  <si>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</si>
  <si>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</si>
  <si>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</si>
  <si>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</si>
  <si>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</si>
  <si>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</si>
  <si>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</si>
  <si>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</si>
  <si>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</si>
  <si>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</si>
  <si>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</si>
  <si>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</si>
  <si>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</si>
  <si>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</si>
  <si>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</si>
  <si>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</si>
  <si>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</si>
  <si>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</si>
  <si>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</si>
  <si>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</si>
  <si>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</si>
  <si>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</si>
  <si>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</si>
  <si>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</si>
  <si>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</si>
  <si>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</si>
  <si>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</si>
  <si>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</si>
  <si>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</si>
  <si>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</si>
  <si>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</si>
  <si>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</si>
  <si>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</si>
  <si>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</si>
  <si>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</si>
  <si>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</si>
  <si>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</si>
  <si>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</si>
  <si>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</si>
  <si>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</si>
  <si>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</si>
  <si>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</si>
  <si>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</si>
  <si>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</si>
  <si>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</si>
  <si>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</si>
  <si>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</si>
  <si>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</si>
  <si>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</si>
  <si>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</si>
  <si>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</si>
  <si>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</si>
  <si>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</si>
  <si>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</si>
  <si>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</si>
  <si>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</si>
  <si>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</si>
  <si>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</si>
  <si>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</si>
  <si>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</si>
  <si>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</si>
  <si>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</si>
  <si>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</si>
  <si>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</si>
  <si>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</si>
  <si>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</si>
  <si>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</si>
  <si>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</si>
  <si>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</si>
  <si>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</si>
  <si>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</si>
  <si>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</si>
  <si>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</si>
  <si>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</si>
  <si>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</si>
  <si>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</si>
  <si>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</si>
  <si>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</si>
  <si>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</si>
  <si>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</si>
  <si>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</si>
  <si>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</si>
  <si>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</si>
  <si>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</si>
  <si>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</si>
  <si>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</si>
  <si>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</si>
  <si>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</si>
  <si>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</si>
  <si>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</si>
  <si>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</si>
  <si>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</si>
  <si>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</si>
  <si>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</si>
  <si>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</si>
  <si>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</si>
  <si>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</si>
  <si>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</si>
  <si>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</si>
  <si>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</si>
  <si>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</si>
  <si>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</si>
  <si>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</si>
  <si>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</si>
  <si>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</si>
  <si>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</si>
  <si>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</si>
  <si>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</si>
  <si>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</si>
  <si>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</si>
  <si>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</si>
  <si>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</si>
  <si>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</si>
  <si>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</si>
  <si>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</si>
  <si>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</si>
  <si>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</si>
  <si>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</si>
  <si>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</si>
  <si>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</si>
  <si>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</si>
  <si>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</si>
  <si>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</si>
  <si>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</si>
  <si>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</si>
  <si>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</si>
  <si>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</si>
  <si>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</si>
  <si>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</si>
  <si>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</si>
  <si>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</si>
  <si>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</si>
  <si>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</si>
  <si>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</si>
  <si>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</si>
  <si>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</si>
  <si>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</si>
  <si>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</si>
  <si>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</si>
  <si>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</si>
  <si>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</si>
  <si>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</si>
  <si>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</si>
  <si>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</si>
  <si>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</si>
  <si>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</si>
  <si>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</si>
  <si>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</si>
  <si>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</si>
  <si>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</si>
  <si>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</si>
  <si>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</si>
  <si>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</si>
  <si>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</si>
  <si>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</si>
  <si>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</si>
  <si>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</si>
  <si>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</si>
  <si>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</si>
  <si>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</si>
  <si>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</si>
  <si>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</si>
  <si>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</si>
  <si>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</si>
  <si>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</si>
  <si>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</si>
  <si>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</si>
  <si>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</si>
  <si>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</si>
  <si>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</si>
  <si>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</si>
  <si>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</si>
  <si>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</si>
  <si>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</si>
  <si>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</si>
  <si>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</si>
  <si>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</si>
  <si>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</si>
  <si>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</si>
  <si>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</si>
  <si>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</si>
  <si>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</si>
  <si>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</si>
  <si>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</si>
  <si>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</si>
  <si>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</si>
  <si>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</si>
  <si>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</si>
  <si>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</si>
  <si>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</si>
  <si>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</si>
  <si>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</si>
  <si>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</si>
  <si>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</si>
  <si>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</si>
  <si>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</si>
  <si>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</si>
  <si>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</si>
  <si>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</si>
  <si>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</si>
  <si>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</si>
  <si>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</si>
  <si>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</si>
  <si>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</si>
  <si>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</si>
  <si>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</si>
  <si>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</si>
  <si>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</si>
  <si>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</si>
  <si>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</si>
  <si>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</si>
  <si>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</si>
  <si>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</si>
  <si>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</si>
  <si>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</si>
  <si>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</si>
  <si>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</si>
  <si>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</si>
  <si>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</si>
  <si>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</si>
  <si>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</si>
  <si>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</si>
  <si>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</si>
  <si>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</si>
  <si>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</si>
  <si>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</si>
  <si>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</si>
  <si>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</si>
  <si>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</si>
  <si>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</si>
  <si>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</si>
  <si>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</si>
  <si>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</si>
  <si>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</si>
  <si>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</si>
  <si>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</si>
  <si>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</si>
  <si>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</si>
  <si>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</si>
  <si>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</si>
  <si>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</si>
  <si>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</si>
  <si>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</si>
  <si>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</si>
  <si>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</si>
  <si>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</si>
  <si>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</si>
  <si>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</si>
  <si>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</si>
  <si>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</si>
  <si>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</si>
  <si>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</si>
  <si>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</si>
  <si>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</si>
  <si>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</si>
  <si>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</si>
  <si>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</si>
  <si>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</si>
  <si>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</si>
  <si>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</si>
  <si>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</si>
  <si>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</si>
  <si>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</si>
  <si>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</si>
  <si>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</si>
  <si>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</si>
  <si>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</si>
  <si>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</si>
  <si>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</si>
  <si>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</si>
  <si>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</si>
  <si>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</si>
  <si>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</si>
  <si>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</si>
  <si>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</si>
  <si>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</si>
  <si>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</si>
  <si>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</si>
  <si>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</si>
  <si>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</si>
  <si>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</si>
  <si>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</si>
  <si>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</si>
  <si>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</si>
  <si>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</si>
  <si>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</si>
  <si>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</si>
  <si>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</si>
  <si>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</si>
  <si>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</si>
  <si>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</si>
  <si>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</si>
  <si>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</si>
  <si>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</si>
  <si>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</si>
  <si>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</si>
  <si>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</si>
  <si>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</si>
  <si>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</si>
  <si>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</si>
  <si>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</si>
  <si>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</si>
  <si>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</si>
  <si>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</si>
  <si>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</si>
  <si>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</si>
  <si>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</si>
  <si>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</si>
  <si>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</si>
  <si>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</si>
  <si>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</si>
  <si>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</si>
  <si>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</si>
  <si>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</si>
  <si>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</si>
  <si>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</si>
  <si>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</si>
  <si>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</si>
  <si>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</si>
  <si>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</si>
  <si>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</si>
  <si>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</si>
  <si>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</si>
  <si>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</si>
  <si>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</si>
  <si>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</si>
  <si>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</si>
  <si>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</si>
  <si>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</si>
  <si>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</si>
  <si>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</si>
  <si>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</si>
  <si>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</si>
  <si>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</si>
  <si>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</si>
  <si>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</si>
  <si>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</si>
  <si>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</si>
  <si>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</si>
  <si>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</si>
  <si>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</si>
  <si>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</si>
  <si>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</si>
  <si>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</si>
  <si>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</si>
  <si>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</si>
  <si>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</si>
  <si>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</si>
  <si>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</si>
  <si>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</si>
  <si>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</si>
  <si>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</si>
  <si>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</si>
  <si>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</si>
  <si>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</si>
  <si>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</si>
  <si>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</si>
  <si>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</si>
  <si>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</si>
  <si>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</si>
  <si>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</si>
  <si>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</si>
  <si>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</si>
  <si>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</si>
  <si>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</si>
  <si>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</si>
  <si>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</si>
  <si>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</si>
  <si>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</si>
  <si>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</si>
  <si>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</si>
  <si>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</si>
  <si>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</si>
  <si>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</si>
  <si>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</si>
  <si>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</si>
  <si>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</si>
  <si>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</si>
  <si>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</si>
  <si>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</si>
  <si>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</si>
  <si>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</si>
  <si>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</si>
  <si>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</si>
  <si>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</si>
  <si>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</si>
  <si>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</si>
  <si>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</si>
  <si>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</si>
  <si>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</si>
  <si>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</si>
  <si>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</si>
  <si>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</si>
  <si>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</si>
  <si>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</si>
  <si>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</si>
  <si>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</si>
  <si>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</si>
  <si>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</si>
  <si>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</si>
  <si>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</si>
  <si>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</si>
  <si>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</si>
  <si>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</si>
  <si>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</si>
  <si>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</si>
  <si>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</si>
  <si>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</si>
  <si>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</si>
  <si>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</si>
  <si>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</si>
  <si>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</si>
  <si>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</si>
  <si>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</si>
  <si>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</si>
  <si>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</si>
  <si>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</si>
  <si>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</si>
  <si>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</si>
  <si>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</si>
  <si>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</si>
  <si>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</si>
  <si>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</si>
  <si>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</si>
  <si>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</si>
  <si>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</si>
  <si>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</si>
  <si>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</si>
  <si>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</si>
  <si>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</si>
  <si>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</si>
  <si>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</si>
  <si>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</si>
  <si>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</si>
  <si>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</si>
  <si>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</si>
  <si>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</si>
  <si>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</si>
  <si>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</si>
  <si>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</si>
  <si>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</si>
  <si>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</si>
  <si>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</si>
  <si>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</si>
  <si>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</si>
  <si>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</si>
  <si>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</si>
  <si>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</si>
  <si>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</si>
  <si>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</si>
  <si>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</si>
  <si>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</si>
  <si>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</si>
  <si>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</si>
  <si>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</si>
  <si>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</si>
  <si>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</si>
  <si>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</si>
  <si>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</si>
  <si>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</si>
  <si>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</si>
  <si>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</si>
  <si>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</si>
  <si>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</si>
  <si>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</si>
  <si>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</si>
  <si>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</si>
  <si>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</si>
  <si>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</si>
  <si>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</si>
  <si>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</si>
  <si>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</si>
  <si>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</si>
  <si>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</si>
  <si>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</si>
  <si>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</si>
  <si>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</si>
  <si>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</si>
  <si>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</si>
  <si>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</si>
  <si>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</si>
  <si>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</si>
  <si>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</si>
  <si>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</si>
  <si>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</si>
  <si>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</si>
  <si>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</si>
  <si>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</si>
  <si>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</si>
  <si>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</si>
  <si>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</si>
  <si>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</si>
  <si>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</si>
  <si>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</si>
  <si>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</si>
  <si>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</si>
  <si>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</si>
  <si>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</si>
  <si>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</si>
  <si>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</si>
  <si>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</si>
  <si>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</si>
  <si>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</si>
  <si>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</si>
  <si>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</si>
  <si>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</si>
  <si>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</si>
  <si>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</si>
  <si>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</si>
  <si>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</si>
  <si>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</si>
  <si>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</si>
  <si>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</si>
  <si>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</si>
  <si>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</si>
  <si>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</si>
  <si>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</si>
  <si>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</si>
  <si>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</si>
  <si>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</si>
  <si>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</si>
  <si>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</si>
  <si>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</si>
  <si>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</si>
  <si>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</si>
  <si>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</si>
  <si>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</si>
  <si>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</si>
  <si>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</si>
  <si>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</si>
  <si>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</si>
  <si>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</si>
  <si>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</si>
  <si>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</si>
  <si>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</si>
  <si>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</si>
  <si>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</si>
  <si>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</si>
  <si>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</si>
  <si>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</si>
  <si>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</si>
  <si>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</si>
  <si>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</si>
  <si>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</si>
  <si>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</si>
  <si>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</si>
  <si>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</si>
  <si>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</si>
  <si>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</si>
  <si>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</si>
  <si>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</si>
  <si>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</si>
  <si>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</si>
  <si>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</si>
  <si>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</si>
  <si>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</si>
  <si>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</si>
  <si>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</si>
  <si>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</si>
  <si>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</si>
  <si>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</si>
  <si>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</si>
  <si>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</si>
  <si>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</si>
  <si>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</si>
  <si>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</si>
  <si>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</si>
  <si>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</si>
  <si>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</si>
  <si>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</si>
  <si>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</si>
  <si>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</si>
  <si>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</si>
  <si>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</si>
  <si>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</si>
  <si>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</si>
  <si>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</si>
  <si>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</si>
  <si>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</si>
  <si>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</si>
  <si>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</si>
  <si>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</si>
  <si>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</si>
  <si>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</si>
  <si>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</si>
  <si>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</si>
  <si>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</si>
  <si>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</si>
  <si>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</si>
  <si>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</si>
  <si>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</si>
  <si>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</si>
  <si>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</si>
  <si>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</si>
  <si>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</si>
  <si>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</si>
  <si>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</si>
  <si>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</si>
  <si>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</si>
  <si>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</si>
  <si>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</si>
  <si>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</si>
  <si>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</si>
  <si>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</si>
  <si>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</si>
  <si>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</si>
  <si>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</si>
  <si>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</si>
  <si>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</si>
  <si>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</si>
  <si>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</si>
  <si>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</si>
  <si>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</si>
  <si>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</si>
  <si>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</si>
  <si>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</si>
  <si>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</si>
  <si>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</si>
  <si>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</si>
  <si>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</si>
  <si>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</si>
  <si>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</si>
  <si>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1号楼</t>
    <phoneticPr fontId="237" type="noConversion"/>
  </si>
  <si>
    <t>所在楼层</t>
    <phoneticPr fontId="237" type="noConversion"/>
  </si>
  <si>
    <t>1层</t>
    <phoneticPr fontId="237" type="noConversion"/>
  </si>
  <si>
    <t>地下1层</t>
    <phoneticPr fontId="237" type="noConversion"/>
  </si>
  <si>
    <t>夹层及附属用房</t>
    <phoneticPr fontId="237" type="noConversion"/>
  </si>
  <si>
    <t>2号楼</t>
    <phoneticPr fontId="237" type="noConversion"/>
  </si>
  <si>
    <t>现状用途</t>
    <phoneticPr fontId="237" type="noConversion"/>
  </si>
  <si>
    <t>合计</t>
    <phoneticPr fontId="237" type="noConversion"/>
  </si>
  <si>
    <t>小计</t>
    <phoneticPr fontId="237" type="noConversion"/>
  </si>
  <si>
    <t>——</t>
    <phoneticPr fontId="237" type="noConversion"/>
  </si>
  <si>
    <t>商业</t>
    <phoneticPr fontId="237" type="noConversion"/>
  </si>
  <si>
    <t>商业、办公</t>
    <phoneticPr fontId="237" type="noConversion"/>
  </si>
  <si>
    <t>地下车库</t>
    <phoneticPr fontId="237" type="noConversion"/>
  </si>
  <si>
    <t>人防</t>
    <phoneticPr fontId="237"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</si>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</sst>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_(* #,##0_);_(* \(#,##0\);_(* &quot;-&quot;??_);_(@_)"/>
    <numFmt numFmtId="195" formatCode="_ * #,##0_ ;_ * \-#,##0_ ;_ * &quot;-&quot;??_ ;_ @_ "/>
    <numFmt numFmtId="196" formatCode="#,##0_ "/>
    <numFmt numFmtId="197" formatCode="0.0000_);[Red]\(0.0000\)"/>
    <numFmt numFmtId="198" formatCode="[$-F800]dddd\,\ mmmm\ dd\,\ yyyy"/>
    <numFmt numFmtId="199" formatCode="0;_쐀"/>
  </numFmts>
  <fonts count="23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0"/>
      <name val="微软雅黑"/>
      <family val="2"/>
      <charset val="134"/>
    </font>
    <font>
      <sz val="10"/>
      <name val="微软雅黑"/>
      <family val="2"/>
      <charset val="134"/>
    </font>
    <font>
      <sz val="11"/>
      <name val="微软雅黑"/>
      <family val="2"/>
      <charset val="134"/>
    </font>
    <font>
      <sz val="9"/>
      <name val="微软雅黑"/>
      <family val="2"/>
      <charset val="134"/>
    </font>
    <font>
      <b/>
      <sz val="10"/>
      <color theme="1"/>
      <name val="微软雅黑"/>
      <family val="2"/>
      <charset val="134"/>
    </font>
    <font>
      <b/>
      <sz val="10"/>
      <color theme="0"/>
      <name val="微软雅黑"/>
      <family val="2"/>
      <charset val="134"/>
    </font>
    <font>
      <b/>
      <sz val="14"/>
      <name val="微软雅黑"/>
      <family val="2"/>
      <charset val="134"/>
    </font>
    <font>
      <b/>
      <sz val="11"/>
      <name val="微软雅黑"/>
      <family val="2"/>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b/>
      <sz val="10"/>
      <color theme="1"/>
      <name val="华文细黑"/>
      <family val="3"/>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indexed="8"/>
      <name val="Calibri"/>
      <family val="2"/>
    </font>
    <font>
      <sz val="12"/>
      <color theme="1"/>
      <name val="楷体_GB2312"/>
      <family val="3"/>
      <charset val="134"/>
    </font>
    <font>
      <b/>
      <sz val="10"/>
      <color indexed="8"/>
      <name val="宋体"/>
      <family val="3"/>
      <charset val="134"/>
    </font>
    <font>
      <b/>
      <sz val="11"/>
      <color indexed="8"/>
      <name val="宋体"/>
      <family val="3"/>
      <charset val="134"/>
    </font>
    <font>
      <sz val="11"/>
      <name val="宋体"/>
      <family val="3"/>
      <charset val="134"/>
    </font>
    <font>
      <sz val="10"/>
      <color theme="9" tint="-0.249977111117893"/>
      <name val="宋体"/>
      <family val="3"/>
      <charset val="134"/>
    </font>
    <font>
      <sz val="14"/>
      <color theme="1"/>
      <name val="宋体"/>
      <family val="3"/>
      <charset val="134"/>
    </font>
    <font>
      <sz val="12"/>
      <color theme="1"/>
      <name val="宋体"/>
      <family val="3"/>
      <charset val="134"/>
    </font>
    <font>
      <sz val="10"/>
      <color rgb="FF000000"/>
      <name val="宋体"/>
      <family val="3"/>
      <charset val="134"/>
    </font>
    <font>
      <vertAlign val="subscript"/>
      <sz val="10"/>
      <color theme="1"/>
      <name val="Arial"/>
      <family val="2"/>
    </font>
    <font>
      <sz val="14"/>
      <color rgb="FF000000"/>
      <name val="宋体"/>
      <family val="3"/>
      <charset val="134"/>
    </font>
    <font>
      <b/>
      <sz val="10"/>
      <color indexed="10"/>
      <name val="宋体"/>
      <family val="3"/>
      <charset val="134"/>
    </font>
    <font>
      <b/>
      <sz val="12"/>
      <color indexed="8"/>
      <name val="宋体"/>
      <family val="3"/>
      <charset val="134"/>
    </font>
    <font>
      <b/>
      <sz val="10"/>
      <color indexed="53"/>
      <name val="宋体"/>
      <family val="3"/>
      <charset val="134"/>
    </font>
    <font>
      <b/>
      <sz val="11"/>
      <name val="宋体"/>
      <family val="3"/>
      <charset val="134"/>
    </font>
    <font>
      <b/>
      <i/>
      <sz val="14"/>
      <color theme="3" tint="0.39994506668294322"/>
      <name val="宋体"/>
      <family val="3"/>
      <charset val="134"/>
    </font>
    <font>
      <b/>
      <sz val="14"/>
      <color rgb="FF000000"/>
      <name val="宋体"/>
      <family val="3"/>
      <charset val="134"/>
    </font>
    <font>
      <sz val="11"/>
      <color theme="1"/>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vertAlign val="subscript"/>
      <sz val="10"/>
      <name val="楷体_GB2312"/>
      <family val="3"/>
      <charset val="134"/>
    </font>
    <font>
      <b/>
      <sz val="18"/>
      <color indexed="10"/>
      <name val="΢ȭхڬˎ̥"/>
      <charset val="134"/>
    </font>
    <font>
      <sz val="12"/>
      <color indexed="8"/>
      <name val="宋体"/>
      <family val="3"/>
      <charset val="134"/>
    </font>
    <font>
      <b/>
      <i/>
      <sz val="11"/>
      <color theme="3" tint="0.39994506668294322"/>
      <name val="宋体"/>
      <family val="3"/>
      <charset val="134"/>
    </font>
    <font>
      <i/>
      <sz val="14"/>
      <color theme="3" tint="0.39994506668294322"/>
      <name val="宋体"/>
      <family val="3"/>
      <charset val="134"/>
    </font>
    <font>
      <sz val="10"/>
      <color rgb="FF707070"/>
      <name val="宋体"/>
      <family val="3"/>
      <charset val="134"/>
    </font>
    <font>
      <sz val="8"/>
      <color indexed="8"/>
      <name val="宋体"/>
      <family val="3"/>
      <charset val="134"/>
    </font>
    <font>
      <b/>
      <sz val="16"/>
      <color indexed="10"/>
      <name val="宋体"/>
      <family val="3"/>
      <charset val="134"/>
    </font>
    <font>
      <sz val="14"/>
      <color theme="9" tint="-0.249977111117893"/>
      <name val="宋体"/>
      <family val="3"/>
      <charset val="134"/>
    </font>
    <font>
      <sz val="10"/>
      <color rgb="FFFF0000"/>
      <name val="楷体_GB2312"/>
      <family val="3"/>
      <charset val="134"/>
    </font>
    <font>
      <b/>
      <vertAlign val="subscript"/>
      <sz val="10"/>
      <name val="宋体"/>
      <family val="3"/>
      <charset val="134"/>
    </font>
    <font>
      <b/>
      <vertAlign val="subscript"/>
      <sz val="10"/>
      <name val="Arial"/>
      <family val="2"/>
    </font>
    <font>
      <b/>
      <sz val="11"/>
      <color theme="1"/>
      <name val="宋体"/>
      <family val="3"/>
      <charset val="134"/>
    </font>
    <font>
      <sz val="9"/>
      <color indexed="8"/>
      <name val="仿宋_GB2312"/>
      <family val="3"/>
      <charset val="134"/>
    </font>
    <font>
      <sz val="8"/>
      <color indexed="8"/>
      <name val="仿宋_GB2312"/>
      <family val="3"/>
      <charset val="134"/>
    </font>
    <font>
      <sz val="11"/>
      <color theme="9" tint="-0.249977111117893"/>
      <name val="宋体"/>
      <family val="3"/>
      <charset val="134"/>
    </font>
    <font>
      <sz val="10"/>
      <color indexed="53"/>
      <name val="宋体"/>
      <family val="3"/>
      <charset val="134"/>
    </font>
    <font>
      <b/>
      <sz val="14"/>
      <color theme="1"/>
      <name val="宋体"/>
      <family val="3"/>
      <charset val="134"/>
    </font>
    <font>
      <b/>
      <sz val="11"/>
      <color rgb="FFFF0000"/>
      <name val="宋体"/>
      <family val="3"/>
      <charset val="134"/>
    </font>
    <font>
      <b/>
      <sz val="10"/>
      <color indexed="10"/>
      <name val="楷体_GB2312"/>
      <family val="3"/>
      <charset val="134"/>
    </font>
    <font>
      <i/>
      <sz val="10"/>
      <name val="宋体"/>
      <family val="3"/>
      <charset val="134"/>
    </font>
    <font>
      <b/>
      <sz val="14"/>
      <color rgb="FFFF0000"/>
      <name val="宋体"/>
      <family val="3"/>
      <charset val="134"/>
    </font>
    <font>
      <sz val="9"/>
      <color indexed="8"/>
      <name val="宋体"/>
      <family val="3"/>
      <charset val="134"/>
    </font>
    <font>
      <b/>
      <sz val="18"/>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sz val="10"/>
      <color indexed="10"/>
      <name val="宋体"/>
      <family val="3"/>
      <charset val="134"/>
    </font>
    <font>
      <b/>
      <sz val="11"/>
      <color indexed="10"/>
      <name val="宋体"/>
      <family val="3"/>
      <charset val="134"/>
    </font>
    <font>
      <i/>
      <sz val="10"/>
      <name val="楷体_GB2312"/>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2"/>
      <color rgb="FF000000"/>
      <name val="宋体"/>
      <family val="3"/>
      <charset val="134"/>
    </font>
    <font>
      <sz val="12"/>
      <color theme="9" tint="-0.249977111117893"/>
      <name val="宋体"/>
      <family val="3"/>
      <charset val="134"/>
    </font>
    <font>
      <vertAlign val="superscript"/>
      <sz val="10"/>
      <color theme="1"/>
      <name val="宋体"/>
      <family val="3"/>
      <charset val="134"/>
    </font>
    <font>
      <sz val="12"/>
      <color rgb="FF000000"/>
      <name val="宋体"/>
      <family val="3"/>
      <charset val="134"/>
    </font>
    <font>
      <b/>
      <i/>
      <sz val="10"/>
      <color rgb="FFFF0000"/>
      <name val="宋体"/>
      <family val="3"/>
      <charset val="134"/>
    </font>
    <font>
      <vertAlign val="superscript"/>
      <sz val="10"/>
      <color indexed="8"/>
      <name val="Arial"/>
      <family val="2"/>
    </font>
    <font>
      <sz val="12"/>
      <name val="宋体"/>
      <family val="3"/>
      <charset val="134"/>
      <scheme val="minor"/>
    </font>
    <font>
      <sz val="12"/>
      <name val="楷体_GB2312"/>
      <family val="3"/>
      <charset val="134"/>
    </font>
    <font>
      <b/>
      <sz val="14"/>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9"/>
      <name val="Tahoma"/>
      <family val="2"/>
    </font>
    <font>
      <sz val="9"/>
      <name val="Tahoma"/>
      <family val="2"/>
    </font>
    <font>
      <sz val="9"/>
      <name val="宋体"/>
      <family val="3"/>
      <charset val="134"/>
      <scheme val="minor"/>
    </font>
  </fonts>
  <fills count="3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14963225196081423"/>
        <bgColor indexed="64"/>
      </patternFill>
    </fill>
    <fill>
      <patternFill patternType="solid">
        <fgColor theme="0" tint="-0.14993743705557422"/>
        <bgColor indexed="64"/>
      </patternFill>
    </fill>
    <fill>
      <patternFill patternType="solid">
        <fgColor theme="0" tint="-4.9989318521683403E-2"/>
        <bgColor indexed="64"/>
      </patternFill>
    </fill>
    <fill>
      <patternFill patternType="solid">
        <fgColor theme="6" tint="0.79961546678060247"/>
        <bgColor indexed="64"/>
      </patternFill>
    </fill>
    <fill>
      <patternFill patternType="solid">
        <fgColor theme="2"/>
        <bgColor indexed="64"/>
      </patternFill>
    </fill>
    <fill>
      <patternFill patternType="solid">
        <fgColor theme="3"/>
        <bgColor indexed="64"/>
      </patternFill>
    </fill>
    <fill>
      <patternFill patternType="solid">
        <fgColor theme="4" tint="0.39960936307870726"/>
        <bgColor indexed="64"/>
      </patternFill>
    </fill>
    <fill>
      <patternFill patternType="solid">
        <fgColor theme="9" tint="0.59999389629810485"/>
        <bgColor indexed="64"/>
      </patternFill>
    </fill>
    <fill>
      <patternFill patternType="solid">
        <fgColor theme="3" tint="0.79961546678060247"/>
        <bgColor indexed="64"/>
      </patternFill>
    </fill>
    <fill>
      <patternFill patternType="solid">
        <fgColor theme="9"/>
        <bgColor indexed="64"/>
      </patternFill>
    </fill>
    <fill>
      <patternFill patternType="solid">
        <fgColor theme="0" tint="-0.14981536301767021"/>
        <bgColor indexed="64"/>
      </patternFill>
    </fill>
    <fill>
      <patternFill patternType="solid">
        <fgColor theme="0" tint="-0.14954069643238624"/>
        <bgColor indexed="64"/>
      </patternFill>
    </fill>
    <fill>
      <patternFill patternType="solid">
        <fgColor theme="0" tint="-0.34998626667073579"/>
        <bgColor indexed="64"/>
      </patternFill>
    </fill>
    <fill>
      <patternFill patternType="solid">
        <fgColor theme="0" tint="-0.1498458815271462"/>
        <bgColor indexed="64"/>
      </patternFill>
    </fill>
    <fill>
      <patternFill patternType="solid">
        <fgColor rgb="FF00B0F0"/>
        <bgColor indexed="64"/>
      </patternFill>
    </fill>
    <fill>
      <patternFill patternType="solid">
        <fgColor theme="8" tint="0.79992065187536243"/>
        <bgColor indexed="64"/>
      </patternFill>
    </fill>
    <fill>
      <patternFill patternType="solid">
        <fgColor theme="5" tint="0.79995117038483843"/>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9" fontId="30" fillId="0" borderId="0" applyFont="0" applyFill="0" applyBorder="0" applyAlignment="0" applyProtection="0">
      <alignment vertical="center"/>
    </xf>
    <xf numFmtId="0" fontId="30"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59" fillId="0" borderId="0"/>
    <xf numFmtId="0" fontId="2" fillId="0" borderId="0"/>
    <xf numFmtId="0" fontId="2" fillId="0" borderId="0">
      <alignment vertical="center"/>
    </xf>
    <xf numFmtId="0" fontId="92" fillId="0" borderId="0"/>
    <xf numFmtId="0" fontId="92" fillId="0" borderId="0">
      <alignment vertical="center"/>
    </xf>
    <xf numFmtId="0" fontId="2" fillId="0" borderId="0">
      <alignment vertical="center"/>
    </xf>
    <xf numFmtId="0" fontId="2" fillId="0" borderId="0"/>
    <xf numFmtId="0" fontId="160" fillId="0" borderId="0">
      <alignment vertical="center"/>
    </xf>
    <xf numFmtId="0" fontId="160" fillId="0" borderId="0">
      <alignment vertical="center"/>
    </xf>
    <xf numFmtId="0" fontId="160" fillId="0" borderId="0">
      <alignment vertical="center"/>
    </xf>
    <xf numFmtId="0" fontId="2" fillId="0" borderId="0">
      <alignment vertical="center"/>
    </xf>
    <xf numFmtId="0" fontId="160" fillId="0" borderId="0">
      <alignment vertical="center"/>
    </xf>
    <xf numFmtId="0" fontId="121" fillId="0" borderId="0"/>
    <xf numFmtId="43" fontId="130" fillId="0" borderId="0" applyFont="0" applyFill="0" applyBorder="0" applyAlignment="0" applyProtection="0">
      <alignment vertical="center"/>
    </xf>
  </cellStyleXfs>
  <cellXfs count="3648">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11" fillId="2" borderId="0" xfId="11" applyFont="1" applyFill="1"/>
    <xf numFmtId="0" fontId="12" fillId="2" borderId="0" xfId="11" applyFont="1" applyFill="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13" fillId="2" borderId="0" xfId="11" applyFont="1" applyFill="1" applyAlignment="1">
      <alignment vertical="center"/>
    </xf>
    <xf numFmtId="0" fontId="13" fillId="2" borderId="7" xfId="11" applyFont="1" applyFill="1" applyBorder="1" applyAlignment="1">
      <alignment horizontal="left" vertical="center" wrapText="1"/>
    </xf>
    <xf numFmtId="177"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4" fillId="2" borderId="0" xfId="11" applyFont="1" applyFill="1" applyAlignment="1">
      <alignment vertical="center"/>
    </xf>
    <xf numFmtId="14" fontId="15" fillId="2" borderId="7" xfId="11" applyNumberFormat="1" applyFont="1" applyFill="1" applyBorder="1" applyAlignment="1">
      <alignment horizontal="center" wrapText="1"/>
    </xf>
    <xf numFmtId="0" fontId="15" fillId="2" borderId="7" xfId="11" applyFont="1" applyFill="1" applyBorder="1" applyAlignment="1">
      <alignment horizontal="center" wrapText="1"/>
    </xf>
    <xf numFmtId="0" fontId="14" fillId="2" borderId="7" xfId="11" applyFont="1" applyFill="1" applyBorder="1" applyAlignment="1">
      <alignment horizontal="left" vertical="center" wrapText="1"/>
    </xf>
    <xf numFmtId="14" fontId="8" fillId="2" borderId="7" xfId="11" applyNumberFormat="1" applyFont="1" applyFill="1" applyBorder="1" applyAlignment="1">
      <alignment horizontal="center" wrapText="1"/>
    </xf>
    <xf numFmtId="0" fontId="8" fillId="2" borderId="7" xfId="11" applyFont="1" applyFill="1" applyBorder="1" applyAlignment="1">
      <alignment horizontal="center" wrapText="1"/>
    </xf>
    <xf numFmtId="178" fontId="5" fillId="2" borderId="1" xfId="11" applyNumberFormat="1" applyFont="1" applyFill="1" applyBorder="1" applyAlignment="1">
      <alignment horizontal="center"/>
    </xf>
    <xf numFmtId="0" fontId="5"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179" fontId="16" fillId="2" borderId="7" xfId="11" applyNumberFormat="1" applyFont="1" applyFill="1" applyBorder="1" applyAlignment="1">
      <alignment horizontal="center"/>
    </xf>
    <xf numFmtId="0" fontId="4" fillId="0" borderId="1" xfId="11" applyFont="1" applyBorder="1"/>
    <xf numFmtId="0" fontId="9" fillId="0" borderId="0" xfId="11" applyFont="1"/>
    <xf numFmtId="0" fontId="11" fillId="0" borderId="0" xfId="11" applyFont="1"/>
    <xf numFmtId="0" fontId="8" fillId="0" borderId="0" xfId="11" applyFont="1"/>
    <xf numFmtId="0" fontId="13" fillId="3" borderId="0" xfId="1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7" applyFont="1" applyAlignment="1">
      <alignment horizontal="left" vertical="center"/>
    </xf>
    <xf numFmtId="0" fontId="22" fillId="0" borderId="32" xfId="17" applyFont="1" applyBorder="1" applyAlignment="1">
      <alignment horizontal="left" vertical="center"/>
    </xf>
    <xf numFmtId="0" fontId="22" fillId="4" borderId="0" xfId="17" applyFont="1" applyFill="1" applyAlignment="1">
      <alignment horizontal="left" vertical="center"/>
    </xf>
    <xf numFmtId="0" fontId="23" fillId="5" borderId="0" xfId="17" applyFont="1" applyFill="1" applyAlignment="1">
      <alignment horizontal="left" vertical="center"/>
    </xf>
    <xf numFmtId="0" fontId="22" fillId="5" borderId="0" xfId="17" applyFont="1" applyFill="1" applyAlignment="1">
      <alignment horizontal="left" vertical="center"/>
    </xf>
    <xf numFmtId="0" fontId="24" fillId="3" borderId="0" xfId="17" applyFont="1" applyFill="1" applyAlignment="1">
      <alignment horizontal="left" vertical="center"/>
    </xf>
    <xf numFmtId="0" fontId="24" fillId="0" borderId="19" xfId="17" applyFont="1" applyBorder="1" applyAlignment="1">
      <alignment horizontal="left" vertical="center"/>
    </xf>
    <xf numFmtId="0" fontId="25" fillId="0" borderId="0" xfId="17" applyFont="1" applyAlignment="1">
      <alignment horizontal="left" vertical="center"/>
    </xf>
    <xf numFmtId="0" fontId="24" fillId="0" borderId="0" xfId="17" applyFont="1" applyAlignment="1">
      <alignment horizontal="left" vertical="center"/>
    </xf>
    <xf numFmtId="0" fontId="24" fillId="0" borderId="33" xfId="17"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7" applyFont="1" applyBorder="1" applyAlignment="1">
      <alignment horizontal="left" vertical="center"/>
    </xf>
    <xf numFmtId="0" fontId="4" fillId="4" borderId="0" xfId="17"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7"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7" applyFont="1" applyBorder="1" applyAlignment="1">
      <alignment horizontal="left" vertical="center"/>
    </xf>
    <xf numFmtId="49" fontId="30" fillId="2" borderId="7" xfId="17" applyNumberFormat="1" applyFont="1" applyFill="1" applyBorder="1" applyAlignment="1">
      <alignment horizontal="left" vertical="center" wrapText="1"/>
    </xf>
    <xf numFmtId="180" fontId="24" fillId="0" borderId="0" xfId="17" applyNumberFormat="1" applyFont="1" applyAlignment="1">
      <alignment horizontal="left" vertical="center"/>
    </xf>
    <xf numFmtId="0" fontId="31" fillId="6" borderId="35" xfId="17" applyFont="1" applyFill="1" applyBorder="1" applyAlignment="1">
      <alignment horizontal="left" vertical="center" wrapText="1"/>
    </xf>
    <xf numFmtId="0" fontId="31" fillId="7" borderId="36" xfId="17" applyFont="1" applyFill="1" applyBorder="1" applyAlignment="1">
      <alignment horizontal="left" vertical="center" wrapText="1"/>
    </xf>
    <xf numFmtId="49" fontId="30" fillId="5" borderId="7" xfId="17" applyNumberFormat="1" applyFont="1" applyFill="1" applyBorder="1" applyAlignment="1">
      <alignment horizontal="left" vertical="center" wrapText="1"/>
    </xf>
    <xf numFmtId="180" fontId="23" fillId="5" borderId="0" xfId="17" applyNumberFormat="1" applyFont="1" applyFill="1" applyAlignment="1">
      <alignment horizontal="left" vertical="center"/>
    </xf>
    <xf numFmtId="0" fontId="31" fillId="5" borderId="36" xfId="17" applyFont="1" applyFill="1" applyBorder="1" applyAlignment="1">
      <alignment horizontal="left" vertical="center" wrapText="1"/>
    </xf>
    <xf numFmtId="0" fontId="31" fillId="6" borderId="37" xfId="17" applyFont="1" applyFill="1" applyBorder="1" applyAlignment="1">
      <alignment horizontal="left" vertical="center" wrapText="1"/>
    </xf>
    <xf numFmtId="180" fontId="22" fillId="6" borderId="37" xfId="17" applyNumberFormat="1" applyFont="1" applyFill="1" applyBorder="1" applyAlignment="1">
      <alignment horizontal="left" vertical="center" wrapText="1"/>
    </xf>
    <xf numFmtId="180" fontId="22" fillId="6" borderId="38" xfId="17" applyNumberFormat="1" applyFont="1" applyFill="1" applyBorder="1" applyAlignment="1">
      <alignment horizontal="left" vertical="center" wrapText="1"/>
    </xf>
    <xf numFmtId="0" fontId="31" fillId="6" borderId="36" xfId="17" applyFont="1" applyFill="1" applyBorder="1" applyAlignment="1">
      <alignment horizontal="left" vertical="center" wrapText="1"/>
    </xf>
    <xf numFmtId="0" fontId="31" fillId="6" borderId="43" xfId="17" applyFont="1" applyFill="1" applyBorder="1" applyAlignment="1">
      <alignment horizontal="left" vertical="center" wrapText="1"/>
    </xf>
    <xf numFmtId="0" fontId="31" fillId="7" borderId="37" xfId="17" applyFont="1" applyFill="1" applyBorder="1" applyAlignment="1">
      <alignment horizontal="left" vertical="center" wrapText="1"/>
    </xf>
    <xf numFmtId="180" fontId="22" fillId="6" borderId="36" xfId="17" applyNumberFormat="1" applyFont="1" applyFill="1" applyBorder="1" applyAlignment="1">
      <alignment horizontal="left" vertical="center" wrapText="1"/>
    </xf>
    <xf numFmtId="180" fontId="22" fillId="6" borderId="44" xfId="17" applyNumberFormat="1" applyFont="1" applyFill="1" applyBorder="1" applyAlignment="1">
      <alignment horizontal="left" vertical="center" wrapText="1"/>
    </xf>
    <xf numFmtId="0" fontId="24" fillId="7" borderId="37" xfId="17" applyFont="1" applyFill="1" applyBorder="1" applyAlignment="1">
      <alignment horizontal="left" vertical="center" wrapText="1"/>
    </xf>
    <xf numFmtId="49" fontId="30" fillId="3" borderId="7" xfId="17" applyNumberFormat="1" applyFont="1" applyFill="1" applyBorder="1" applyAlignment="1">
      <alignment horizontal="left" vertical="center" wrapText="1"/>
    </xf>
    <xf numFmtId="180" fontId="24" fillId="3" borderId="0" xfId="17" applyNumberFormat="1" applyFont="1" applyFill="1" applyAlignment="1">
      <alignment horizontal="left" vertical="center"/>
    </xf>
    <xf numFmtId="0" fontId="24" fillId="3" borderId="36" xfId="17" applyFont="1" applyFill="1" applyBorder="1" applyAlignment="1">
      <alignment horizontal="left" vertical="center" wrapText="1"/>
    </xf>
    <xf numFmtId="0" fontId="24" fillId="6" borderId="43" xfId="17" applyFont="1" applyFill="1" applyBorder="1" applyAlignment="1">
      <alignment horizontal="left" vertical="center" wrapText="1"/>
    </xf>
    <xf numFmtId="180" fontId="22" fillId="6" borderId="43" xfId="17" applyNumberFormat="1" applyFont="1" applyFill="1" applyBorder="1" applyAlignment="1">
      <alignment horizontal="left" vertical="center" wrapText="1"/>
    </xf>
    <xf numFmtId="180" fontId="22" fillId="6" borderId="45" xfId="17" applyNumberFormat="1" applyFont="1" applyFill="1" applyBorder="1" applyAlignment="1">
      <alignment horizontal="left" vertical="center" wrapText="1"/>
    </xf>
    <xf numFmtId="180" fontId="24" fillId="5" borderId="0" xfId="17" applyNumberFormat="1" applyFont="1" applyFill="1" applyAlignment="1">
      <alignment horizontal="left" vertical="center"/>
    </xf>
    <xf numFmtId="180" fontId="24" fillId="0" borderId="19" xfId="17" applyNumberFormat="1" applyFont="1" applyBorder="1" applyAlignment="1">
      <alignment horizontal="left" vertical="center"/>
    </xf>
    <xf numFmtId="0" fontId="31" fillId="7" borderId="46" xfId="17" applyFont="1" applyFill="1" applyBorder="1" applyAlignment="1">
      <alignment horizontal="left" vertical="center" wrapText="1"/>
    </xf>
    <xf numFmtId="0" fontId="23" fillId="4" borderId="0" xfId="17" applyFont="1" applyFill="1" applyAlignment="1" applyProtection="1">
      <alignment horizontal="left" vertical="center"/>
      <protection locked="0"/>
    </xf>
    <xf numFmtId="0" fontId="22" fillId="0" borderId="0" xfId="17" applyFont="1" applyAlignment="1" applyProtection="1">
      <alignment horizontal="left" vertical="center"/>
      <protection locked="0"/>
    </xf>
    <xf numFmtId="0" fontId="31" fillId="7" borderId="36" xfId="18" applyFont="1" applyFill="1" applyBorder="1" applyAlignment="1">
      <alignment horizontal="left" vertical="center" wrapText="1"/>
    </xf>
    <xf numFmtId="0" fontId="31" fillId="7" borderId="47" xfId="18" applyFont="1" applyFill="1" applyBorder="1" applyAlignment="1">
      <alignment horizontal="left" vertical="center" wrapText="1"/>
    </xf>
    <xf numFmtId="10" fontId="24" fillId="0" borderId="33" xfId="17" applyNumberFormat="1" applyFont="1" applyBorder="1" applyAlignment="1">
      <alignment horizontal="left" vertical="center"/>
    </xf>
    <xf numFmtId="10" fontId="24" fillId="0" borderId="0" xfId="17" applyNumberFormat="1" applyFont="1" applyAlignment="1">
      <alignment horizontal="left" vertical="center"/>
    </xf>
    <xf numFmtId="0" fontId="23" fillId="5" borderId="0" xfId="17" applyFont="1" applyFill="1" applyAlignment="1" applyProtection="1">
      <alignment horizontal="left" vertical="center"/>
      <protection locked="0"/>
    </xf>
    <xf numFmtId="10" fontId="23" fillId="5" borderId="48" xfId="17" applyNumberFormat="1" applyFont="1" applyFill="1" applyBorder="1" applyAlignment="1">
      <alignment horizontal="left" vertical="center"/>
    </xf>
    <xf numFmtId="0" fontId="31" fillId="7" borderId="47" xfId="17" applyFont="1" applyFill="1" applyBorder="1" applyAlignment="1">
      <alignment horizontal="left" vertical="center" wrapText="1"/>
    </xf>
    <xf numFmtId="0" fontId="31" fillId="6" borderId="49" xfId="17" applyFont="1" applyFill="1" applyBorder="1" applyAlignment="1">
      <alignment horizontal="left" vertical="center" wrapText="1"/>
    </xf>
    <xf numFmtId="0" fontId="31" fillId="6" borderId="47" xfId="17" applyFont="1" applyFill="1" applyBorder="1" applyAlignment="1">
      <alignment horizontal="left" vertical="center" wrapText="1"/>
    </xf>
    <xf numFmtId="0" fontId="31" fillId="6" borderId="50" xfId="17" applyFont="1" applyFill="1" applyBorder="1" applyAlignment="1">
      <alignment horizontal="left" vertical="center" wrapText="1"/>
    </xf>
    <xf numFmtId="10" fontId="24" fillId="0" borderId="51" xfId="17" applyNumberFormat="1" applyFont="1" applyBorder="1" applyAlignment="1">
      <alignment horizontal="left" vertical="center"/>
    </xf>
    <xf numFmtId="10" fontId="24" fillId="0" borderId="52" xfId="17" applyNumberFormat="1" applyFont="1" applyBorder="1" applyAlignment="1">
      <alignment horizontal="left" vertical="center"/>
    </xf>
    <xf numFmtId="0" fontId="31" fillId="7" borderId="49" xfId="17" applyFont="1" applyFill="1" applyBorder="1" applyAlignment="1">
      <alignment horizontal="left" vertical="center" wrapText="1"/>
    </xf>
    <xf numFmtId="10" fontId="24" fillId="0" borderId="48" xfId="17" applyNumberFormat="1" applyFont="1" applyBorder="1" applyAlignment="1">
      <alignment horizontal="left" vertical="center"/>
    </xf>
    <xf numFmtId="10" fontId="24" fillId="0" borderId="53" xfId="17" applyNumberFormat="1" applyFont="1" applyBorder="1" applyAlignment="1">
      <alignment horizontal="left" vertical="center"/>
    </xf>
    <xf numFmtId="0" fontId="24" fillId="7" borderId="49" xfId="17" applyFont="1" applyFill="1" applyBorder="1" applyAlignment="1">
      <alignment horizontal="left" vertical="center" wrapText="1"/>
    </xf>
    <xf numFmtId="0" fontId="24" fillId="3" borderId="47" xfId="17" applyFont="1" applyFill="1" applyBorder="1" applyAlignment="1">
      <alignment horizontal="left" vertical="center" wrapText="1"/>
    </xf>
    <xf numFmtId="10" fontId="24" fillId="3" borderId="33" xfId="17" applyNumberFormat="1" applyFont="1" applyFill="1" applyBorder="1" applyAlignment="1">
      <alignment horizontal="left" vertical="center"/>
    </xf>
    <xf numFmtId="10" fontId="24" fillId="3" borderId="0" xfId="17" applyNumberFormat="1" applyFont="1" applyFill="1" applyAlignment="1">
      <alignment horizontal="left" vertical="center"/>
    </xf>
    <xf numFmtId="0" fontId="24" fillId="6" borderId="50" xfId="17" applyFont="1" applyFill="1" applyBorder="1" applyAlignment="1">
      <alignment horizontal="left" vertical="center" wrapText="1"/>
    </xf>
    <xf numFmtId="0" fontId="31" fillId="7" borderId="54" xfId="17" applyFont="1" applyFill="1" applyBorder="1" applyAlignment="1">
      <alignment horizontal="left" vertical="center" wrapText="1"/>
    </xf>
    <xf numFmtId="10" fontId="24" fillId="0" borderId="55" xfId="17" applyNumberFormat="1" applyFont="1" applyBorder="1" applyAlignment="1">
      <alignment horizontal="left" vertical="center"/>
    </xf>
    <xf numFmtId="10" fontId="24" fillId="0" borderId="19" xfId="17" applyNumberFormat="1" applyFont="1" applyBorder="1" applyAlignment="1">
      <alignment horizontal="left" vertical="center"/>
    </xf>
    <xf numFmtId="0" fontId="5" fillId="4" borderId="0" xfId="17" applyFont="1" applyFill="1" applyAlignment="1">
      <alignment horizontal="left" vertical="center"/>
    </xf>
    <xf numFmtId="0" fontId="24" fillId="4" borderId="0" xfId="17" applyFont="1" applyFill="1" applyAlignment="1">
      <alignment horizontal="left" vertical="center"/>
    </xf>
    <xf numFmtId="178" fontId="24" fillId="0" borderId="0" xfId="17" applyNumberFormat="1" applyFont="1" applyAlignment="1">
      <alignment horizontal="left" vertical="center"/>
    </xf>
    <xf numFmtId="0" fontId="22" fillId="5" borderId="33" xfId="17" applyFont="1" applyFill="1" applyBorder="1" applyAlignment="1">
      <alignment horizontal="left" vertical="center"/>
    </xf>
    <xf numFmtId="0" fontId="25" fillId="3" borderId="0" xfId="17" applyFont="1" applyFill="1" applyAlignment="1">
      <alignment horizontal="left" vertical="center"/>
    </xf>
    <xf numFmtId="0" fontId="24" fillId="5" borderId="0" xfId="17" applyFont="1" applyFill="1" applyAlignment="1">
      <alignment horizontal="left" vertical="center"/>
    </xf>
    <xf numFmtId="181" fontId="24" fillId="0" borderId="33" xfId="17" applyNumberFormat="1" applyFont="1" applyBorder="1" applyAlignment="1">
      <alignment horizontal="left" vertical="center"/>
    </xf>
    <xf numFmtId="181" fontId="24" fillId="0" borderId="0" xfId="17" applyNumberFormat="1" applyFont="1" applyAlignment="1">
      <alignment horizontal="left" vertical="center"/>
    </xf>
    <xf numFmtId="178" fontId="24" fillId="3" borderId="0" xfId="17" applyNumberFormat="1" applyFont="1" applyFill="1" applyAlignment="1">
      <alignment horizontal="left" vertical="center"/>
    </xf>
    <xf numFmtId="10" fontId="24" fillId="3" borderId="48" xfId="17" applyNumberFormat="1" applyFont="1" applyFill="1" applyBorder="1" applyAlignment="1">
      <alignment horizontal="left" vertical="center"/>
    </xf>
    <xf numFmtId="10" fontId="24" fillId="3" borderId="53" xfId="17" applyNumberFormat="1" applyFont="1" applyFill="1" applyBorder="1" applyAlignment="1">
      <alignment horizontal="left" vertical="center"/>
    </xf>
    <xf numFmtId="0" fontId="8" fillId="3" borderId="0" xfId="17" applyFont="1" applyFill="1" applyAlignment="1">
      <alignment horizontal="left" vertical="center"/>
    </xf>
    <xf numFmtId="14" fontId="24" fillId="0" borderId="0" xfId="17" applyNumberFormat="1" applyFont="1" applyAlignment="1">
      <alignment horizontal="left" vertical="center"/>
    </xf>
    <xf numFmtId="178" fontId="24" fillId="0" borderId="19" xfId="17" applyNumberFormat="1" applyFont="1" applyBorder="1" applyAlignment="1">
      <alignment horizontal="left" vertical="center"/>
    </xf>
    <xf numFmtId="10" fontId="24" fillId="4" borderId="0" xfId="17" applyNumberFormat="1" applyFont="1" applyFill="1" applyAlignment="1">
      <alignment horizontal="left" vertical="center"/>
    </xf>
    <xf numFmtId="10" fontId="24" fillId="5" borderId="0" xfId="17" applyNumberFormat="1" applyFont="1" applyFill="1" applyAlignment="1">
      <alignment horizontal="left" vertical="center"/>
    </xf>
    <xf numFmtId="0" fontId="8" fillId="0" borderId="0" xfId="17" applyFont="1" applyAlignment="1">
      <alignment horizontal="left" vertical="center"/>
    </xf>
    <xf numFmtId="0" fontId="31" fillId="6" borderId="56" xfId="17" applyFont="1" applyFill="1" applyBorder="1" applyAlignment="1">
      <alignment horizontal="left" vertical="center" wrapText="1"/>
    </xf>
    <xf numFmtId="0" fontId="22" fillId="7" borderId="57" xfId="17" applyFont="1" applyFill="1" applyBorder="1" applyAlignment="1">
      <alignment horizontal="left" vertical="center" wrapText="1"/>
    </xf>
    <xf numFmtId="0" fontId="22" fillId="7" borderId="58" xfId="17" applyFont="1" applyFill="1" applyBorder="1" applyAlignment="1">
      <alignment horizontal="left" vertical="center" wrapText="1"/>
    </xf>
    <xf numFmtId="178" fontId="24" fillId="8" borderId="0" xfId="17" applyNumberFormat="1" applyFont="1" applyFill="1" applyAlignment="1">
      <alignment horizontal="left" vertical="center"/>
    </xf>
    <xf numFmtId="0" fontId="31" fillId="7" borderId="43" xfId="17" applyFont="1" applyFill="1" applyBorder="1" applyAlignment="1">
      <alignment horizontal="left" vertical="center" wrapText="1"/>
    </xf>
    <xf numFmtId="0" fontId="22" fillId="6" borderId="43" xfId="17" applyFont="1" applyFill="1" applyBorder="1" applyAlignment="1">
      <alignment horizontal="left" vertical="center" wrapText="1"/>
    </xf>
    <xf numFmtId="0" fontId="22" fillId="6" borderId="45" xfId="17" applyFont="1" applyFill="1" applyBorder="1" applyAlignment="1">
      <alignment horizontal="left" vertical="center" wrapText="1"/>
    </xf>
    <xf numFmtId="0" fontId="31" fillId="3" borderId="36" xfId="17" applyFont="1" applyFill="1" applyBorder="1" applyAlignment="1">
      <alignment horizontal="left" vertical="center" wrapText="1"/>
    </xf>
    <xf numFmtId="0" fontId="22" fillId="6" borderId="59" xfId="17" applyFont="1" applyFill="1" applyBorder="1" applyAlignment="1">
      <alignment horizontal="left" vertical="center" wrapText="1"/>
    </xf>
    <xf numFmtId="0" fontId="22" fillId="6" borderId="60" xfId="17" applyFont="1" applyFill="1" applyBorder="1" applyAlignment="1">
      <alignment horizontal="left" vertical="center" wrapText="1"/>
    </xf>
    <xf numFmtId="0" fontId="22" fillId="6" borderId="61" xfId="17" applyFont="1" applyFill="1" applyBorder="1" applyAlignment="1">
      <alignment horizontal="left" vertical="center" wrapText="1"/>
    </xf>
    <xf numFmtId="0" fontId="15" fillId="0" borderId="0" xfId="17" applyFont="1" applyAlignment="1">
      <alignment horizontal="left" vertical="center"/>
    </xf>
    <xf numFmtId="0" fontId="25" fillId="0" borderId="33" xfId="17" applyFont="1" applyBorder="1" applyAlignment="1">
      <alignment horizontal="left" vertical="center"/>
    </xf>
    <xf numFmtId="0" fontId="31" fillId="6" borderId="62" xfId="17" applyFont="1" applyFill="1" applyBorder="1" applyAlignment="1">
      <alignment horizontal="left" vertical="center" wrapText="1"/>
    </xf>
    <xf numFmtId="10" fontId="24" fillId="8" borderId="33" xfId="17" applyNumberFormat="1" applyFont="1" applyFill="1" applyBorder="1" applyAlignment="1">
      <alignment horizontal="left" vertical="center"/>
    </xf>
    <xf numFmtId="10" fontId="24" fillId="8" borderId="0" xfId="17" applyNumberFormat="1" applyFont="1" applyFill="1" applyAlignment="1">
      <alignment horizontal="left" vertical="center"/>
    </xf>
    <xf numFmtId="10" fontId="24" fillId="8" borderId="48" xfId="17" applyNumberFormat="1" applyFont="1" applyFill="1" applyBorder="1" applyAlignment="1">
      <alignment horizontal="left" vertical="center"/>
    </xf>
    <xf numFmtId="10" fontId="24" fillId="8" borderId="53" xfId="17" applyNumberFormat="1" applyFont="1" applyFill="1" applyBorder="1" applyAlignment="1">
      <alignment horizontal="left" vertical="center"/>
    </xf>
    <xf numFmtId="10" fontId="24" fillId="8" borderId="55" xfId="17" applyNumberFormat="1" applyFont="1" applyFill="1" applyBorder="1" applyAlignment="1">
      <alignment horizontal="left" vertical="center"/>
    </xf>
    <xf numFmtId="10" fontId="24" fillId="8" borderId="19" xfId="17" applyNumberFormat="1" applyFont="1" applyFill="1" applyBorder="1" applyAlignment="1">
      <alignment horizontal="left" vertical="center"/>
    </xf>
    <xf numFmtId="182" fontId="24" fillId="0" borderId="0" xfId="17" applyNumberFormat="1" applyFont="1" applyAlignment="1">
      <alignment horizontal="left" vertical="center"/>
    </xf>
    <xf numFmtId="182" fontId="24" fillId="0" borderId="33" xfId="17" applyNumberFormat="1" applyFont="1" applyBorder="1" applyAlignment="1">
      <alignment horizontal="left" vertical="center"/>
    </xf>
    <xf numFmtId="182" fontId="24" fillId="3" borderId="0" xfId="17" applyNumberFormat="1" applyFont="1" applyFill="1" applyAlignment="1">
      <alignment horizontal="left" vertical="center"/>
    </xf>
    <xf numFmtId="0" fontId="24" fillId="3" borderId="33" xfId="17" applyFont="1" applyFill="1" applyBorder="1" applyAlignment="1">
      <alignment horizontal="left" vertical="center"/>
    </xf>
    <xf numFmtId="182" fontId="25" fillId="0" borderId="0" xfId="17" applyNumberFormat="1" applyFont="1" applyAlignment="1">
      <alignment horizontal="left" vertical="center"/>
    </xf>
    <xf numFmtId="182" fontId="25" fillId="0" borderId="33" xfId="17" applyNumberFormat="1" applyFont="1" applyBorder="1" applyAlignment="1">
      <alignment horizontal="left" vertical="center"/>
    </xf>
    <xf numFmtId="183" fontId="24" fillId="0" borderId="0" xfId="17" applyNumberFormat="1" applyFont="1" applyAlignment="1">
      <alignment horizontal="left" vertical="center"/>
    </xf>
    <xf numFmtId="183" fontId="24" fillId="0" borderId="19" xfId="17" applyNumberFormat="1" applyFont="1" applyBorder="1" applyAlignment="1">
      <alignment horizontal="left" vertical="center"/>
    </xf>
    <xf numFmtId="183" fontId="24" fillId="3" borderId="0" xfId="17" applyNumberFormat="1" applyFont="1" applyFill="1" applyAlignment="1">
      <alignment horizontal="left" vertical="center"/>
    </xf>
    <xf numFmtId="0" fontId="31" fillId="7" borderId="63" xfId="17" applyFont="1" applyFill="1" applyBorder="1" applyAlignment="1">
      <alignment horizontal="left" vertical="center" wrapText="1"/>
    </xf>
    <xf numFmtId="0" fontId="31" fillId="6" borderId="64" xfId="17" applyFont="1" applyFill="1" applyBorder="1" applyAlignment="1">
      <alignment horizontal="left" vertical="center" wrapText="1"/>
    </xf>
    <xf numFmtId="0" fontId="31" fillId="7" borderId="64" xfId="17" applyFont="1" applyFill="1" applyBorder="1" applyAlignment="1">
      <alignment horizontal="left" vertical="center" wrapText="1"/>
    </xf>
    <xf numFmtId="0" fontId="31" fillId="6" borderId="65" xfId="17" applyFont="1" applyFill="1" applyBorder="1" applyAlignment="1">
      <alignment horizontal="left" vertical="center" wrapText="1"/>
    </xf>
    <xf numFmtId="0" fontId="32" fillId="4" borderId="0" xfId="17" applyFont="1" applyFill="1" applyAlignment="1">
      <alignment horizontal="left" vertical="center"/>
    </xf>
    <xf numFmtId="0" fontId="23" fillId="9" borderId="0" xfId="17" applyFont="1" applyFill="1" applyAlignment="1">
      <alignment horizontal="left" vertical="center"/>
    </xf>
    <xf numFmtId="0" fontId="23" fillId="10" borderId="66" xfId="17" applyFont="1" applyFill="1" applyBorder="1" applyAlignment="1">
      <alignment horizontal="left" vertical="center"/>
    </xf>
    <xf numFmtId="14" fontId="0" fillId="2" borderId="0" xfId="0" applyNumberFormat="1" applyFill="1" applyAlignment="1">
      <alignment horizontal="left" vertical="center"/>
    </xf>
    <xf numFmtId="0" fontId="26" fillId="0" borderId="0" xfId="17" applyFont="1">
      <alignment vertical="center"/>
    </xf>
    <xf numFmtId="0" fontId="22" fillId="0" borderId="0" xfId="17" applyFont="1">
      <alignment vertical="center"/>
    </xf>
    <xf numFmtId="0" fontId="22" fillId="2" borderId="34" xfId="17" applyFont="1" applyFill="1" applyBorder="1" applyAlignment="1">
      <alignment horizontal="left" vertical="center"/>
    </xf>
    <xf numFmtId="0" fontId="22" fillId="2" borderId="32" xfId="17" applyFont="1" applyFill="1" applyBorder="1" applyAlignment="1">
      <alignment horizontal="left" vertical="center"/>
    </xf>
    <xf numFmtId="0" fontId="33" fillId="4" borderId="0" xfId="17" applyFont="1" applyFill="1" applyAlignment="1">
      <alignment horizontal="left" vertical="center"/>
    </xf>
    <xf numFmtId="0" fontId="32" fillId="4" borderId="33" xfId="17" applyFont="1" applyFill="1" applyBorder="1" applyAlignment="1">
      <alignment horizontal="left" vertical="center"/>
    </xf>
    <xf numFmtId="0" fontId="34" fillId="9" borderId="7" xfId="17" applyFont="1" applyFill="1" applyBorder="1" applyAlignment="1">
      <alignment horizontal="left" vertical="center" wrapText="1"/>
    </xf>
    <xf numFmtId="0" fontId="35" fillId="9" borderId="35" xfId="17" applyFont="1" applyFill="1" applyBorder="1" applyAlignment="1">
      <alignment horizontal="left" vertical="center" wrapText="1"/>
    </xf>
    <xf numFmtId="0" fontId="35" fillId="9" borderId="36" xfId="17" applyFont="1" applyFill="1" applyBorder="1" applyAlignment="1">
      <alignment horizontal="left" vertical="center" wrapText="1"/>
    </xf>
    <xf numFmtId="0" fontId="35" fillId="9" borderId="36" xfId="18" applyFont="1" applyFill="1" applyBorder="1" applyAlignment="1">
      <alignment horizontal="left" vertical="center" wrapText="1"/>
    </xf>
    <xf numFmtId="0" fontId="35" fillId="9" borderId="44" xfId="18" applyFont="1" applyFill="1" applyBorder="1" applyAlignment="1">
      <alignment horizontal="left" vertical="center" wrapText="1"/>
    </xf>
    <xf numFmtId="0" fontId="30" fillId="2" borderId="7" xfId="17" applyFont="1" applyFill="1" applyBorder="1" applyAlignment="1">
      <alignment horizontal="left" vertical="center" wrapText="1"/>
    </xf>
    <xf numFmtId="0" fontId="31" fillId="7" borderId="44" xfId="18" applyFont="1" applyFill="1" applyBorder="1" applyAlignment="1">
      <alignment horizontal="left" vertical="center" wrapText="1"/>
    </xf>
    <xf numFmtId="0" fontId="30" fillId="10" borderId="67" xfId="17" applyFont="1" applyFill="1" applyBorder="1" applyAlignment="1">
      <alignment horizontal="left" vertical="center" wrapText="1"/>
    </xf>
    <xf numFmtId="0" fontId="31" fillId="10" borderId="68" xfId="17" applyFont="1" applyFill="1" applyBorder="1" applyAlignment="1">
      <alignment horizontal="left" vertical="center" wrapText="1"/>
    </xf>
    <xf numFmtId="0" fontId="31" fillId="10" borderId="69" xfId="17" applyFont="1" applyFill="1" applyBorder="1" applyAlignment="1">
      <alignment horizontal="left" vertical="center" wrapText="1"/>
    </xf>
    <xf numFmtId="0" fontId="31" fillId="10" borderId="69" xfId="18" applyFont="1" applyFill="1" applyBorder="1" applyAlignment="1">
      <alignment horizontal="left" vertical="center" wrapText="1"/>
    </xf>
    <xf numFmtId="0" fontId="31" fillId="10" borderId="70" xfId="18" applyFont="1" applyFill="1" applyBorder="1" applyAlignment="1">
      <alignment horizontal="left" vertical="center" wrapText="1"/>
    </xf>
    <xf numFmtId="0" fontId="36" fillId="0" borderId="0" xfId="17" applyFont="1">
      <alignment vertical="center"/>
    </xf>
    <xf numFmtId="0" fontId="22" fillId="11" borderId="0" xfId="17" applyFont="1" applyFill="1" applyAlignment="1">
      <alignment horizontal="left" vertical="center"/>
    </xf>
    <xf numFmtId="0" fontId="22" fillId="11" borderId="32" xfId="17" applyFont="1" applyFill="1" applyBorder="1" applyAlignment="1">
      <alignment horizontal="left" vertical="center"/>
    </xf>
    <xf numFmtId="0" fontId="32" fillId="11" borderId="0" xfId="17" applyFont="1" applyFill="1" applyAlignment="1">
      <alignment horizontal="left" vertical="center"/>
    </xf>
    <xf numFmtId="10" fontId="32" fillId="4" borderId="33" xfId="17" applyNumberFormat="1" applyFont="1" applyFill="1" applyBorder="1" applyAlignment="1">
      <alignment horizontal="left" vertical="center"/>
    </xf>
    <xf numFmtId="10" fontId="32" fillId="4" borderId="0" xfId="17" applyNumberFormat="1" applyFont="1" applyFill="1" applyAlignment="1">
      <alignment horizontal="left" vertical="center"/>
    </xf>
    <xf numFmtId="10" fontId="22" fillId="0" borderId="33" xfId="17" applyNumberFormat="1" applyFont="1" applyBorder="1" applyAlignment="1">
      <alignment horizontal="left" vertical="center"/>
    </xf>
    <xf numFmtId="10" fontId="22" fillId="0" borderId="0" xfId="17" applyNumberFormat="1" applyFont="1" applyAlignment="1">
      <alignment horizontal="left" vertical="center"/>
    </xf>
    <xf numFmtId="0" fontId="24" fillId="11" borderId="0" xfId="17" applyFont="1" applyFill="1" applyAlignment="1">
      <alignment horizontal="left" vertical="center"/>
    </xf>
    <xf numFmtId="0" fontId="35" fillId="9" borderId="47" xfId="18" applyFont="1" applyFill="1" applyBorder="1" applyAlignment="1">
      <alignment horizontal="left" vertical="center" wrapText="1"/>
    </xf>
    <xf numFmtId="0" fontId="22" fillId="9" borderId="0" xfId="17" applyFont="1" applyFill="1" applyAlignment="1">
      <alignment horizontal="left" vertical="center"/>
    </xf>
    <xf numFmtId="10" fontId="22" fillId="9" borderId="33" xfId="17" applyNumberFormat="1" applyFont="1" applyFill="1" applyBorder="1" applyAlignment="1">
      <alignment horizontal="left" vertical="center"/>
    </xf>
    <xf numFmtId="10" fontId="22" fillId="9" borderId="0" xfId="17" applyNumberFormat="1" applyFont="1" applyFill="1" applyAlignment="1">
      <alignment horizontal="left" vertical="center"/>
    </xf>
    <xf numFmtId="0" fontId="31" fillId="10" borderId="71" xfId="18" applyFont="1" applyFill="1" applyBorder="1" applyAlignment="1">
      <alignment horizontal="left" vertical="center" wrapText="1"/>
    </xf>
    <xf numFmtId="0" fontId="24" fillId="11" borderId="66" xfId="17" applyFont="1" applyFill="1" applyBorder="1" applyAlignment="1">
      <alignment horizontal="left" vertical="center"/>
    </xf>
    <xf numFmtId="10" fontId="24" fillId="10" borderId="72" xfId="17" applyNumberFormat="1" applyFont="1" applyFill="1" applyBorder="1" applyAlignment="1">
      <alignment horizontal="left" vertical="center"/>
    </xf>
    <xf numFmtId="10" fontId="24" fillId="10" borderId="66" xfId="17" applyNumberFormat="1" applyFont="1" applyFill="1" applyBorder="1" applyAlignment="1">
      <alignment horizontal="left" vertical="center"/>
    </xf>
    <xf numFmtId="0" fontId="2" fillId="0" borderId="0" xfId="0" applyFont="1">
      <alignment vertical="center"/>
    </xf>
    <xf numFmtId="0" fontId="37" fillId="4" borderId="0" xfId="17" applyFont="1" applyFill="1" applyAlignment="1">
      <alignment horizontal="left" vertical="center"/>
    </xf>
    <xf numFmtId="0" fontId="37" fillId="4" borderId="73" xfId="17" applyFont="1" applyFill="1" applyBorder="1" applyAlignment="1">
      <alignment horizontal="left" vertical="center"/>
    </xf>
    <xf numFmtId="0" fontId="24" fillId="0" borderId="73" xfId="17" applyFont="1" applyBorder="1" applyAlignment="1">
      <alignment horizontal="left" vertical="center"/>
    </xf>
    <xf numFmtId="0" fontId="24" fillId="0" borderId="74" xfId="17" applyFont="1" applyBorder="1" applyAlignment="1">
      <alignment horizontal="left" vertical="center"/>
    </xf>
    <xf numFmtId="0" fontId="24" fillId="0" borderId="75" xfId="17" applyFont="1" applyBorder="1" applyAlignment="1">
      <alignment horizontal="left" vertical="center"/>
    </xf>
    <xf numFmtId="0" fontId="24" fillId="10" borderId="66" xfId="17" applyFont="1" applyFill="1" applyBorder="1" applyAlignment="1">
      <alignment horizontal="left" vertical="center"/>
    </xf>
    <xf numFmtId="10" fontId="37" fillId="4" borderId="0" xfId="17" applyNumberFormat="1" applyFont="1" applyFill="1" applyAlignment="1">
      <alignment horizontal="left" vertical="center"/>
    </xf>
    <xf numFmtId="10" fontId="37" fillId="4" borderId="73" xfId="17" applyNumberFormat="1" applyFont="1" applyFill="1" applyBorder="1" applyAlignment="1">
      <alignment horizontal="left" vertical="center"/>
    </xf>
    <xf numFmtId="10" fontId="37" fillId="4" borderId="74" xfId="17" applyNumberFormat="1" applyFont="1" applyFill="1" applyBorder="1" applyAlignment="1">
      <alignment horizontal="left" vertical="center"/>
    </xf>
    <xf numFmtId="10" fontId="37" fillId="4" borderId="75" xfId="17" applyNumberFormat="1" applyFont="1" applyFill="1" applyBorder="1" applyAlignment="1">
      <alignment horizontal="left" vertical="center"/>
    </xf>
    <xf numFmtId="10" fontId="24" fillId="0" borderId="73" xfId="17" applyNumberFormat="1" applyFont="1" applyBorder="1" applyAlignment="1">
      <alignment horizontal="left" vertical="center"/>
    </xf>
    <xf numFmtId="10" fontId="24" fillId="0" borderId="74" xfId="17" applyNumberFormat="1" applyFont="1" applyBorder="1" applyAlignment="1">
      <alignment horizontal="left" vertical="center"/>
    </xf>
    <xf numFmtId="10" fontId="24" fillId="0" borderId="75" xfId="17" applyNumberFormat="1" applyFont="1" applyBorder="1" applyAlignment="1">
      <alignment horizontal="left" vertical="center"/>
    </xf>
    <xf numFmtId="2" fontId="23" fillId="5" borderId="0" xfId="17" applyNumberFormat="1" applyFont="1" applyFill="1" applyAlignment="1">
      <alignment horizontal="right" vertical="center"/>
    </xf>
    <xf numFmtId="2" fontId="23" fillId="9" borderId="0" xfId="17" applyNumberFormat="1" applyFont="1" applyFill="1" applyAlignment="1">
      <alignment horizontal="right" vertical="center"/>
    </xf>
    <xf numFmtId="1" fontId="0" fillId="3" borderId="0" xfId="0" applyNumberFormat="1" applyFill="1">
      <alignment vertical="center"/>
    </xf>
    <xf numFmtId="10" fontId="22" fillId="9" borderId="73" xfId="17" applyNumberFormat="1" applyFont="1" applyFill="1" applyBorder="1" applyAlignment="1">
      <alignment horizontal="left" vertical="center"/>
    </xf>
    <xf numFmtId="10" fontId="22" fillId="9" borderId="74" xfId="17" applyNumberFormat="1" applyFont="1" applyFill="1" applyBorder="1" applyAlignment="1">
      <alignment horizontal="left" vertical="center"/>
    </xf>
    <xf numFmtId="10" fontId="22" fillId="9" borderId="75" xfId="17" applyNumberFormat="1" applyFont="1" applyFill="1" applyBorder="1" applyAlignment="1">
      <alignment horizontal="left" vertical="center"/>
    </xf>
    <xf numFmtId="10" fontId="24" fillId="10" borderId="76" xfId="17" applyNumberFormat="1" applyFont="1" applyFill="1" applyBorder="1" applyAlignment="1">
      <alignment horizontal="left" vertical="center"/>
    </xf>
    <xf numFmtId="10" fontId="24" fillId="10" borderId="77" xfId="17" applyNumberFormat="1" applyFont="1" applyFill="1" applyBorder="1" applyAlignment="1">
      <alignment horizontal="left" vertical="center"/>
    </xf>
    <xf numFmtId="10" fontId="24" fillId="10" borderId="78" xfId="17" applyNumberFormat="1" applyFont="1" applyFill="1" applyBorder="1" applyAlignment="1">
      <alignment horizontal="left" vertical="center"/>
    </xf>
    <xf numFmtId="0" fontId="0" fillId="3" borderId="0" xfId="0" applyFill="1" applyAlignment="1">
      <alignment horizontal="right" vertical="center"/>
    </xf>
    <xf numFmtId="2" fontId="23" fillId="10" borderId="66" xfId="17" applyNumberFormat="1" applyFont="1" applyFill="1" applyBorder="1" applyAlignment="1">
      <alignment horizontal="right" vertical="center"/>
    </xf>
    <xf numFmtId="0" fontId="23" fillId="5" borderId="0" xfId="17" applyFont="1" applyFill="1" applyAlignment="1">
      <alignment horizontal="right" vertical="center"/>
    </xf>
    <xf numFmtId="0" fontId="0" fillId="3" borderId="0" xfId="0" applyFill="1">
      <alignment vertical="center"/>
    </xf>
    <xf numFmtId="0" fontId="23" fillId="9" borderId="0" xfId="17"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2" applyNumberFormat="1" applyFont="1" applyAlignment="1">
      <alignment horizontal="left" vertical="center"/>
    </xf>
    <xf numFmtId="186" fontId="57" fillId="2" borderId="3"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wrapText="1"/>
    </xf>
    <xf numFmtId="186" fontId="57" fillId="2" borderId="6" xfId="12" applyNumberFormat="1" applyFont="1" applyFill="1" applyBorder="1" applyAlignment="1">
      <alignment horizontal="left" vertical="center"/>
    </xf>
    <xf numFmtId="186" fontId="58" fillId="2" borderId="7" xfId="12" applyNumberFormat="1" applyFont="1" applyFill="1" applyBorder="1" applyAlignment="1">
      <alignment horizontal="left" vertical="center"/>
    </xf>
    <xf numFmtId="186" fontId="57" fillId="2" borderId="6" xfId="12" applyNumberFormat="1" applyFont="1" applyFill="1" applyBorder="1" applyAlignment="1">
      <alignment horizontal="left" vertical="center" wrapText="1"/>
    </xf>
    <xf numFmtId="0" fontId="59" fillId="0" borderId="53" xfId="12" applyFont="1" applyBorder="1">
      <alignment vertical="center"/>
    </xf>
    <xf numFmtId="186" fontId="57" fillId="2" borderId="29" xfId="12" applyNumberFormat="1" applyFont="1" applyFill="1" applyBorder="1" applyAlignment="1">
      <alignment horizontal="left" vertical="center"/>
    </xf>
    <xf numFmtId="186" fontId="57" fillId="2" borderId="30" xfId="12" applyNumberFormat="1" applyFont="1" applyFill="1" applyBorder="1" applyAlignment="1">
      <alignment horizontal="left" vertical="center"/>
    </xf>
    <xf numFmtId="186" fontId="58" fillId="2" borderId="8" xfId="12"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2" applyNumberFormat="1" applyFont="1" applyFill="1" applyBorder="1" applyAlignment="1">
      <alignment horizontal="left" vertical="center" wrapText="1"/>
    </xf>
    <xf numFmtId="186" fontId="58" fillId="2" borderId="10" xfId="12" applyNumberFormat="1" applyFont="1" applyFill="1" applyBorder="1" applyAlignment="1">
      <alignment horizontal="left" vertical="center"/>
    </xf>
    <xf numFmtId="186" fontId="58" fillId="2" borderId="11" xfId="12"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7"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89" fillId="0" borderId="0" xfId="13" applyFont="1" applyAlignment="1">
      <alignment horizontal="left"/>
    </xf>
    <xf numFmtId="0" fontId="89" fillId="0" borderId="0" xfId="13" applyFont="1" applyAlignment="1" applyProtection="1">
      <alignment horizontal="left"/>
      <protection locked="0"/>
    </xf>
    <xf numFmtId="0" fontId="90" fillId="0" borderId="0" xfId="13" applyFont="1" applyAlignment="1" applyProtection="1">
      <alignment horizontal="left"/>
      <protection locked="0"/>
    </xf>
    <xf numFmtId="0" fontId="90" fillId="0" borderId="0" xfId="13" applyFont="1" applyAlignment="1" applyProtection="1">
      <alignment horizontal="left" vertical="center"/>
      <protection locked="0"/>
    </xf>
    <xf numFmtId="49" fontId="91" fillId="2" borderId="53" xfId="13" applyNumberFormat="1" applyFont="1" applyFill="1" applyBorder="1"/>
    <xf numFmtId="0" fontId="68" fillId="2" borderId="0" xfId="13" applyFont="1" applyFill="1" applyAlignment="1">
      <alignment horizontal="center" vertical="center"/>
    </xf>
    <xf numFmtId="0" fontId="30"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4" fillId="2" borderId="7" xfId="7" applyFont="1" applyFill="1" applyBorder="1">
      <alignment vertical="center"/>
    </xf>
    <xf numFmtId="180" fontId="66" fillId="2" borderId="7" xfId="13" applyNumberFormat="1" applyFont="1" applyFill="1" applyBorder="1" applyAlignment="1">
      <alignment horizontal="right" vertical="center"/>
    </xf>
    <xf numFmtId="0" fontId="30" fillId="3" borderId="0" xfId="13" applyFont="1" applyFill="1" applyAlignment="1" applyProtection="1">
      <alignment vertical="center"/>
      <protection locked="0"/>
    </xf>
    <xf numFmtId="186" fontId="30"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3" fillId="0" borderId="0" xfId="13" applyFont="1" applyAlignment="1" applyProtection="1">
      <alignment horizontal="left"/>
      <protection locked="0"/>
    </xf>
    <xf numFmtId="0" fontId="34" fillId="2" borderId="12" xfId="7" applyFont="1" applyFill="1" applyBorder="1">
      <alignment vertical="center"/>
    </xf>
    <xf numFmtId="0" fontId="66" fillId="2" borderId="12" xfId="13" applyFont="1" applyFill="1" applyBorder="1" applyAlignment="1">
      <alignment horizontal="right" vertical="center"/>
    </xf>
    <xf numFmtId="49" fontId="30" fillId="2" borderId="0" xfId="13" applyNumberFormat="1" applyFont="1" applyFill="1"/>
    <xf numFmtId="0" fontId="3" fillId="2" borderId="7" xfId="13" applyFont="1" applyFill="1" applyBorder="1" applyAlignment="1">
      <alignment vertical="center"/>
    </xf>
    <xf numFmtId="0" fontId="30" fillId="0" borderId="7" xfId="13" applyFont="1" applyBorder="1" applyAlignment="1" applyProtection="1">
      <alignment horizontal="left" vertical="center"/>
      <protection locked="0"/>
    </xf>
    <xf numFmtId="0" fontId="7" fillId="2" borderId="0" xfId="7"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34" fillId="0" borderId="99" xfId="13" applyFont="1" applyBorder="1" applyAlignment="1" applyProtection="1">
      <alignment horizontal="left" vertical="center"/>
      <protection locked="0"/>
    </xf>
    <xf numFmtId="0" fontId="34" fillId="2" borderId="128" xfId="13" applyFont="1" applyFill="1" applyBorder="1" applyAlignment="1">
      <alignment vertical="center"/>
    </xf>
    <xf numFmtId="0" fontId="34" fillId="2" borderId="154" xfId="13" applyFont="1" applyFill="1" applyBorder="1" applyAlignment="1">
      <alignment vertical="center"/>
    </xf>
    <xf numFmtId="0" fontId="34" fillId="0" borderId="0" xfId="13" applyFont="1" applyAlignment="1" applyProtection="1">
      <alignment vertical="center"/>
      <protection locked="0"/>
    </xf>
    <xf numFmtId="0" fontId="34" fillId="2" borderId="131" xfId="13" applyFont="1" applyFill="1" applyBorder="1" applyAlignment="1">
      <alignment horizontal="left" vertical="center"/>
    </xf>
    <xf numFmtId="0" fontId="34" fillId="2" borderId="53" xfId="13" applyFont="1" applyFill="1" applyBorder="1" applyAlignment="1">
      <alignment horizontal="left" vertical="center"/>
    </xf>
    <xf numFmtId="0" fontId="34" fillId="2" borderId="103" xfId="13" applyFont="1" applyFill="1" applyBorder="1" applyAlignment="1">
      <alignment horizontal="left" vertical="center"/>
    </xf>
    <xf numFmtId="180" fontId="34" fillId="2" borderId="102" xfId="13" applyNumberFormat="1" applyFont="1" applyFill="1" applyBorder="1" applyAlignment="1">
      <alignment horizontal="left" vertical="center"/>
    </xf>
    <xf numFmtId="10" fontId="34" fillId="2" borderId="53" xfId="13" applyNumberFormat="1" applyFont="1" applyFill="1" applyBorder="1" applyAlignment="1">
      <alignment horizontal="left" vertical="center"/>
    </xf>
    <xf numFmtId="180" fontId="34" fillId="2" borderId="129" xfId="13" applyNumberFormat="1" applyFont="1" applyFill="1" applyBorder="1" applyAlignment="1">
      <alignment horizontal="left" vertical="center"/>
    </xf>
    <xf numFmtId="180" fontId="34" fillId="0" borderId="0" xfId="13" applyNumberFormat="1" applyFont="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80" fontId="34"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9" fontId="34" fillId="0" borderId="7" xfId="13" applyNumberFormat="1" applyFont="1" applyBorder="1" applyAlignment="1" applyProtection="1">
      <alignment horizontal="left" vertical="center"/>
      <protection locked="0"/>
    </xf>
    <xf numFmtId="0" fontId="34" fillId="2" borderId="8" xfId="13" applyFont="1" applyFill="1" applyBorder="1" applyAlignment="1">
      <alignment vertical="center"/>
    </xf>
    <xf numFmtId="181" fontId="34" fillId="2" borderId="7" xfId="13" applyNumberFormat="1" applyFont="1" applyFill="1" applyBorder="1" applyAlignment="1">
      <alignment horizontal="left" vertical="center"/>
    </xf>
    <xf numFmtId="49" fontId="30" fillId="2" borderId="6" xfId="13" applyNumberFormat="1"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0" fontId="30" fillId="2" borderId="7" xfId="13" applyNumberFormat="1" applyFont="1" applyFill="1" applyBorder="1" applyAlignment="1">
      <alignment horizontal="left" vertical="center"/>
    </xf>
    <xf numFmtId="181" fontId="30"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6" fontId="30" fillId="0" borderId="7" xfId="13" applyNumberFormat="1" applyFont="1" applyBorder="1" applyAlignment="1" applyProtection="1">
      <alignment horizontal="left" vertical="center"/>
      <protection locked="0"/>
    </xf>
    <xf numFmtId="181" fontId="30" fillId="2" borderId="14" xfId="13" applyNumberFormat="1" applyFont="1" applyFill="1" applyBorder="1" applyAlignment="1">
      <alignment horizontal="right" vertical="center"/>
    </xf>
    <xf numFmtId="178" fontId="30" fillId="0" borderId="7" xfId="13" applyNumberFormat="1" applyFont="1" applyBorder="1" applyAlignment="1" applyProtection="1">
      <alignment horizontal="left" vertical="center"/>
      <protection locked="0"/>
    </xf>
    <xf numFmtId="180" fontId="30" fillId="0" borderId="7" xfId="13" applyNumberFormat="1" applyFont="1" applyBorder="1" applyAlignment="1" applyProtection="1">
      <alignment horizontal="left" vertical="center"/>
      <protection locked="0"/>
    </xf>
    <xf numFmtId="181" fontId="30" fillId="0" borderId="7" xfId="13" applyNumberFormat="1" applyFont="1" applyBorder="1" applyAlignment="1" applyProtection="1">
      <alignment horizontal="left" vertical="center"/>
      <protection locked="0"/>
    </xf>
    <xf numFmtId="0" fontId="34" fillId="2" borderId="9" xfId="13" applyFont="1" applyFill="1" applyBorder="1" applyAlignment="1">
      <alignment horizontal="left" vertical="center"/>
    </xf>
    <xf numFmtId="180" fontId="34" fillId="2" borderId="10" xfId="13" applyNumberFormat="1" applyFont="1" applyFill="1" applyBorder="1" applyAlignment="1">
      <alignment horizontal="left" vertical="center"/>
    </xf>
    <xf numFmtId="181" fontId="34" fillId="0" borderId="10" xfId="13" applyNumberFormat="1" applyFont="1" applyBorder="1" applyAlignment="1" applyProtection="1">
      <alignment horizontal="left" vertical="center"/>
      <protection locked="0"/>
    </xf>
    <xf numFmtId="0" fontId="34" fillId="2" borderId="11" xfId="13" applyFont="1" applyFill="1" applyBorder="1" applyAlignment="1">
      <alignment vertical="center"/>
    </xf>
    <xf numFmtId="180" fontId="34" fillId="2" borderId="53" xfId="13" applyNumberFormat="1" applyFont="1" applyFill="1" applyBorder="1" applyAlignment="1">
      <alignment horizontal="left" vertical="center"/>
    </xf>
    <xf numFmtId="181" fontId="34" fillId="0" borderId="53" xfId="13" applyNumberFormat="1" applyFont="1" applyBorder="1" applyAlignment="1" applyProtection="1">
      <alignment horizontal="left" vertical="center"/>
      <protection locked="0"/>
    </xf>
    <xf numFmtId="0" fontId="34" fillId="2" borderId="18" xfId="13" applyFont="1" applyFill="1" applyBorder="1" applyAlignment="1">
      <alignment vertical="center"/>
    </xf>
    <xf numFmtId="0" fontId="34" fillId="2" borderId="127" xfId="13" applyFont="1" applyFill="1" applyBorder="1" applyAlignment="1">
      <alignment vertical="center"/>
    </xf>
    <xf numFmtId="0" fontId="34" fillId="2" borderId="129" xfId="13" applyFont="1" applyFill="1" applyBorder="1" applyAlignment="1">
      <alignment horizontal="left" vertical="center"/>
    </xf>
    <xf numFmtId="0" fontId="34" fillId="2" borderId="155" xfId="13" applyFont="1" applyFill="1" applyBorder="1" applyAlignment="1">
      <alignment horizontal="left" vertical="center"/>
    </xf>
    <xf numFmtId="0" fontId="32" fillId="0" borderId="13" xfId="13" applyFont="1" applyBorder="1" applyAlignment="1" applyProtection="1">
      <alignment horizontal="left" vertical="center"/>
      <protection locked="0"/>
    </xf>
    <xf numFmtId="0" fontId="32" fillId="0" borderId="155" xfId="13" applyFont="1" applyBorder="1" applyAlignment="1" applyProtection="1">
      <alignment horizontal="left" vertical="center"/>
      <protection locked="0"/>
    </xf>
    <xf numFmtId="0" fontId="32" fillId="0" borderId="14" xfId="13" applyFont="1" applyBorder="1" applyAlignment="1" applyProtection="1">
      <alignment horizontal="left" vertical="center"/>
      <protection locked="0"/>
    </xf>
    <xf numFmtId="0" fontId="30" fillId="0" borderId="0" xfId="13" applyFont="1" applyAlignment="1" applyProtection="1">
      <alignment horizontal="left" vertical="center"/>
      <protection locked="0"/>
    </xf>
    <xf numFmtId="0" fontId="30" fillId="2" borderId="86" xfId="13" applyFont="1" applyFill="1" applyBorder="1" applyAlignment="1">
      <alignment horizontal="left" vertical="center"/>
    </xf>
    <xf numFmtId="0" fontId="30" fillId="2" borderId="7" xfId="13" applyFont="1" applyFill="1" applyBorder="1" applyAlignment="1">
      <alignment horizontal="left" vertical="center"/>
    </xf>
    <xf numFmtId="180" fontId="30" fillId="2" borderId="13" xfId="13" applyNumberFormat="1" applyFont="1" applyFill="1" applyBorder="1" applyAlignment="1">
      <alignment horizontal="left" vertical="center"/>
    </xf>
    <xf numFmtId="180" fontId="30" fillId="2" borderId="155" xfId="13" applyNumberFormat="1" applyFont="1" applyFill="1" applyBorder="1" applyAlignment="1">
      <alignment horizontal="left" vertical="center"/>
    </xf>
    <xf numFmtId="180" fontId="30" fillId="2" borderId="14" xfId="13" applyNumberFormat="1"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right" vertical="center"/>
      <protection locked="0"/>
    </xf>
    <xf numFmtId="0" fontId="30" fillId="2" borderId="86" xfId="13" applyFont="1" applyFill="1" applyBorder="1" applyAlignment="1">
      <alignment horizontal="right" vertical="center"/>
    </xf>
    <xf numFmtId="0" fontId="30" fillId="2" borderId="7" xfId="13" applyFont="1" applyFill="1" applyBorder="1" applyAlignment="1">
      <alignment horizontal="right" vertical="center"/>
    </xf>
    <xf numFmtId="180" fontId="30" fillId="2" borderId="13" xfId="13" applyNumberFormat="1" applyFont="1" applyFill="1" applyBorder="1" applyAlignment="1">
      <alignment horizontal="right" vertical="center"/>
    </xf>
    <xf numFmtId="181" fontId="30" fillId="0" borderId="155" xfId="13" applyNumberFormat="1" applyFont="1" applyBorder="1" applyAlignment="1" applyProtection="1">
      <alignment horizontal="right" vertical="center"/>
      <protection locked="0"/>
    </xf>
    <xf numFmtId="181" fontId="30" fillId="0" borderId="14" xfId="13" applyNumberFormat="1" applyFont="1" applyBorder="1" applyAlignment="1" applyProtection="1">
      <alignment horizontal="right" vertical="center"/>
      <protection locked="0"/>
    </xf>
    <xf numFmtId="0" fontId="30" fillId="2" borderId="8" xfId="13" applyFont="1" applyFill="1" applyBorder="1" applyAlignment="1">
      <alignment horizontal="right" vertical="center"/>
    </xf>
    <xf numFmtId="181" fontId="30"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181" fontId="30" fillId="2" borderId="155" xfId="13" applyNumberFormat="1" applyFont="1" applyFill="1" applyBorder="1" applyAlignment="1">
      <alignment horizontal="right" vertical="center"/>
    </xf>
    <xf numFmtId="181" fontId="30" fillId="0" borderId="13" xfId="13" applyNumberFormat="1" applyFont="1" applyBorder="1" applyAlignment="1" applyProtection="1">
      <alignment horizontal="right" vertical="center"/>
      <protection locked="0"/>
    </xf>
    <xf numFmtId="0" fontId="30" fillId="2" borderId="155" xfId="13" applyFont="1" applyFill="1" applyBorder="1" applyAlignment="1">
      <alignment horizontal="left" vertical="center"/>
    </xf>
    <xf numFmtId="10" fontId="30" fillId="0" borderId="13" xfId="13" applyNumberFormat="1" applyFont="1" applyBorder="1" applyAlignment="1" applyProtection="1">
      <alignment horizontal="left" vertical="center"/>
      <protection locked="0"/>
    </xf>
    <xf numFmtId="10" fontId="30" fillId="0" borderId="155" xfId="13" applyNumberFormat="1" applyFont="1" applyBorder="1" applyAlignment="1" applyProtection="1">
      <alignment horizontal="left" vertical="center"/>
      <protection locked="0"/>
    </xf>
    <xf numFmtId="10" fontId="30" fillId="0" borderId="14" xfId="13" applyNumberFormat="1" applyFont="1" applyBorder="1" applyAlignment="1" applyProtection="1">
      <alignment horizontal="left" vertical="center"/>
      <protection locked="0"/>
    </xf>
    <xf numFmtId="181" fontId="30" fillId="0" borderId="13" xfId="13" applyNumberFormat="1" applyFont="1" applyBorder="1" applyAlignment="1" applyProtection="1">
      <alignment horizontal="left" vertical="center"/>
      <protection locked="0"/>
    </xf>
    <xf numFmtId="181" fontId="30" fillId="0" borderId="155" xfId="13" applyNumberFormat="1" applyFont="1" applyBorder="1" applyAlignment="1" applyProtection="1">
      <alignment horizontal="left" vertical="center"/>
      <protection locked="0"/>
    </xf>
    <xf numFmtId="181" fontId="30" fillId="0" borderId="14" xfId="13" applyNumberFormat="1" applyFont="1" applyBorder="1" applyAlignment="1" applyProtection="1">
      <alignment horizontal="left" vertical="center"/>
      <protection locked="0"/>
    </xf>
    <xf numFmtId="186" fontId="30" fillId="0" borderId="0" xfId="13" applyNumberFormat="1" applyFont="1" applyAlignment="1" applyProtection="1">
      <alignment horizontal="left" vertical="center"/>
      <protection locked="0"/>
    </xf>
    <xf numFmtId="0" fontId="30" fillId="2" borderId="10" xfId="13" applyFont="1" applyFill="1" applyBorder="1" applyAlignment="1">
      <alignment horizontal="left" vertical="center"/>
    </xf>
    <xf numFmtId="186" fontId="30" fillId="0" borderId="23" xfId="13" applyNumberFormat="1" applyFont="1" applyBorder="1" applyAlignment="1" applyProtection="1">
      <alignment horizontal="left" vertical="center"/>
      <protection locked="0"/>
    </xf>
    <xf numFmtId="186" fontId="30" fillId="0" borderId="156" xfId="13" applyNumberFormat="1" applyFont="1" applyBorder="1" applyAlignment="1" applyProtection="1">
      <alignment horizontal="left" vertical="center"/>
      <protection locked="0"/>
    </xf>
    <xf numFmtId="186" fontId="30" fillId="0" borderId="96" xfId="13" applyNumberFormat="1" applyFont="1" applyBorder="1" applyAlignment="1" applyProtection="1">
      <alignment horizontal="left" vertical="center"/>
      <protection locked="0"/>
    </xf>
    <xf numFmtId="186" fontId="30" fillId="2" borderId="8" xfId="13" applyNumberFormat="1" applyFont="1" applyFill="1" applyBorder="1" applyAlignment="1">
      <alignment horizontal="left" vertical="center"/>
    </xf>
    <xf numFmtId="0" fontId="30" fillId="0" borderId="0" xfId="13" applyFont="1" applyAlignment="1" applyProtection="1">
      <alignment horizontal="left"/>
      <protection locked="0"/>
    </xf>
    <xf numFmtId="0" fontId="30" fillId="2" borderId="6" xfId="13" applyFont="1" applyFill="1" applyBorder="1" applyAlignment="1">
      <alignment horizontal="left" vertical="center"/>
    </xf>
    <xf numFmtId="180" fontId="30" fillId="2" borderId="7" xfId="13" applyNumberFormat="1" applyFont="1" applyFill="1" applyBorder="1" applyAlignment="1">
      <alignment horizontal="left"/>
    </xf>
    <xf numFmtId="0" fontId="30" fillId="2" borderId="7" xfId="13" applyFont="1" applyFill="1" applyBorder="1" applyAlignment="1">
      <alignment horizontal="left"/>
    </xf>
    <xf numFmtId="0" fontId="30" fillId="2" borderId="8" xfId="13" applyFont="1" applyFill="1" applyBorder="1" applyAlignment="1">
      <alignment horizontal="left"/>
    </xf>
    <xf numFmtId="0" fontId="30" fillId="2" borderId="9" xfId="13" applyFont="1" applyFill="1" applyBorder="1" applyAlignment="1">
      <alignment horizontal="left" vertical="center"/>
    </xf>
    <xf numFmtId="180" fontId="30" fillId="2" borderId="10" xfId="13" applyNumberFormat="1" applyFont="1" applyFill="1" applyBorder="1" applyAlignment="1">
      <alignment horizontal="left" vertical="center"/>
    </xf>
    <xf numFmtId="0" fontId="30" fillId="2" borderId="10" xfId="13" applyFont="1" applyFill="1" applyBorder="1" applyAlignment="1">
      <alignment horizontal="left"/>
    </xf>
    <xf numFmtId="0" fontId="30" fillId="2" borderId="11" xfId="13" applyFont="1" applyFill="1" applyBorder="1" applyAlignment="1">
      <alignment horizontal="left" vertical="center"/>
    </xf>
    <xf numFmtId="0" fontId="34" fillId="3" borderId="105" xfId="13" applyFont="1" applyFill="1" applyBorder="1" applyAlignment="1" applyProtection="1">
      <alignment vertical="center"/>
      <protection locked="0"/>
    </xf>
    <xf numFmtId="0" fontId="34" fillId="3" borderId="21" xfId="13" applyFont="1" applyFill="1" applyBorder="1" applyAlignment="1" applyProtection="1">
      <alignment vertical="center"/>
      <protection locked="0"/>
    </xf>
    <xf numFmtId="0" fontId="34" fillId="0" borderId="7" xfId="13"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3" applyFont="1" applyBorder="1" applyAlignment="1" applyProtection="1">
      <alignment horizontal="left" vertical="center"/>
      <protection locked="0"/>
    </xf>
    <xf numFmtId="0" fontId="22" fillId="2" borderId="86" xfId="13" applyFont="1" applyFill="1" applyBorder="1" applyAlignment="1" applyProtection="1">
      <alignment vertical="center"/>
      <protection locked="0"/>
    </xf>
    <xf numFmtId="0" fontId="22"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30" fillId="2" borderId="13" xfId="13" applyFont="1" applyFill="1" applyBorder="1" applyAlignment="1" applyProtection="1">
      <alignment vertical="center"/>
      <protection locked="0"/>
    </xf>
    <xf numFmtId="0" fontId="30" fillId="2" borderId="7" xfId="13" applyFont="1" applyFill="1" applyBorder="1" applyAlignment="1" applyProtection="1">
      <alignment horizontal="left" vertical="center"/>
      <protection locked="0"/>
    </xf>
    <xf numFmtId="0" fontId="30" fillId="0" borderId="13" xfId="13" applyFont="1" applyBorder="1" applyAlignment="1" applyProtection="1">
      <alignment vertical="center"/>
      <protection locked="0"/>
    </xf>
    <xf numFmtId="0" fontId="24" fillId="0" borderId="7" xfId="13" applyFont="1" applyBorder="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0" fontId="34" fillId="2" borderId="13" xfId="13" applyFont="1" applyFill="1" applyBorder="1" applyAlignment="1" applyProtection="1">
      <alignment vertical="center"/>
      <protection locked="0"/>
    </xf>
    <xf numFmtId="0" fontId="22"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8" fontId="30" fillId="3" borderId="7" xfId="13" applyNumberFormat="1" applyFont="1" applyFill="1" applyBorder="1" applyAlignment="1" applyProtection="1">
      <alignment horizontal="left" vertical="center"/>
      <protection locked="0"/>
    </xf>
    <xf numFmtId="0" fontId="24" fillId="0" borderId="7" xfId="13" applyFont="1" applyBorder="1" applyAlignment="1" applyProtection="1">
      <alignment horizontal="left" vertical="center" wrapText="1"/>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0" fontId="22" fillId="2" borderId="93" xfId="13" applyFont="1" applyFill="1" applyBorder="1" applyAlignment="1" applyProtection="1">
      <alignment vertical="center"/>
      <protection locked="0"/>
    </xf>
    <xf numFmtId="0" fontId="22" fillId="2" borderId="52" xfId="13" applyFont="1" applyFill="1" applyBorder="1" applyAlignment="1" applyProtection="1">
      <alignment vertical="center"/>
      <protection locked="0"/>
    </xf>
    <xf numFmtId="0" fontId="22" fillId="2" borderId="94" xfId="13" applyFont="1" applyFill="1" applyBorder="1" applyAlignment="1" applyProtection="1">
      <alignment vertical="center"/>
      <protection locked="0"/>
    </xf>
    <xf numFmtId="0" fontId="24" fillId="2" borderId="7" xfId="13" applyFont="1" applyFill="1" applyBorder="1" applyAlignment="1" applyProtection="1">
      <alignment horizontal="left" vertical="center"/>
      <protection locked="0"/>
    </xf>
    <xf numFmtId="9" fontId="24" fillId="2" borderId="7"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22" fillId="2" borderId="102" xfId="13" applyFont="1" applyFill="1" applyBorder="1" applyAlignment="1" applyProtection="1">
      <alignment vertical="center"/>
      <protection locked="0"/>
    </xf>
    <xf numFmtId="0" fontId="22" fillId="2" borderId="53" xfId="13" applyFont="1" applyFill="1" applyBorder="1" applyAlignment="1" applyProtection="1">
      <alignment vertical="center"/>
      <protection locked="0"/>
    </xf>
    <xf numFmtId="0" fontId="22" fillId="2" borderId="103" xfId="13" applyFont="1" applyFill="1" applyBorder="1" applyAlignment="1" applyProtection="1">
      <alignment vertical="center"/>
      <protection locked="0"/>
    </xf>
    <xf numFmtId="0" fontId="22" fillId="0" borderId="7" xfId="13" applyFont="1" applyBorder="1" applyAlignment="1" applyProtection="1">
      <alignment horizontal="left" vertical="center"/>
      <protection locked="0"/>
    </xf>
    <xf numFmtId="0" fontId="7" fillId="2" borderId="28" xfId="13" applyFont="1" applyFill="1" applyBorder="1" applyAlignment="1" applyProtection="1">
      <alignment horizontal="left" vertical="center" wrapText="1"/>
      <protection locked="0"/>
    </xf>
    <xf numFmtId="0" fontId="5" fillId="2" borderId="26" xfId="13" applyFont="1" applyFill="1" applyBorder="1" applyAlignment="1" applyProtection="1">
      <alignment vertical="center"/>
      <protection locked="0"/>
    </xf>
    <xf numFmtId="0" fontId="3" fillId="2" borderId="26" xfId="13" applyFont="1" applyFill="1" applyBorder="1" applyAlignment="1" applyProtection="1">
      <alignment vertical="center"/>
      <protection locked="0"/>
    </xf>
    <xf numFmtId="0" fontId="92" fillId="0" borderId="26" xfId="13" applyBorder="1" applyAlignment="1" applyProtection="1">
      <alignment horizontal="left" vertical="center"/>
      <protection locked="0"/>
    </xf>
    <xf numFmtId="9" fontId="30" fillId="0" borderId="10" xfId="13" applyNumberFormat="1" applyFont="1" applyBorder="1" applyAlignment="1" applyProtection="1">
      <alignment horizontal="left" vertical="center"/>
      <protection locked="0"/>
    </xf>
    <xf numFmtId="0" fontId="7" fillId="2" borderId="26" xfId="13" applyFont="1" applyFill="1" applyBorder="1" applyAlignment="1" applyProtection="1">
      <alignment vertical="center"/>
      <protection locked="0"/>
    </xf>
    <xf numFmtId="0" fontId="34" fillId="3" borderId="116" xfId="13" applyFont="1" applyFill="1" applyBorder="1" applyAlignment="1" applyProtection="1">
      <alignmen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3" applyNumberFormat="1" applyFont="1" applyFill="1" applyBorder="1" applyAlignment="1" applyProtection="1">
      <alignment horizontal="left" vertical="center"/>
      <protection locked="0"/>
    </xf>
    <xf numFmtId="0" fontId="30" fillId="0" borderId="31" xfId="13" applyFont="1" applyBorder="1" applyAlignment="1" applyProtection="1">
      <alignment horizontal="left" vertical="center"/>
      <protection locked="0"/>
    </xf>
    <xf numFmtId="0" fontId="30" fillId="2" borderId="31" xfId="13" applyFont="1" applyFill="1" applyBorder="1" applyAlignment="1" applyProtection="1">
      <alignment horizontal="left" vertical="center"/>
      <protection locked="0"/>
    </xf>
    <xf numFmtId="0" fontId="30" fillId="0" borderId="8" xfId="13" applyFont="1" applyBorder="1" applyAlignment="1" applyProtection="1">
      <alignment horizontal="left" vertical="center"/>
      <protection locked="0"/>
    </xf>
    <xf numFmtId="178" fontId="34" fillId="2" borderId="7" xfId="13" applyNumberFormat="1" applyFont="1" applyFill="1" applyBorder="1" applyAlignment="1" applyProtection="1">
      <alignment horizontal="left" vertical="center"/>
      <protection locked="0"/>
    </xf>
    <xf numFmtId="178" fontId="30" fillId="0" borderId="8" xfId="13" applyNumberFormat="1" applyFont="1" applyBorder="1" applyAlignment="1" applyProtection="1">
      <alignment horizontal="left" vertical="center"/>
      <protection locked="0"/>
    </xf>
    <xf numFmtId="0" fontId="22" fillId="2" borderId="8" xfId="13" applyFont="1" applyFill="1" applyBorder="1" applyAlignment="1" applyProtection="1">
      <alignment horizontal="left" vertical="center"/>
      <protection locked="0"/>
    </xf>
    <xf numFmtId="0" fontId="24" fillId="0" borderId="8" xfId="13" applyFont="1" applyBorder="1" applyAlignment="1" applyProtection="1">
      <alignment horizontal="left" vertical="center"/>
      <protection locked="0"/>
    </xf>
    <xf numFmtId="9" fontId="24" fillId="0" borderId="7" xfId="13" applyNumberFormat="1" applyFont="1" applyBorder="1" applyAlignment="1" applyProtection="1">
      <alignment horizontal="left" vertical="center"/>
      <protection locked="0"/>
    </xf>
    <xf numFmtId="9" fontId="22" fillId="0" borderId="7" xfId="13" applyNumberFormat="1" applyFont="1" applyBorder="1" applyAlignment="1" applyProtection="1">
      <alignment horizontal="left" vertical="center"/>
      <protection locked="0"/>
    </xf>
    <xf numFmtId="181" fontId="24" fillId="0" borderId="10" xfId="13" applyNumberFormat="1" applyFont="1" applyBorder="1" applyAlignment="1" applyProtection="1">
      <alignment horizontal="left" vertical="center"/>
      <protection locked="0"/>
    </xf>
    <xf numFmtId="0" fontId="93" fillId="0" borderId="135" xfId="13" applyFont="1" applyBorder="1" applyAlignment="1" applyProtection="1">
      <alignment horizontal="left" vertical="center"/>
      <protection locked="0"/>
    </xf>
    <xf numFmtId="0" fontId="34" fillId="2" borderId="7" xfId="13" applyFont="1" applyFill="1" applyBorder="1" applyAlignment="1" applyProtection="1">
      <alignment horizontal="left" vertical="center"/>
      <protection locked="0"/>
    </xf>
    <xf numFmtId="178" fontId="30" fillId="2" borderId="7" xfId="13" applyNumberFormat="1" applyFont="1" applyFill="1" applyBorder="1" applyAlignment="1" applyProtection="1">
      <alignment horizontal="left" vertical="center"/>
      <protection locked="0"/>
    </xf>
    <xf numFmtId="0" fontId="30" fillId="2" borderId="12" xfId="13" applyFont="1" applyFill="1" applyBorder="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90" fillId="0" borderId="0" xfId="13"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98" fillId="0" borderId="0" xfId="4" applyFont="1" applyAlignment="1">
      <alignment horizontal="center" vertical="center"/>
    </xf>
    <xf numFmtId="0" fontId="99" fillId="0" borderId="0" xfId="4" applyFont="1" applyAlignment="1">
      <alignment horizontal="center" vertical="center"/>
    </xf>
    <xf numFmtId="49" fontId="99" fillId="0" borderId="0" xfId="4" applyNumberFormat="1" applyFont="1" applyAlignment="1">
      <alignment horizontal="center" vertical="center"/>
    </xf>
    <xf numFmtId="0" fontId="99" fillId="0" borderId="0" xfId="4" applyFont="1" applyAlignment="1">
      <alignment horizontal="center" vertical="center" wrapText="1"/>
    </xf>
    <xf numFmtId="43" fontId="99" fillId="0" borderId="0" xfId="4" applyNumberFormat="1" applyFont="1" applyAlignment="1">
      <alignment horizontal="center" vertical="center"/>
    </xf>
    <xf numFmtId="181" fontId="98" fillId="0" borderId="0" xfId="4" applyNumberFormat="1" applyFont="1" applyAlignment="1">
      <alignment horizontal="center" vertical="center"/>
    </xf>
    <xf numFmtId="187" fontId="99" fillId="0" borderId="0" xfId="4" applyNumberFormat="1" applyFont="1" applyAlignment="1">
      <alignment horizontal="center" vertical="center" wrapText="1"/>
    </xf>
    <xf numFmtId="184" fontId="99" fillId="0" borderId="0" xfId="4" applyNumberFormat="1" applyFont="1" applyAlignment="1">
      <alignment horizontal="center" vertical="center"/>
    </xf>
    <xf numFmtId="177" fontId="99" fillId="0" borderId="0" xfId="4" applyNumberFormat="1" applyFont="1" applyAlignment="1">
      <alignment horizontal="center" vertical="center"/>
    </xf>
    <xf numFmtId="0" fontId="99" fillId="0" borderId="0" xfId="4" applyFont="1" applyAlignment="1">
      <alignment horizontal="center"/>
    </xf>
    <xf numFmtId="0" fontId="98" fillId="17" borderId="83" xfId="4" applyFont="1" applyFill="1" applyBorder="1" applyAlignment="1">
      <alignment horizontal="center" vertical="center"/>
    </xf>
    <xf numFmtId="0" fontId="98" fillId="17" borderId="15" xfId="4" applyFont="1" applyFill="1" applyBorder="1" applyAlignment="1">
      <alignment horizontal="center" vertical="center" wrapText="1"/>
    </xf>
    <xf numFmtId="0" fontId="98" fillId="17" borderId="7" xfId="4" applyFont="1" applyFill="1" applyBorder="1" applyAlignment="1">
      <alignment horizontal="center" vertical="center"/>
    </xf>
    <xf numFmtId="49" fontId="98" fillId="17" borderId="7" xfId="4" applyNumberFormat="1" applyFont="1" applyFill="1" applyBorder="1" applyAlignment="1">
      <alignment horizontal="center" vertical="center"/>
    </xf>
    <xf numFmtId="0" fontId="98" fillId="17" borderId="7" xfId="4" applyFont="1" applyFill="1" applyBorder="1" applyAlignment="1">
      <alignment horizontal="center" vertical="center" wrapText="1"/>
    </xf>
    <xf numFmtId="0" fontId="98" fillId="17" borderId="13" xfId="4" applyFont="1" applyFill="1" applyBorder="1" applyAlignment="1">
      <alignment horizontal="center" vertical="center" wrapText="1"/>
    </xf>
    <xf numFmtId="0" fontId="98" fillId="17" borderId="13" xfId="4" applyFont="1" applyFill="1" applyBorder="1" applyAlignment="1">
      <alignment horizontal="center" vertical="center"/>
    </xf>
    <xf numFmtId="186" fontId="98" fillId="19" borderId="6" xfId="4" applyNumberFormat="1" applyFont="1" applyFill="1" applyBorder="1" applyAlignment="1">
      <alignment horizontal="center" vertical="center"/>
    </xf>
    <xf numFmtId="1" fontId="99" fillId="0" borderId="7" xfId="4" applyNumberFormat="1" applyFont="1" applyBorder="1" applyAlignment="1">
      <alignment horizontal="center" vertical="center"/>
    </xf>
    <xf numFmtId="49" fontId="99" fillId="0" borderId="7" xfId="4" applyNumberFormat="1" applyFont="1" applyBorder="1" applyAlignment="1">
      <alignment horizontal="center" vertical="center"/>
    </xf>
    <xf numFmtId="186" fontId="99" fillId="0" borderId="7" xfId="14" applyNumberFormat="1" applyFont="1" applyBorder="1" applyAlignment="1">
      <alignment horizontal="center" vertical="center"/>
    </xf>
    <xf numFmtId="9" fontId="100" fillId="0" borderId="7" xfId="3" applyFont="1" applyBorder="1" applyAlignment="1">
      <alignment vertical="center"/>
    </xf>
    <xf numFmtId="194" fontId="101" fillId="0" borderId="7" xfId="23" applyNumberFormat="1" applyFont="1" applyFill="1" applyBorder="1" applyAlignment="1">
      <alignment horizontal="center" vertical="center" wrapText="1"/>
    </xf>
    <xf numFmtId="195" fontId="99" fillId="0" borderId="7" xfId="4" applyNumberFormat="1" applyFont="1" applyBorder="1" applyAlignment="1">
      <alignment horizontal="center" vertical="center"/>
    </xf>
    <xf numFmtId="9" fontId="100" fillId="0" borderId="7" xfId="3" applyFont="1" applyBorder="1" applyAlignment="1">
      <alignment horizontal="center" vertical="center"/>
    </xf>
    <xf numFmtId="0" fontId="99" fillId="0" borderId="7" xfId="4" applyFont="1" applyBorder="1" applyAlignment="1">
      <alignment horizontal="center" vertical="center"/>
    </xf>
    <xf numFmtId="0" fontId="99" fillId="0" borderId="7" xfId="4" applyFont="1" applyBorder="1" applyAlignment="1">
      <alignment horizontal="center" vertical="center" wrapText="1"/>
    </xf>
    <xf numFmtId="9" fontId="99" fillId="0" borderId="7" xfId="3" applyFont="1" applyBorder="1" applyAlignment="1">
      <alignment horizontal="center" vertical="center" wrapText="1"/>
    </xf>
    <xf numFmtId="9" fontId="100" fillId="0" borderId="7" xfId="3" applyFont="1" applyFill="1" applyBorder="1" applyAlignment="1">
      <alignment vertical="center"/>
    </xf>
    <xf numFmtId="9" fontId="100" fillId="0" borderId="7" xfId="3" applyFont="1" applyFill="1" applyBorder="1" applyAlignment="1">
      <alignment horizontal="center" vertical="center"/>
    </xf>
    <xf numFmtId="186" fontId="98" fillId="19" borderId="14" xfId="4" applyNumberFormat="1" applyFont="1" applyFill="1" applyBorder="1" applyAlignment="1">
      <alignment horizontal="center" vertical="center"/>
    </xf>
    <xf numFmtId="14" fontId="98" fillId="19" borderId="7" xfId="4" applyNumberFormat="1" applyFont="1" applyFill="1" applyBorder="1" applyAlignment="1">
      <alignment horizontal="center" vertical="center"/>
    </xf>
    <xf numFmtId="14" fontId="98" fillId="19" borderId="7" xfId="4" applyNumberFormat="1" applyFont="1" applyFill="1" applyBorder="1" applyAlignment="1">
      <alignment horizontal="center" vertical="center" wrapText="1"/>
    </xf>
    <xf numFmtId="43" fontId="98" fillId="19" borderId="7" xfId="4" applyNumberFormat="1" applyFont="1" applyFill="1" applyBorder="1" applyAlignment="1">
      <alignment horizontal="center" vertical="center" wrapText="1"/>
    </xf>
    <xf numFmtId="43" fontId="98" fillId="19" borderId="7" xfId="4" applyNumberFormat="1" applyFont="1" applyFill="1" applyBorder="1" applyAlignment="1">
      <alignment horizontal="center" vertical="center"/>
    </xf>
    <xf numFmtId="177" fontId="101" fillId="0" borderId="7" xfId="4" applyNumberFormat="1" applyFont="1" applyBorder="1" applyAlignment="1">
      <alignment horizontal="center" vertical="center" wrapText="1"/>
    </xf>
    <xf numFmtId="195" fontId="99" fillId="0" borderId="7" xfId="4" applyNumberFormat="1" applyFont="1" applyBorder="1" applyAlignment="1">
      <alignment horizontal="center" vertical="center" wrapText="1"/>
    </xf>
    <xf numFmtId="195" fontId="100" fillId="0" borderId="7" xfId="4" applyNumberFormat="1" applyFont="1" applyBorder="1" applyAlignment="1">
      <alignment vertical="center"/>
    </xf>
    <xf numFmtId="181" fontId="101" fillId="0" borderId="7" xfId="3" applyNumberFormat="1" applyFont="1" applyFill="1" applyBorder="1" applyAlignment="1">
      <alignment horizontal="center" vertical="center" wrapText="1"/>
    </xf>
    <xf numFmtId="43" fontId="99" fillId="0" borderId="7" xfId="4" applyNumberFormat="1" applyFont="1" applyBorder="1" applyAlignment="1">
      <alignment horizontal="center" vertical="center"/>
    </xf>
    <xf numFmtId="181" fontId="98" fillId="17" borderId="83" xfId="4" applyNumberFormat="1" applyFont="1" applyFill="1" applyBorder="1" applyAlignment="1">
      <alignment horizontal="center" vertical="center"/>
    </xf>
    <xf numFmtId="181" fontId="98" fillId="20" borderId="15" xfId="4" applyNumberFormat="1" applyFont="1" applyFill="1" applyBorder="1" applyAlignment="1">
      <alignment horizontal="center" vertical="center"/>
    </xf>
    <xf numFmtId="43" fontId="98" fillId="19" borderId="8" xfId="4" applyNumberFormat="1" applyFont="1" applyFill="1" applyBorder="1" applyAlignment="1">
      <alignment horizontal="center" vertical="center" wrapText="1"/>
    </xf>
    <xf numFmtId="43" fontId="98" fillId="20" borderId="13" xfId="4" applyNumberFormat="1" applyFont="1" applyFill="1" applyBorder="1" applyAlignment="1">
      <alignment horizontal="center" vertical="center"/>
    </xf>
    <xf numFmtId="181" fontId="98" fillId="3" borderId="7" xfId="4" applyNumberFormat="1" applyFont="1" applyFill="1" applyBorder="1" applyAlignment="1">
      <alignment horizontal="center" vertical="center"/>
    </xf>
    <xf numFmtId="43" fontId="100" fillId="0" borderId="7" xfId="4" applyNumberFormat="1" applyFont="1" applyBorder="1" applyAlignment="1">
      <alignment vertical="center"/>
    </xf>
    <xf numFmtId="43" fontId="99" fillId="0" borderId="7" xfId="14" applyNumberFormat="1" applyFont="1" applyBorder="1" applyAlignment="1">
      <alignment horizontal="center" vertical="center"/>
    </xf>
    <xf numFmtId="196" fontId="102" fillId="0" borderId="7" xfId="10" applyNumberFormat="1" applyFont="1" applyBorder="1" applyAlignment="1">
      <alignment horizontal="center" vertical="center"/>
    </xf>
    <xf numFmtId="181" fontId="102" fillId="0" borderId="7" xfId="3" applyNumberFormat="1" applyFont="1" applyFill="1" applyBorder="1" applyAlignment="1">
      <alignment horizontal="center" vertical="center"/>
    </xf>
    <xf numFmtId="43" fontId="100" fillId="0" borderId="7" xfId="4" applyNumberFormat="1" applyFont="1" applyBorder="1" applyAlignment="1">
      <alignment horizontal="center" vertical="center"/>
    </xf>
    <xf numFmtId="0" fontId="98" fillId="3" borderId="14" xfId="4" applyFont="1" applyFill="1" applyBorder="1" applyAlignment="1">
      <alignment horizontal="center" vertical="center"/>
    </xf>
    <xf numFmtId="9" fontId="102" fillId="0" borderId="7" xfId="3" applyFont="1" applyFill="1" applyBorder="1" applyAlignment="1">
      <alignment horizontal="center" vertical="center"/>
    </xf>
    <xf numFmtId="43" fontId="102" fillId="0" borderId="7" xfId="3" applyNumberFormat="1" applyFont="1" applyFill="1" applyBorder="1" applyAlignment="1">
      <alignment horizontal="center" vertical="center"/>
    </xf>
    <xf numFmtId="0" fontId="98" fillId="17" borderId="6" xfId="4" applyFont="1" applyFill="1" applyBorder="1" applyAlignment="1">
      <alignment horizontal="center" vertical="center"/>
    </xf>
    <xf numFmtId="0" fontId="98" fillId="17" borderId="15" xfId="4" applyFont="1" applyFill="1" applyBorder="1" applyAlignment="1">
      <alignment horizontal="center" vertical="center"/>
    </xf>
    <xf numFmtId="0" fontId="98" fillId="17" borderId="14" xfId="4" applyFont="1" applyFill="1" applyBorder="1" applyAlignment="1">
      <alignment horizontal="center" vertical="center" wrapText="1"/>
    </xf>
    <xf numFmtId="1" fontId="99" fillId="0" borderId="7" xfId="4" applyNumberFormat="1" applyFont="1" applyBorder="1" applyAlignment="1">
      <alignment horizontal="center" vertical="center" wrapText="1"/>
    </xf>
    <xf numFmtId="9" fontId="99" fillId="0" borderId="7" xfId="4" applyNumberFormat="1" applyFont="1" applyBorder="1" applyAlignment="1">
      <alignment horizontal="center" vertical="center" wrapText="1"/>
    </xf>
    <xf numFmtId="10" fontId="99" fillId="0" borderId="7" xfId="4" applyNumberFormat="1" applyFont="1" applyBorder="1" applyAlignment="1">
      <alignment horizontal="center" vertical="center"/>
    </xf>
    <xf numFmtId="10" fontId="99" fillId="0" borderId="7" xfId="3" applyNumberFormat="1" applyFont="1" applyFill="1" applyBorder="1" applyAlignment="1">
      <alignment horizontal="center" vertical="center"/>
    </xf>
    <xf numFmtId="1" fontId="99" fillId="21" borderId="7" xfId="4" applyNumberFormat="1" applyFont="1" applyFill="1" applyBorder="1" applyAlignment="1">
      <alignment horizontal="center" vertical="center" wrapText="1"/>
    </xf>
    <xf numFmtId="180" fontId="99" fillId="0" borderId="7" xfId="4" applyNumberFormat="1" applyFont="1" applyBorder="1" applyAlignment="1">
      <alignment horizontal="center" vertical="center"/>
    </xf>
    <xf numFmtId="187" fontId="98" fillId="17" borderId="83" xfId="4" applyNumberFormat="1" applyFont="1" applyFill="1" applyBorder="1" applyAlignment="1">
      <alignment horizontal="center" vertical="center"/>
    </xf>
    <xf numFmtId="187" fontId="98" fillId="17" borderId="53" xfId="4" applyNumberFormat="1" applyFont="1" applyFill="1" applyBorder="1" applyAlignment="1">
      <alignment horizontal="center" vertical="center"/>
    </xf>
    <xf numFmtId="187" fontId="98" fillId="17" borderId="15" xfId="4" applyNumberFormat="1" applyFont="1" applyFill="1" applyBorder="1" applyAlignment="1">
      <alignment horizontal="center" vertical="center"/>
    </xf>
    <xf numFmtId="0" fontId="98" fillId="23" borderId="7" xfId="4" applyFont="1" applyFill="1" applyBorder="1" applyAlignment="1">
      <alignment horizontal="center" vertical="center"/>
    </xf>
    <xf numFmtId="187" fontId="98" fillId="24" borderId="127" xfId="4" applyNumberFormat="1" applyFont="1" applyFill="1" applyBorder="1" applyAlignment="1">
      <alignment horizontal="center" vertical="center" wrapText="1"/>
    </xf>
    <xf numFmtId="43" fontId="98" fillId="24" borderId="154" xfId="4" applyNumberFormat="1" applyFont="1" applyFill="1" applyBorder="1" applyAlignment="1">
      <alignment horizontal="center" vertical="center" wrapText="1"/>
    </xf>
    <xf numFmtId="184" fontId="98" fillId="25" borderId="7" xfId="4" applyNumberFormat="1" applyFont="1" applyFill="1" applyBorder="1" applyAlignment="1">
      <alignment horizontal="center" vertical="center" wrapText="1"/>
    </xf>
    <xf numFmtId="184" fontId="98" fillId="25" borderId="7" xfId="3" applyNumberFormat="1" applyFont="1" applyFill="1" applyBorder="1" applyAlignment="1">
      <alignment horizontal="center" vertical="center" wrapText="1"/>
    </xf>
    <xf numFmtId="187" fontId="99" fillId="0" borderId="7" xfId="3" applyNumberFormat="1" applyFont="1" applyFill="1" applyBorder="1" applyAlignment="1">
      <alignment horizontal="center" vertical="center"/>
    </xf>
    <xf numFmtId="184" fontId="99" fillId="0" borderId="7" xfId="4" applyNumberFormat="1" applyFont="1" applyBorder="1" applyAlignment="1">
      <alignment horizontal="center" vertical="center"/>
    </xf>
    <xf numFmtId="197" fontId="99" fillId="0" borderId="7" xfId="3" applyNumberFormat="1" applyFont="1" applyFill="1" applyBorder="1" applyAlignment="1">
      <alignment horizontal="center" vertical="center"/>
    </xf>
    <xf numFmtId="184" fontId="99" fillId="26" borderId="7" xfId="4" applyNumberFormat="1" applyFont="1" applyFill="1" applyBorder="1" applyAlignment="1">
      <alignment horizontal="center" vertical="center"/>
    </xf>
    <xf numFmtId="186" fontId="99" fillId="0" borderId="7" xfId="3" applyNumberFormat="1" applyFont="1" applyFill="1" applyBorder="1" applyAlignment="1">
      <alignment horizontal="center" vertical="center"/>
    </xf>
    <xf numFmtId="177" fontId="98" fillId="0" borderId="0" xfId="4" applyNumberFormat="1" applyFont="1" applyAlignment="1">
      <alignment horizontal="center" vertical="center"/>
    </xf>
    <xf numFmtId="0" fontId="98" fillId="27" borderId="7" xfId="4" applyFont="1" applyFill="1" applyBorder="1" applyAlignment="1">
      <alignment horizontal="center" vertical="center"/>
    </xf>
    <xf numFmtId="14" fontId="98" fillId="27" borderId="7" xfId="4" applyNumberFormat="1" applyFont="1" applyFill="1" applyBorder="1" applyAlignment="1">
      <alignment horizontal="center" vertical="center"/>
    </xf>
    <xf numFmtId="180" fontId="98" fillId="28" borderId="7" xfId="4" applyNumberFormat="1" applyFont="1" applyFill="1" applyBorder="1" applyAlignment="1">
      <alignment vertical="center" wrapText="1"/>
    </xf>
    <xf numFmtId="14" fontId="99" fillId="0" borderId="7" xfId="4" applyNumberFormat="1" applyFont="1" applyBorder="1" applyAlignment="1">
      <alignment horizontal="center"/>
    </xf>
    <xf numFmtId="0" fontId="99" fillId="0" borderId="7" xfId="4" applyFont="1" applyBorder="1" applyAlignment="1">
      <alignment horizontal="center"/>
    </xf>
    <xf numFmtId="0" fontId="98" fillId="0" borderId="7" xfId="4" applyFont="1" applyBorder="1" applyAlignment="1">
      <alignment horizontal="center" vertical="center"/>
    </xf>
    <xf numFmtId="43" fontId="99" fillId="19" borderId="7" xfId="4" applyNumberFormat="1" applyFont="1" applyFill="1" applyBorder="1" applyAlignment="1">
      <alignment horizontal="center" vertical="center"/>
    </xf>
    <xf numFmtId="0" fontId="98" fillId="0" borderId="0" xfId="4" applyFont="1" applyAlignment="1">
      <alignment vertical="center"/>
    </xf>
    <xf numFmtId="0" fontId="99" fillId="31" borderId="7" xfId="4" applyFont="1" applyFill="1" applyBorder="1" applyAlignment="1">
      <alignment horizontal="center" vertical="center" wrapText="1"/>
    </xf>
    <xf numFmtId="181" fontId="102" fillId="19" borderId="7" xfId="3" applyNumberFormat="1" applyFont="1" applyFill="1" applyBorder="1" applyAlignment="1">
      <alignment horizontal="center" vertical="center"/>
    </xf>
    <xf numFmtId="1" fontId="99" fillId="3" borderId="7" xfId="4" applyNumberFormat="1" applyFont="1" applyFill="1" applyBorder="1" applyAlignment="1">
      <alignment horizontal="center" vertical="center" wrapText="1"/>
    </xf>
    <xf numFmtId="1" fontId="99" fillId="31" borderId="7" xfId="4" applyNumberFormat="1" applyFont="1" applyFill="1" applyBorder="1" applyAlignment="1">
      <alignment horizontal="center" vertical="center" wrapText="1"/>
    </xf>
    <xf numFmtId="0" fontId="99" fillId="31" borderId="0" xfId="4" applyFont="1" applyFill="1" applyAlignment="1">
      <alignment horizontal="center" vertical="center"/>
    </xf>
    <xf numFmtId="194" fontId="101" fillId="0" borderId="0" xfId="23" applyNumberFormat="1" applyFont="1" applyFill="1" applyBorder="1" applyAlignment="1">
      <alignment horizontal="center" vertical="center" wrapText="1"/>
    </xf>
    <xf numFmtId="1" fontId="99" fillId="3" borderId="7" xfId="4" applyNumberFormat="1" applyFont="1" applyFill="1" applyBorder="1" applyAlignment="1">
      <alignment horizontal="center" vertical="center"/>
    </xf>
    <xf numFmtId="177" fontId="101" fillId="3" borderId="7" xfId="4" applyNumberFormat="1" applyFont="1" applyFill="1" applyBorder="1" applyAlignment="1">
      <alignment horizontal="center" vertical="center" wrapText="1"/>
    </xf>
    <xf numFmtId="180" fontId="99" fillId="31" borderId="7" xfId="4" applyNumberFormat="1" applyFont="1" applyFill="1" applyBorder="1" applyAlignment="1">
      <alignment horizontal="center" vertical="center"/>
    </xf>
    <xf numFmtId="0" fontId="98" fillId="0" borderId="7" xfId="4" applyFont="1" applyBorder="1" applyAlignment="1">
      <alignment horizontal="center" vertical="center" wrapText="1"/>
    </xf>
    <xf numFmtId="49" fontId="98" fillId="0" borderId="7" xfId="4" applyNumberFormat="1" applyFont="1" applyBorder="1" applyAlignment="1">
      <alignment horizontal="center" vertical="center" wrapText="1"/>
    </xf>
    <xf numFmtId="9" fontId="98" fillId="0" borderId="7" xfId="3" applyFont="1" applyBorder="1" applyAlignment="1">
      <alignment horizontal="center" vertical="center" wrapText="1"/>
    </xf>
    <xf numFmtId="0" fontId="99" fillId="3" borderId="7" xfId="4" applyFont="1" applyFill="1" applyBorder="1" applyAlignment="1">
      <alignment horizontal="center" vertical="center" wrapText="1"/>
    </xf>
    <xf numFmtId="195" fontId="105" fillId="0" borderId="7" xfId="4" applyNumberFormat="1" applyFont="1" applyBorder="1" applyAlignment="1">
      <alignment horizontal="center" vertical="center"/>
    </xf>
    <xf numFmtId="43" fontId="98" fillId="0" borderId="7" xfId="4" applyNumberFormat="1" applyFont="1" applyBorder="1" applyAlignment="1">
      <alignment horizontal="center" vertical="center"/>
    </xf>
    <xf numFmtId="10" fontId="98" fillId="0" borderId="7" xfId="4" applyNumberFormat="1" applyFont="1" applyBorder="1" applyAlignment="1">
      <alignment horizontal="center" vertical="center"/>
    </xf>
    <xf numFmtId="196" fontId="102" fillId="13" borderId="7" xfId="10" applyNumberFormat="1" applyFont="1" applyFill="1" applyBorder="1" applyAlignment="1">
      <alignment horizontal="center" vertical="center"/>
    </xf>
    <xf numFmtId="1" fontId="98" fillId="0" borderId="7" xfId="4" applyNumberFormat="1" applyFont="1" applyBorder="1" applyAlignment="1">
      <alignment horizontal="center" vertical="center" wrapText="1"/>
    </xf>
    <xf numFmtId="9" fontId="98" fillId="0" borderId="7" xfId="4" applyNumberFormat="1" applyFont="1" applyBorder="1" applyAlignment="1">
      <alignment horizontal="center" vertical="center" wrapText="1"/>
    </xf>
    <xf numFmtId="14" fontId="99" fillId="0" borderId="12" xfId="4" applyNumberFormat="1" applyFont="1" applyBorder="1" applyAlignment="1">
      <alignment horizontal="center"/>
    </xf>
    <xf numFmtId="0" fontId="99" fillId="0" borderId="12" xfId="4" applyFont="1" applyBorder="1" applyAlignment="1">
      <alignment horizontal="center"/>
    </xf>
    <xf numFmtId="43" fontId="99" fillId="0" borderId="12" xfId="4" applyNumberFormat="1" applyFont="1" applyBorder="1" applyAlignment="1">
      <alignment horizontal="center" vertical="center"/>
    </xf>
    <xf numFmtId="195" fontId="98" fillId="0" borderId="7" xfId="23" applyNumberFormat="1" applyFont="1" applyBorder="1" applyAlignment="1">
      <alignment horizontal="center" vertical="center"/>
    </xf>
    <xf numFmtId="10" fontId="98" fillId="3" borderId="7" xfId="3" applyNumberFormat="1" applyFont="1" applyFill="1" applyBorder="1" applyAlignment="1">
      <alignment horizontal="center" vertical="center"/>
    </xf>
    <xf numFmtId="195" fontId="99" fillId="3" borderId="0" xfId="4" applyNumberFormat="1" applyFont="1" applyFill="1" applyAlignment="1">
      <alignment horizontal="center" vertical="center"/>
    </xf>
    <xf numFmtId="195" fontId="99" fillId="0" borderId="0" xfId="4" applyNumberFormat="1" applyFont="1" applyAlignment="1">
      <alignment horizontal="right" vertical="center"/>
    </xf>
    <xf numFmtId="0" fontId="98" fillId="32" borderId="0" xfId="4" applyFont="1" applyFill="1" applyAlignment="1">
      <alignment horizontal="center" vertical="center"/>
    </xf>
    <xf numFmtId="178" fontId="98" fillId="0" borderId="0" xfId="4" applyNumberFormat="1" applyFont="1" applyAlignment="1">
      <alignment horizontal="right" vertical="center"/>
    </xf>
    <xf numFmtId="9" fontId="99" fillId="0" borderId="0" xfId="3" applyFont="1" applyAlignment="1">
      <alignment horizontal="center" vertical="center"/>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6"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7"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7"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7" fillId="2" borderId="83" xfId="0" applyFont="1" applyFill="1" applyBorder="1">
      <alignment vertical="center"/>
    </xf>
    <xf numFmtId="0" fontId="107" fillId="2" borderId="84" xfId="0" applyFont="1" applyFill="1" applyBorder="1" applyAlignment="1">
      <alignment horizontal="center" vertical="center"/>
    </xf>
    <xf numFmtId="0" fontId="10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8" applyFont="1" applyFill="1" applyBorder="1" applyAlignment="1" applyProtection="1">
      <alignment horizontal="center" vertical="center" wrapText="1"/>
      <protection locked="0"/>
    </xf>
    <xf numFmtId="0" fontId="74" fillId="2" borderId="4" xfId="8" applyFont="1" applyFill="1" applyBorder="1" applyAlignment="1" applyProtection="1">
      <alignment vertical="center" wrapText="1"/>
      <protection locked="0"/>
    </xf>
    <xf numFmtId="0" fontId="74" fillId="2" borderId="116" xfId="8" applyFont="1" applyFill="1" applyBorder="1" applyProtection="1">
      <alignment vertical="center"/>
      <protection locked="0"/>
    </xf>
    <xf numFmtId="0" fontId="74" fillId="2" borderId="5" xfId="0" applyFont="1" applyFill="1" applyBorder="1" applyAlignment="1">
      <alignment vertical="center" wrapText="1"/>
    </xf>
    <xf numFmtId="0" fontId="74" fillId="2" borderId="6" xfId="8" applyFont="1" applyFill="1" applyBorder="1" applyAlignment="1">
      <alignment horizontal="center" vertical="center" wrapText="1"/>
    </xf>
    <xf numFmtId="10" fontId="7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8" applyFont="1" applyFill="1" applyBorder="1" applyAlignment="1">
      <alignment horizontal="center" vertical="center" wrapText="1"/>
    </xf>
    <xf numFmtId="10" fontId="7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74" fillId="2" borderId="24" xfId="8" applyFont="1" applyFill="1" applyBorder="1" applyAlignment="1" applyProtection="1">
      <alignment horizontal="center" vertical="center" wrapText="1"/>
      <protection locked="0"/>
    </xf>
    <xf numFmtId="0" fontId="7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74" fillId="2" borderId="0" xfId="8" applyFont="1" applyFill="1" applyAlignment="1" applyProtection="1">
      <alignment horizontal="center" vertical="center" wrapText="1"/>
      <protection locked="0"/>
    </xf>
    <xf numFmtId="0" fontId="7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7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7"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8" fillId="2" borderId="7" xfId="12"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2" applyFont="1" applyFill="1" applyBorder="1" applyAlignment="1">
      <alignment horizontal="left" vertical="center"/>
    </xf>
    <xf numFmtId="0" fontId="30" fillId="2" borderId="16" xfId="12" applyFont="1" applyFill="1" applyBorder="1" applyAlignment="1">
      <alignment horizontal="left" vertical="center"/>
    </xf>
    <xf numFmtId="0" fontId="30" fillId="2" borderId="16" xfId="12"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2" applyFont="1" applyFill="1" applyBorder="1" applyAlignment="1">
      <alignment horizontal="left" vertical="center"/>
    </xf>
    <xf numFmtId="0" fontId="30" fillId="2" borderId="30" xfId="12"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7" applyFont="1" applyFill="1" applyBorder="1" applyAlignment="1" applyProtection="1">
      <alignment horizontal="left" vertical="center"/>
      <protection locked="0"/>
    </xf>
    <xf numFmtId="0" fontId="67" fillId="3" borderId="14" xfId="7" applyFont="1" applyFill="1" applyBorder="1">
      <alignment vertical="center"/>
    </xf>
    <xf numFmtId="0" fontId="67" fillId="7" borderId="0" xfId="7" applyFont="1" applyFill="1">
      <alignment vertical="center"/>
    </xf>
    <xf numFmtId="0" fontId="55" fillId="7" borderId="0" xfId="0" applyFont="1" applyFill="1" applyProtection="1">
      <alignment vertical="center"/>
      <protection locked="0"/>
    </xf>
    <xf numFmtId="0" fontId="67" fillId="2" borderId="0" xfId="7"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95"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7" applyFont="1" applyFill="1" applyBorder="1">
      <alignment vertical="center"/>
    </xf>
    <xf numFmtId="178" fontId="79" fillId="2" borderId="7" xfId="7" applyNumberFormat="1" applyFont="1" applyFill="1" applyBorder="1" applyAlignment="1">
      <alignment horizontal="center" vertical="center"/>
    </xf>
    <xf numFmtId="0" fontId="79" fillId="2" borderId="7" xfId="7" applyFont="1" applyFill="1" applyBorder="1">
      <alignment vertical="center"/>
    </xf>
    <xf numFmtId="178" fontId="79" fillId="2" borderId="7" xfId="7" applyNumberFormat="1" applyFont="1" applyFill="1" applyBorder="1">
      <alignment vertical="center"/>
    </xf>
    <xf numFmtId="10" fontId="79" fillId="2" borderId="7" xfId="7"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7"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7"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7"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7"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9" fillId="2" borderId="21" xfId="7" applyFont="1" applyFill="1" applyBorder="1">
      <alignment vertical="center"/>
    </xf>
    <xf numFmtId="49" fontId="49" fillId="2" borderId="0" xfId="7" applyNumberFormat="1" applyFont="1" applyFill="1" applyAlignment="1">
      <alignment horizontal="right" vertical="center"/>
    </xf>
    <xf numFmtId="191"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95" fillId="3" borderId="8" xfId="7"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10"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11"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2"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2" fillId="2" borderId="160" xfId="0" applyFont="1" applyFill="1" applyBorder="1" applyAlignment="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9" fontId="116"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52" xfId="0" applyFont="1" applyFill="1" applyBorder="1" applyAlignment="1">
      <alignment horizontal="left" vertical="center" wrapText="1"/>
    </xf>
    <xf numFmtId="0" fontId="116"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96"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79" xfId="0" applyFont="1" applyFill="1" applyBorder="1" applyAlignment="1">
      <alignment horizontal="left" vertical="center" wrapText="1"/>
    </xf>
    <xf numFmtId="0" fontId="116" fillId="2" borderId="102" xfId="0" applyFont="1" applyFill="1" applyBorder="1" applyAlignment="1">
      <alignment horizontal="left" vertical="center" wrapText="1"/>
    </xf>
    <xf numFmtId="0" fontId="116" fillId="2" borderId="53"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11" applyFont="1" applyFill="1" applyBorder="1" applyAlignment="1">
      <alignment horizontal="left" vertical="center" wrapText="1"/>
    </xf>
    <xf numFmtId="0" fontId="69" fillId="2" borderId="87" xfId="11" applyFont="1" applyFill="1" applyBorder="1" applyAlignment="1">
      <alignment horizontal="left" vertical="center" wrapText="1"/>
    </xf>
    <xf numFmtId="0" fontId="69" fillId="2" borderId="7" xfId="11" applyFont="1" applyFill="1" applyBorder="1" applyAlignment="1">
      <alignment horizontal="left" vertical="center" wrapText="1"/>
    </xf>
    <xf numFmtId="0" fontId="69" fillId="15" borderId="7" xfId="11"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11" applyFont="1" applyFill="1" applyBorder="1" applyAlignment="1">
      <alignment horizontal="left" vertical="center" wrapText="1"/>
    </xf>
    <xf numFmtId="0" fontId="29" fillId="2" borderId="0" xfId="0" applyFont="1" applyFill="1" applyAlignment="1">
      <alignment horizontal="left" vertical="center"/>
    </xf>
    <xf numFmtId="0" fontId="29"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1" applyFont="1" applyFill="1" applyBorder="1" applyAlignment="1">
      <alignment horizontal="left" vertical="center" wrapText="1"/>
    </xf>
    <xf numFmtId="0" fontId="79" fillId="2" borderId="84" xfId="0" applyFont="1" applyFill="1" applyBorder="1" applyAlignment="1">
      <alignment horizontal="center"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9" fillId="2" borderId="7" xfId="0" applyFont="1" applyFill="1" applyBorder="1" applyAlignment="1">
      <alignment vertical="center" wrapText="1"/>
    </xf>
    <xf numFmtId="0" fontId="79" fillId="2" borderId="8" xfId="0" applyFont="1" applyFill="1" applyBorder="1" applyAlignment="1">
      <alignment horizontal="left" vertical="center"/>
    </xf>
    <xf numFmtId="0" fontId="119" fillId="2" borderId="7"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8" fillId="2" borderId="31" xfId="0" applyFont="1" applyFill="1" applyBorder="1" applyAlignment="1">
      <alignment horizontal="left" vertical="center" wrapText="1"/>
    </xf>
    <xf numFmtId="0" fontId="118" fillId="2" borderId="7" xfId="0" applyFont="1" applyFill="1" applyBorder="1" applyAlignment="1">
      <alignment vertical="center" wrapText="1"/>
    </xf>
    <xf numFmtId="0" fontId="119" fillId="2" borderId="13" xfId="0" applyFont="1" applyFill="1" applyBorder="1" applyAlignment="1">
      <alignment horizontal="left" vertical="center" wrapText="1"/>
    </xf>
    <xf numFmtId="0" fontId="118" fillId="2" borderId="13" xfId="0" applyFont="1" applyFill="1" applyBorder="1" applyAlignment="1">
      <alignment horizontal="left" vertical="center" wrapText="1"/>
    </xf>
    <xf numFmtId="0" fontId="118"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9" fillId="2" borderId="23" xfId="0" applyFont="1" applyFill="1" applyBorder="1" applyAlignment="1">
      <alignment horizontal="left" vertical="center" wrapText="1"/>
    </xf>
    <xf numFmtId="0" fontId="118" fillId="2" borderId="23" xfId="0" applyFont="1" applyFill="1" applyBorder="1" applyAlignment="1">
      <alignment horizontal="left" vertical="center" wrapText="1"/>
    </xf>
    <xf numFmtId="0" fontId="118"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9"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9" fillId="13" borderId="0" xfId="0" applyFont="1" applyFill="1" applyProtection="1">
      <alignment vertical="center"/>
      <protection locked="0"/>
    </xf>
    <xf numFmtId="0" fontId="29" fillId="2" borderId="0" xfId="11" applyFont="1" applyFill="1" applyAlignment="1" applyProtection="1">
      <alignment vertical="center" wrapText="1"/>
      <protection locked="0"/>
    </xf>
    <xf numFmtId="0" fontId="29" fillId="2" borderId="0" xfId="11" applyFont="1" applyFill="1" applyProtection="1">
      <protection locked="0"/>
    </xf>
    <xf numFmtId="0" fontId="120"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9"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1" fillId="0" borderId="0" xfId="22" applyAlignment="1" applyProtection="1">
      <alignment horizontal="left"/>
      <protection locked="0"/>
    </xf>
    <xf numFmtId="0" fontId="122" fillId="2" borderId="7" xfId="22" applyFont="1" applyFill="1" applyBorder="1" applyAlignment="1">
      <alignment horizontal="left" vertical="center" wrapText="1"/>
    </xf>
    <xf numFmtId="0" fontId="122" fillId="7" borderId="0" xfId="22" applyFont="1" applyFill="1" applyAlignment="1" applyProtection="1">
      <alignment horizontal="left" vertical="center" wrapText="1"/>
      <protection locked="0"/>
    </xf>
    <xf numFmtId="0" fontId="121" fillId="7" borderId="0" xfId="22" applyFill="1" applyAlignment="1" applyProtection="1">
      <alignment horizontal="left"/>
      <protection locked="0"/>
    </xf>
    <xf numFmtId="14" fontId="122" fillId="2" borderId="7" xfId="22" applyNumberFormat="1" applyFont="1" applyFill="1" applyBorder="1" applyAlignment="1">
      <alignment horizontal="left" vertical="center" wrapText="1"/>
    </xf>
    <xf numFmtId="0" fontId="122" fillId="0" borderId="7" xfId="22" applyFont="1" applyBorder="1" applyAlignment="1" applyProtection="1">
      <alignment horizontal="left" vertical="center" wrapText="1"/>
      <protection locked="0"/>
    </xf>
    <xf numFmtId="0" fontId="122" fillId="7" borderId="7" xfId="22" applyFont="1" applyFill="1" applyBorder="1" applyAlignment="1" applyProtection="1">
      <alignment horizontal="left" vertical="center" wrapText="1"/>
      <protection locked="0"/>
    </xf>
    <xf numFmtId="0" fontId="121" fillId="2" borderId="7" xfId="22" applyFill="1" applyBorder="1" applyAlignment="1">
      <alignment horizontal="left"/>
    </xf>
    <xf numFmtId="9" fontId="121" fillId="7" borderId="7" xfId="22" applyNumberFormat="1" applyFill="1" applyBorder="1" applyAlignment="1" applyProtection="1">
      <alignment horizontal="left"/>
      <protection locked="0"/>
    </xf>
    <xf numFmtId="0" fontId="121" fillId="2" borderId="7" xfId="22" applyFill="1" applyBorder="1" applyAlignment="1">
      <alignment horizontal="left" vertical="center"/>
    </xf>
    <xf numFmtId="0" fontId="122" fillId="2" borderId="12" xfId="22" applyFont="1" applyFill="1" applyBorder="1" applyAlignment="1">
      <alignment horizontal="left" vertical="center" wrapText="1"/>
    </xf>
    <xf numFmtId="0" fontId="2" fillId="0" borderId="7" xfId="22" applyFont="1" applyBorder="1" applyAlignment="1" applyProtection="1">
      <alignment horizontal="left"/>
      <protection locked="0"/>
    </xf>
    <xf numFmtId="0" fontId="122" fillId="0" borderId="12" xfId="22" applyFont="1" applyBorder="1" applyAlignment="1" applyProtection="1">
      <alignment horizontal="left" vertical="center" wrapText="1"/>
      <protection locked="0"/>
    </xf>
    <xf numFmtId="0" fontId="121" fillId="0" borderId="7" xfId="22" applyBorder="1" applyAlignment="1" applyProtection="1">
      <alignment horizontal="left"/>
      <protection locked="0"/>
    </xf>
    <xf numFmtId="0" fontId="114"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3"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3"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3" fillId="13" borderId="79"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123" fillId="33" borderId="0" xfId="0" applyFont="1" applyFill="1" applyAlignment="1">
      <alignment horizontal="left" vertical="center"/>
    </xf>
    <xf numFmtId="0" fontId="124" fillId="33" borderId="0" xfId="0" applyFont="1" applyFill="1" applyAlignment="1">
      <alignment horizontal="left" vertical="center"/>
    </xf>
    <xf numFmtId="0" fontId="124" fillId="0" borderId="0" xfId="0" applyFont="1" applyAlignment="1">
      <alignment horizontal="left" vertical="center"/>
    </xf>
    <xf numFmtId="0" fontId="124" fillId="34" borderId="0" xfId="0" applyFont="1" applyFill="1" applyAlignment="1">
      <alignment horizontal="left" vertical="center"/>
    </xf>
    <xf numFmtId="0" fontId="124" fillId="0" borderId="0" xfId="0" applyFont="1" applyAlignment="1">
      <alignment horizontal="right" vertical="center"/>
    </xf>
    <xf numFmtId="9" fontId="124" fillId="0" borderId="0" xfId="0" applyNumberFormat="1" applyFont="1" applyAlignment="1">
      <alignment horizontal="left" vertical="center"/>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10"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7" applyFont="1" applyFill="1" applyBorder="1" applyAlignment="1">
      <alignment vertical="center" wrapText="1"/>
    </xf>
    <xf numFmtId="0" fontId="69" fillId="2" borderId="4" xfId="7" applyFont="1" applyFill="1" applyBorder="1" applyAlignment="1">
      <alignment vertical="center" wrapText="1"/>
    </xf>
    <xf numFmtId="0" fontId="69" fillId="2" borderId="22" xfId="7" applyFont="1" applyFill="1" applyBorder="1" applyAlignment="1">
      <alignment vertical="center" wrapText="1"/>
    </xf>
    <xf numFmtId="182" fontId="74" fillId="2" borderId="3" xfId="7"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69" fillId="2" borderId="7" xfId="7" applyNumberFormat="1" applyFont="1" applyFill="1" applyBorder="1">
      <alignment vertical="center"/>
    </xf>
    <xf numFmtId="178" fontId="69"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7" applyNumberFormat="1" applyFont="1" applyFill="1" applyBorder="1" applyAlignment="1">
      <alignment horizontal="center" vertical="center"/>
    </xf>
    <xf numFmtId="182" fontId="7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7" applyNumberFormat="1" applyFont="1" applyFill="1" applyBorder="1" applyAlignment="1" applyProtection="1">
      <alignment horizontal="left" vertical="center" wrapText="1"/>
      <protection locked="0"/>
    </xf>
    <xf numFmtId="178" fontId="69" fillId="2" borderId="13" xfId="7"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7" applyFont="1" applyFill="1" applyBorder="1" applyAlignment="1">
      <alignment vertical="center" wrapText="1"/>
    </xf>
    <xf numFmtId="0" fontId="79" fillId="2" borderId="10" xfId="7" applyFont="1" applyFill="1" applyBorder="1">
      <alignment vertical="center"/>
    </xf>
    <xf numFmtId="0" fontId="79" fillId="2" borderId="9" xfId="7" applyFont="1" applyFill="1" applyBorder="1">
      <alignment vertical="center"/>
    </xf>
    <xf numFmtId="0" fontId="79" fillId="2" borderId="10" xfId="7" applyFont="1" applyFill="1" applyBorder="1" applyAlignment="1">
      <alignment horizontal="center" vertical="center"/>
    </xf>
    <xf numFmtId="181" fontId="79"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7" applyNumberFormat="1" applyFont="1" applyFill="1" applyBorder="1" applyAlignment="1">
      <alignment vertical="center" wrapText="1"/>
    </xf>
    <xf numFmtId="186" fontId="74" fillId="0" borderId="5" xfId="7" applyNumberFormat="1" applyFont="1" applyBorder="1" applyAlignment="1" applyProtection="1">
      <alignment horizontal="center" vertical="center"/>
      <protection locked="0"/>
    </xf>
    <xf numFmtId="0" fontId="120" fillId="7" borderId="0" xfId="0" applyFont="1" applyFill="1">
      <alignment vertical="center"/>
    </xf>
    <xf numFmtId="186" fontId="74" fillId="2" borderId="6" xfId="7" applyNumberFormat="1" applyFont="1" applyFill="1" applyBorder="1" applyAlignment="1">
      <alignment vertical="center" wrapText="1"/>
    </xf>
    <xf numFmtId="186" fontId="69" fillId="0" borderId="8" xfId="7"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7" applyNumberFormat="1" applyFont="1" applyFill="1" applyBorder="1" applyAlignment="1">
      <alignment vertical="center" wrapText="1"/>
    </xf>
    <xf numFmtId="186" fontId="74" fillId="2" borderId="8" xfId="7" applyNumberFormat="1" applyFont="1" applyFill="1" applyBorder="1" applyAlignment="1">
      <alignment horizontal="center" vertical="center"/>
    </xf>
    <xf numFmtId="186" fontId="74" fillId="2" borderId="9" xfId="7" applyNumberFormat="1" applyFont="1" applyFill="1" applyBorder="1" applyAlignment="1">
      <alignment vertical="center" wrapText="1"/>
    </xf>
    <xf numFmtId="186" fontId="74" fillId="2" borderId="11" xfId="7"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74" fillId="2" borderId="8" xfId="7"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0"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7" applyNumberFormat="1" applyFont="1" applyFill="1" applyBorder="1" applyAlignment="1">
      <alignment horizontal="center" vertical="center" wrapText="1"/>
    </xf>
    <xf numFmtId="0" fontId="69" fillId="2" borderId="4" xfId="7" applyFont="1" applyFill="1" applyBorder="1" applyAlignment="1">
      <alignment horizontal="center" vertical="center" wrapText="1"/>
    </xf>
    <xf numFmtId="179" fontId="69" fillId="2" borderId="4" xfId="7" applyNumberFormat="1" applyFont="1" applyFill="1" applyBorder="1" applyAlignment="1">
      <alignment horizontal="center" vertical="center" wrapText="1"/>
    </xf>
    <xf numFmtId="0" fontId="69" fillId="3" borderId="4" xfId="7" applyFont="1" applyFill="1" applyBorder="1" applyAlignment="1" applyProtection="1">
      <alignment horizontal="center" vertical="center" wrapText="1"/>
      <protection locked="0"/>
    </xf>
    <xf numFmtId="0" fontId="69"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69"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69" fillId="0" borderId="7" xfId="7" applyNumberFormat="1" applyFont="1" applyBorder="1" applyAlignment="1" applyProtection="1">
      <alignment horizontal="center" vertical="center"/>
      <protection locked="0"/>
    </xf>
    <xf numFmtId="10" fontId="69" fillId="0" borderId="7" xfId="7" applyNumberFormat="1" applyFont="1" applyBorder="1" applyAlignment="1" applyProtection="1">
      <alignment horizontal="center" vertical="center"/>
      <protection locked="0"/>
    </xf>
    <xf numFmtId="178" fontId="69" fillId="2" borderId="7" xfId="7" applyNumberFormat="1" applyFont="1" applyFill="1" applyBorder="1" applyAlignment="1">
      <alignment horizontal="center" vertical="center"/>
    </xf>
    <xf numFmtId="10" fontId="69" fillId="2" borderId="7" xfId="7" applyNumberFormat="1" applyFont="1" applyFill="1" applyBorder="1" applyAlignment="1">
      <alignment horizontal="center" vertical="center"/>
    </xf>
    <xf numFmtId="0" fontId="79" fillId="2" borderId="11" xfId="7" applyFont="1" applyFill="1" applyBorder="1">
      <alignment vertical="center"/>
    </xf>
    <xf numFmtId="186" fontId="69" fillId="2" borderId="9" xfId="0" applyNumberFormat="1" applyFont="1" applyFill="1" applyBorder="1" applyAlignment="1">
      <alignment horizontal="center" vertical="center"/>
    </xf>
    <xf numFmtId="0" fontId="69" fillId="2" borderId="10" xfId="7" applyFont="1" applyFill="1" applyBorder="1" applyAlignment="1">
      <alignment horizontal="center" vertical="center"/>
    </xf>
    <xf numFmtId="10" fontId="69"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7" applyFont="1" applyFill="1" applyBorder="1" applyAlignment="1">
      <alignment horizontal="center" vertical="center" wrapText="1"/>
    </xf>
    <xf numFmtId="0" fontId="69" fillId="2" borderId="21" xfId="7" applyFont="1" applyFill="1" applyBorder="1" applyAlignment="1">
      <alignment horizontal="center" vertical="center" wrapText="1"/>
    </xf>
    <xf numFmtId="0" fontId="69" fillId="2" borderId="30" xfId="7"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7"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7"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7" applyNumberFormat="1" applyFont="1" applyFill="1" applyBorder="1" applyAlignment="1">
      <alignment horizontal="center" vertical="center"/>
    </xf>
    <xf numFmtId="179" fontId="69" fillId="2" borderId="96" xfId="7" applyNumberFormat="1" applyFont="1" applyFill="1" applyBorder="1" applyAlignment="1">
      <alignment horizontal="center" vertical="center"/>
    </xf>
    <xf numFmtId="0" fontId="69" fillId="2" borderId="91" xfId="7"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7"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7"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7"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7"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7" applyNumberFormat="1" applyFont="1" applyFill="1" applyBorder="1" applyAlignment="1">
      <alignment horizontal="center" vertical="center"/>
    </xf>
    <xf numFmtId="186" fontId="77" fillId="2" borderId="83" xfId="7" applyNumberFormat="1" applyFont="1" applyFill="1" applyBorder="1" applyAlignment="1">
      <alignment horizontal="center" vertical="center"/>
    </xf>
    <xf numFmtId="186" fontId="77" fillId="2" borderId="84" xfId="7"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7"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7"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27" fillId="0" borderId="7" xfId="7"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7"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186" fontId="55" fillId="34" borderId="7" xfId="0" applyNumberFormat="1" applyFont="1" applyFill="1" applyBorder="1" applyAlignment="1" applyProtection="1">
      <alignment horizontal="center" vertical="center" wrapText="1"/>
      <protection locked="0"/>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35"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35"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35"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35"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35"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35"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35"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35"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35"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3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36"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1" fillId="0" borderId="0" xfId="15" applyFont="1" applyAlignment="1">
      <alignment horizontal="left" vertical="center"/>
    </xf>
    <xf numFmtId="0" fontId="132" fillId="0" borderId="0" xfId="15" applyFont="1" applyAlignment="1">
      <alignment horizontal="left" vertical="center"/>
    </xf>
    <xf numFmtId="0" fontId="133" fillId="0" borderId="0" xfId="15" applyFont="1" applyAlignment="1">
      <alignment horizontal="left" vertical="center"/>
    </xf>
    <xf numFmtId="0" fontId="134" fillId="0" borderId="0" xfId="15" applyFont="1" applyAlignment="1">
      <alignment horizontal="left" vertical="center"/>
    </xf>
    <xf numFmtId="14" fontId="134" fillId="0" borderId="0" xfId="15" applyNumberFormat="1" applyFont="1" applyAlignment="1">
      <alignment horizontal="left" vertical="center"/>
    </xf>
    <xf numFmtId="0" fontId="135" fillId="0" borderId="0" xfId="15" applyFont="1" applyAlignment="1">
      <alignment horizontal="left" vertical="center"/>
    </xf>
    <xf numFmtId="0" fontId="136" fillId="3" borderId="12" xfId="15" applyFont="1" applyFill="1" applyBorder="1" applyAlignment="1">
      <alignment horizontal="left" vertical="center"/>
    </xf>
    <xf numFmtId="0" fontId="137" fillId="0" borderId="7" xfId="15" applyFont="1" applyBorder="1" applyAlignment="1">
      <alignment horizontal="left" vertical="center"/>
    </xf>
    <xf numFmtId="0" fontId="137" fillId="0" borderId="13" xfId="15" applyFont="1" applyBorder="1" applyAlignment="1">
      <alignment horizontal="left" vertical="center"/>
    </xf>
    <xf numFmtId="0" fontId="136" fillId="3" borderId="173" xfId="15" applyFont="1" applyFill="1" applyBorder="1" applyAlignment="1">
      <alignment horizontal="left" vertical="center"/>
    </xf>
    <xf numFmtId="198" fontId="137" fillId="0" borderId="7" xfId="15" applyNumberFormat="1" applyFont="1" applyBorder="1" applyAlignment="1">
      <alignment horizontal="left" vertical="center"/>
    </xf>
    <xf numFmtId="198" fontId="138" fillId="0" borderId="13" xfId="15" applyNumberFormat="1" applyFont="1" applyBorder="1" applyAlignment="1">
      <alignment horizontal="left" vertical="center"/>
    </xf>
    <xf numFmtId="0" fontId="137" fillId="0" borderId="174" xfId="15" applyFont="1" applyBorder="1" applyAlignment="1">
      <alignment horizontal="left" vertical="center"/>
    </xf>
    <xf numFmtId="188" fontId="137" fillId="0" borderId="7" xfId="15" applyNumberFormat="1" applyFont="1" applyBorder="1" applyAlignment="1">
      <alignment horizontal="left" vertical="center"/>
    </xf>
    <xf numFmtId="0" fontId="138" fillId="0" borderId="7" xfId="15" applyFont="1" applyBorder="1" applyAlignment="1">
      <alignment horizontal="left" vertical="center"/>
    </xf>
    <xf numFmtId="198" fontId="137" fillId="0" borderId="13" xfId="15" applyNumberFormat="1" applyFont="1" applyBorder="1" applyAlignment="1">
      <alignment horizontal="left" vertical="center"/>
    </xf>
    <xf numFmtId="0" fontId="138" fillId="0" borderId="0" xfId="15" applyFont="1" applyAlignment="1">
      <alignment horizontal="left" vertical="center"/>
    </xf>
    <xf numFmtId="0" fontId="136" fillId="0" borderId="7" xfId="15" applyFont="1" applyBorder="1" applyAlignment="1">
      <alignment horizontal="left" vertical="center"/>
    </xf>
    <xf numFmtId="0" fontId="134" fillId="0" borderId="7" xfId="15" applyFont="1" applyBorder="1" applyAlignment="1">
      <alignment horizontal="left" vertical="center"/>
    </xf>
    <xf numFmtId="188" fontId="137" fillId="0" borderId="13" xfId="15" applyNumberFormat="1" applyFont="1" applyBorder="1" applyAlignment="1">
      <alignment horizontal="left" vertical="center"/>
    </xf>
    <xf numFmtId="0" fontId="134" fillId="0" borderId="174" xfId="15" applyFont="1" applyBorder="1" applyAlignment="1">
      <alignment horizontal="left" vertical="center"/>
    </xf>
    <xf numFmtId="0" fontId="139" fillId="0" borderId="7" xfId="15" applyFont="1" applyBorder="1" applyAlignment="1">
      <alignment horizontal="left" vertical="center"/>
    </xf>
    <xf numFmtId="188" fontId="139" fillId="0" borderId="7" xfId="0" applyNumberFormat="1" applyFont="1" applyBorder="1" applyAlignment="1">
      <alignment horizontal="left" vertical="center"/>
    </xf>
    <xf numFmtId="14" fontId="134" fillId="0" borderId="7" xfId="15" applyNumberFormat="1" applyFont="1" applyBorder="1" applyAlignment="1">
      <alignment horizontal="left" vertical="center"/>
    </xf>
    <xf numFmtId="14" fontId="134" fillId="0" borderId="13" xfId="15" applyNumberFormat="1" applyFont="1" applyBorder="1" applyAlignment="1">
      <alignment horizontal="left" vertical="center"/>
    </xf>
    <xf numFmtId="14" fontId="132" fillId="0" borderId="0" xfId="15" applyNumberFormat="1" applyFont="1" applyAlignment="1">
      <alignment horizontal="left" vertical="center"/>
    </xf>
    <xf numFmtId="14" fontId="132" fillId="0" borderId="175" xfId="15" applyNumberFormat="1" applyFont="1" applyBorder="1" applyAlignment="1">
      <alignment horizontal="left" vertical="center"/>
    </xf>
    <xf numFmtId="0" fontId="140" fillId="0" borderId="0" xfId="15"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37"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2" fillId="0" borderId="7" xfId="0" applyFont="1" applyBorder="1" applyAlignment="1">
      <alignment horizontal="left" vertical="center"/>
    </xf>
    <xf numFmtId="0" fontId="2" fillId="3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2"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20" applyFont="1">
      <alignment vertical="center"/>
    </xf>
    <xf numFmtId="0" fontId="146" fillId="0" borderId="0" xfId="20" applyFont="1">
      <alignment vertical="center"/>
    </xf>
    <xf numFmtId="0" fontId="146" fillId="0" borderId="0" xfId="20" applyFont="1" applyAlignment="1">
      <alignment horizontal="center" vertical="center"/>
    </xf>
    <xf numFmtId="0" fontId="64" fillId="0" borderId="16" xfId="20" applyFont="1" applyBorder="1" applyAlignment="1">
      <alignment horizontal="left" vertical="center" wrapText="1"/>
    </xf>
    <xf numFmtId="0" fontId="67" fillId="0" borderId="16" xfId="20" applyFont="1" applyBorder="1" applyAlignment="1">
      <alignment horizontal="center" vertical="center" wrapText="1"/>
    </xf>
    <xf numFmtId="0" fontId="119" fillId="0" borderId="7" xfId="20" applyFont="1" applyBorder="1" applyAlignment="1">
      <alignment horizontal="left" vertical="center" wrapText="1"/>
    </xf>
    <xf numFmtId="0" fontId="67" fillId="0" borderId="7" xfId="20" applyFont="1" applyBorder="1" applyAlignment="1">
      <alignment horizontal="center" vertical="center" wrapText="1"/>
    </xf>
    <xf numFmtId="0" fontId="152" fillId="0" borderId="7" xfId="20" applyFont="1" applyBorder="1" applyAlignment="1">
      <alignment horizontal="left" vertical="center" wrapText="1"/>
    </xf>
    <xf numFmtId="0" fontId="84" fillId="0" borderId="13" xfId="20" applyFont="1" applyBorder="1" applyAlignment="1">
      <alignment vertical="center" wrapText="1"/>
    </xf>
    <xf numFmtId="0" fontId="118" fillId="0" borderId="7" xfId="20" applyFont="1" applyBorder="1" applyAlignment="1">
      <alignment horizontal="left" vertical="center" wrapText="1"/>
    </xf>
    <xf numFmtId="0" fontId="84" fillId="0" borderId="7" xfId="20" applyFont="1" applyBorder="1" applyAlignment="1">
      <alignment horizontal="center" vertical="center" wrapText="1"/>
    </xf>
    <xf numFmtId="0" fontId="64" fillId="0" borderId="7" xfId="20" applyFont="1" applyBorder="1" applyAlignment="1">
      <alignment horizontal="left" vertical="center" wrapText="1"/>
    </xf>
    <xf numFmtId="0" fontId="67" fillId="0" borderId="14" xfId="20" applyFont="1" applyBorder="1" applyAlignment="1">
      <alignment horizontal="center" vertical="center" wrapText="1"/>
    </xf>
    <xf numFmtId="0" fontId="84" fillId="0" borderId="14" xfId="20" applyFont="1" applyBorder="1" applyAlignment="1">
      <alignment horizontal="center" vertical="center" wrapText="1"/>
    </xf>
    <xf numFmtId="0" fontId="88" fillId="0" borderId="7" xfId="20" applyFont="1" applyBorder="1" applyAlignment="1">
      <alignment horizontal="center" vertical="center"/>
    </xf>
    <xf numFmtId="0" fontId="119" fillId="0" borderId="2" xfId="20" applyFont="1" applyBorder="1" applyAlignment="1">
      <alignment horizontal="left" vertical="center" wrapText="1"/>
    </xf>
    <xf numFmtId="0" fontId="8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8" fillId="0" borderId="0" xfId="20"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5" applyFont="1">
      <alignment vertical="center"/>
    </xf>
    <xf numFmtId="0" fontId="2" fillId="0" borderId="0" xfId="15">
      <alignment vertical="center"/>
    </xf>
    <xf numFmtId="0" fontId="157" fillId="0" borderId="0" xfId="15" applyFont="1" applyAlignment="1">
      <alignment vertical="top" wrapText="1"/>
    </xf>
    <xf numFmtId="0" fontId="158" fillId="0" borderId="0" xfId="15" applyFont="1">
      <alignment vertical="center"/>
    </xf>
    <xf numFmtId="0" fontId="132" fillId="0" borderId="1" xfId="0" applyFont="1" applyBorder="1">
      <alignment vertical="center"/>
    </xf>
    <xf numFmtId="0" fontId="132" fillId="0" borderId="146" xfId="0" applyFont="1" applyBorder="1">
      <alignment vertical="center"/>
    </xf>
    <xf numFmtId="0" fontId="132" fillId="0" borderId="0" xfId="21"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21" applyFont="1" applyBorder="1" applyAlignment="1">
      <alignment horizontal="left" vertical="center" wrapText="1"/>
    </xf>
    <xf numFmtId="0" fontId="64" fillId="0" borderId="2" xfId="0" applyFont="1" applyBorder="1" applyAlignment="1">
      <alignment horizontal="left" vertical="center"/>
    </xf>
    <xf numFmtId="0" fontId="132" fillId="0" borderId="134" xfId="21" applyFont="1" applyBorder="1" applyAlignment="1">
      <alignment vertical="center" wrapText="1"/>
    </xf>
    <xf numFmtId="0" fontId="132" fillId="0" borderId="134" xfId="0" applyFont="1" applyBorder="1" applyAlignment="1">
      <alignment horizontal="left" vertical="center"/>
    </xf>
    <xf numFmtId="0" fontId="132" fillId="0" borderId="7" xfId="21" applyFont="1" applyBorder="1" applyAlignment="1">
      <alignment vertical="center" wrapText="1"/>
    </xf>
    <xf numFmtId="0" fontId="132" fillId="0" borderId="7" xfId="0" applyFont="1" applyBorder="1" applyAlignment="1">
      <alignment horizontal="left" vertical="center"/>
    </xf>
    <xf numFmtId="0" fontId="132" fillId="0" borderId="2" xfId="21"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21"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49" fontId="99" fillId="0" borderId="7" xfId="4" quotePrefix="1" applyNumberFormat="1" applyFont="1" applyBorder="1" applyAlignment="1">
      <alignment horizontal="center"/>
    </xf>
    <xf numFmtId="49" fontId="99" fillId="0" borderId="7" xfId="4" quotePrefix="1" applyNumberFormat="1" applyFont="1" applyBorder="1" applyAlignment="1">
      <alignment horizontal="center" vertical="center"/>
    </xf>
    <xf numFmtId="0" fontId="124" fillId="0" borderId="7" xfId="0" applyFont="1" applyBorder="1" applyAlignment="1">
      <alignment horizontal="left" vertical="center"/>
    </xf>
    <xf numFmtId="179" fontId="55" fillId="31" borderId="7" xfId="0" applyNumberFormat="1" applyFont="1" applyFill="1" applyBorder="1" applyAlignment="1" applyProtection="1">
      <alignment horizontal="center" vertical="center" wrapText="1"/>
      <protection locked="0"/>
    </xf>
    <xf numFmtId="178" fontId="30" fillId="10" borderId="7" xfId="7" applyNumberFormat="1" applyFont="1" applyFill="1" applyBorder="1" applyAlignment="1" applyProtection="1">
      <alignment horizontal="center"/>
      <protection locked="0"/>
    </xf>
    <xf numFmtId="179" fontId="69" fillId="0" borderId="0" xfId="0" applyNumberFormat="1" applyFont="1" applyProtection="1">
      <alignment vertical="center"/>
      <protection locked="0"/>
    </xf>
    <xf numFmtId="195" fontId="99" fillId="0" borderId="0" xfId="4" applyNumberFormat="1" applyFont="1" applyAlignment="1">
      <alignment horizontal="center" vertical="center"/>
    </xf>
    <xf numFmtId="0" fontId="158" fillId="0" borderId="0" xfId="15" applyFont="1" applyAlignment="1">
      <alignment horizontal="left" vertical="top" wrapText="1"/>
    </xf>
    <xf numFmtId="0" fontId="67" fillId="0" borderId="12" xfId="20" applyFont="1" applyBorder="1" applyAlignment="1">
      <alignment horizontal="left" vertical="center" wrapText="1"/>
    </xf>
    <xf numFmtId="0" fontId="67" fillId="0" borderId="27" xfId="20" applyFont="1" applyBorder="1" applyAlignment="1">
      <alignment horizontal="left" vertical="center" wrapText="1"/>
    </xf>
    <xf numFmtId="0" fontId="67" fillId="0" borderId="16" xfId="20" applyFont="1" applyBorder="1" applyAlignment="1">
      <alignment horizontal="left" vertical="center" wrapText="1"/>
    </xf>
    <xf numFmtId="0" fontId="67" fillId="0" borderId="12" xfId="20" applyFont="1" applyBorder="1" applyAlignment="1">
      <alignment vertical="center" wrapText="1"/>
    </xf>
    <xf numFmtId="0" fontId="67" fillId="0" borderId="27" xfId="20" applyFont="1" applyBorder="1" applyAlignment="1">
      <alignment vertical="center" wrapText="1"/>
    </xf>
    <xf numFmtId="0" fontId="67" fillId="0" borderId="16" xfId="20" applyFont="1" applyBorder="1" applyAlignment="1">
      <alignment vertical="center" wrapText="1"/>
    </xf>
    <xf numFmtId="0" fontId="67" fillId="0" borderId="132" xfId="20" applyFont="1" applyBorder="1" applyAlignment="1">
      <alignment horizontal="left" vertical="center" wrapText="1"/>
    </xf>
    <xf numFmtId="0" fontId="148" fillId="0" borderId="0" xfId="20" applyFont="1" applyAlignment="1">
      <alignment horizontal="left" vertical="center" wrapText="1"/>
    </xf>
    <xf numFmtId="0" fontId="146" fillId="0" borderId="0" xfId="20" applyFont="1" applyAlignment="1">
      <alignment horizontal="center" vertical="center"/>
    </xf>
    <xf numFmtId="0" fontId="146" fillId="0" borderId="1" xfId="20" applyFont="1" applyBorder="1" applyAlignment="1">
      <alignment horizontal="center" vertical="center"/>
    </xf>
    <xf numFmtId="0" fontId="113"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4" fillId="0" borderId="0" xfId="0" applyFont="1" applyAlignment="1">
      <alignment horizontal="left" vertical="center" wrapText="1"/>
    </xf>
    <xf numFmtId="0" fontId="119" fillId="0" borderId="0" xfId="0" applyFont="1" applyAlignment="1">
      <alignment horizontal="left" vertical="center" wrapText="1"/>
    </xf>
    <xf numFmtId="0" fontId="6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176" fontId="151"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38" borderId="7" xfId="0" applyFont="1" applyFill="1" applyBorder="1" applyAlignment="1">
      <alignment horizontal="left" vertical="center"/>
    </xf>
    <xf numFmtId="0" fontId="2" fillId="0" borderId="7" xfId="0" applyFont="1" applyBorder="1" applyAlignment="1">
      <alignment horizontal="left" vertical="center"/>
    </xf>
    <xf numFmtId="0" fontId="130" fillId="0" borderId="13" xfId="0" applyFont="1" applyBorder="1" applyAlignment="1">
      <alignment horizontal="left" vertical="center"/>
    </xf>
    <xf numFmtId="0" fontId="136" fillId="3" borderId="7" xfId="15" applyFont="1" applyFill="1" applyBorder="1" applyAlignment="1">
      <alignment horizontal="left" vertical="center"/>
    </xf>
    <xf numFmtId="0" fontId="137" fillId="0" borderId="7" xfId="15" applyFont="1" applyBorder="1" applyAlignment="1">
      <alignment horizontal="left" vertical="center"/>
    </xf>
    <xf numFmtId="0" fontId="137" fillId="0" borderId="174" xfId="15"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35" borderId="12" xfId="0" applyFont="1" applyFill="1" applyBorder="1" applyAlignment="1">
      <alignment horizontal="center" vertical="center" wrapText="1"/>
    </xf>
    <xf numFmtId="0" fontId="55" fillId="35"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8" fontId="115"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5"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84" xfId="0" applyFont="1" applyFill="1" applyBorder="1" applyAlignment="1">
      <alignment horizontal="center" vertical="center"/>
    </xf>
    <xf numFmtId="0" fontId="118" fillId="2" borderId="161" xfId="0" applyFont="1" applyFill="1" applyBorder="1">
      <alignment vertical="center"/>
    </xf>
    <xf numFmtId="0" fontId="118"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9" fillId="2" borderId="6" xfId="0" applyFont="1" applyFill="1" applyBorder="1" applyAlignment="1">
      <alignment horizontal="left" vertical="center"/>
    </xf>
    <xf numFmtId="0" fontId="119"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98" fillId="30" borderId="0" xfId="4" applyFont="1" applyFill="1" applyAlignment="1">
      <alignment horizontal="center" vertical="center" wrapText="1"/>
    </xf>
    <xf numFmtId="0" fontId="98" fillId="17" borderId="83" xfId="4" applyFont="1" applyFill="1" applyBorder="1" applyAlignment="1">
      <alignment horizontal="center" vertical="center"/>
    </xf>
    <xf numFmtId="49" fontId="98" fillId="17" borderId="83" xfId="4" applyNumberFormat="1" applyFont="1" applyFill="1" applyBorder="1" applyAlignment="1">
      <alignment horizontal="center" vertical="center"/>
    </xf>
    <xf numFmtId="0" fontId="98" fillId="17" borderId="83" xfId="4" applyFont="1" applyFill="1" applyBorder="1" applyAlignment="1">
      <alignment horizontal="center" vertical="center" wrapText="1"/>
    </xf>
    <xf numFmtId="0" fontId="98" fillId="17" borderId="21" xfId="4" applyFont="1" applyFill="1" applyBorder="1" applyAlignment="1">
      <alignment horizontal="center" vertical="center"/>
    </xf>
    <xf numFmtId="43" fontId="98" fillId="17" borderId="21" xfId="4" applyNumberFormat="1" applyFont="1" applyFill="1" applyBorder="1" applyAlignment="1">
      <alignment horizontal="center" vertical="center"/>
    </xf>
    <xf numFmtId="181" fontId="98" fillId="17" borderId="83" xfId="4" applyNumberFormat="1" applyFont="1" applyFill="1" applyBorder="1" applyAlignment="1">
      <alignment horizontal="center" vertical="center"/>
    </xf>
    <xf numFmtId="0" fontId="98" fillId="17" borderId="3" xfId="4" applyFont="1" applyFill="1" applyBorder="1" applyAlignment="1">
      <alignment horizontal="center" vertical="center"/>
    </xf>
    <xf numFmtId="0" fontId="98" fillId="17" borderId="4" xfId="4" applyFont="1" applyFill="1" applyBorder="1" applyAlignment="1">
      <alignment horizontal="center" vertical="center"/>
    </xf>
    <xf numFmtId="0" fontId="98" fillId="17" borderId="22" xfId="4" applyFont="1" applyFill="1" applyBorder="1" applyAlignment="1">
      <alignment horizontal="center" vertical="center"/>
    </xf>
    <xf numFmtId="184" fontId="103" fillId="22" borderId="7" xfId="4" applyNumberFormat="1" applyFont="1" applyFill="1" applyBorder="1" applyAlignment="1">
      <alignment horizontal="center" vertical="center"/>
    </xf>
    <xf numFmtId="0" fontId="98" fillId="27" borderId="7" xfId="4" applyFont="1" applyFill="1" applyBorder="1" applyAlignment="1">
      <alignment horizontal="center" vertical="center"/>
    </xf>
    <xf numFmtId="0" fontId="98" fillId="17" borderId="15" xfId="4" applyFont="1" applyFill="1" applyBorder="1" applyAlignment="1">
      <alignment horizontal="center" vertical="center" wrapText="1"/>
    </xf>
    <xf numFmtId="49" fontId="98" fillId="17" borderId="15" xfId="4" applyNumberFormat="1" applyFont="1" applyFill="1" applyBorder="1" applyAlignment="1">
      <alignment horizontal="center" vertical="center" wrapText="1"/>
    </xf>
    <xf numFmtId="0" fontId="98" fillId="18" borderId="3" xfId="4" applyFont="1" applyFill="1" applyBorder="1" applyAlignment="1">
      <alignment horizontal="center" vertical="center" wrapText="1"/>
    </xf>
    <xf numFmtId="0" fontId="98" fillId="18" borderId="95" xfId="4" applyFont="1" applyFill="1" applyBorder="1" applyAlignment="1">
      <alignment horizontal="center" vertical="center" wrapText="1"/>
    </xf>
    <xf numFmtId="0" fontId="98" fillId="18" borderId="4" xfId="4" applyFont="1" applyFill="1" applyBorder="1" applyAlignment="1">
      <alignment horizontal="center" vertical="center" wrapText="1"/>
    </xf>
    <xf numFmtId="43" fontId="98" fillId="18" borderId="4" xfId="4" applyNumberFormat="1" applyFont="1" applyFill="1" applyBorder="1" applyAlignment="1">
      <alignment horizontal="center" vertical="center" wrapText="1"/>
    </xf>
    <xf numFmtId="0" fontId="98" fillId="18" borderId="22" xfId="4" applyFont="1" applyFill="1" applyBorder="1" applyAlignment="1">
      <alignment horizontal="center" vertical="center" wrapText="1"/>
    </xf>
    <xf numFmtId="0" fontId="98" fillId="18" borderId="5" xfId="4" applyFont="1" applyFill="1" applyBorder="1" applyAlignment="1">
      <alignment horizontal="center" vertical="center" wrapText="1"/>
    </xf>
    <xf numFmtId="0" fontId="98" fillId="20" borderId="15" xfId="4" applyFont="1" applyFill="1" applyBorder="1" applyAlignment="1">
      <alignment horizontal="center" vertical="center"/>
    </xf>
    <xf numFmtId="181" fontId="98" fillId="20" borderId="15" xfId="4" applyNumberFormat="1" applyFont="1" applyFill="1" applyBorder="1" applyAlignment="1">
      <alignment horizontal="center" vertical="center"/>
    </xf>
    <xf numFmtId="0" fontId="104" fillId="29" borderId="0" xfId="4" applyFont="1" applyFill="1" applyAlignment="1">
      <alignment horizontal="center" vertical="center"/>
    </xf>
    <xf numFmtId="0" fontId="104" fillId="29" borderId="53" xfId="4" applyFont="1" applyFill="1" applyBorder="1" applyAlignment="1">
      <alignment horizontal="center" vertical="center"/>
    </xf>
    <xf numFmtId="0" fontId="34" fillId="16" borderId="131" xfId="13" applyFont="1" applyFill="1" applyBorder="1" applyAlignment="1" applyProtection="1">
      <alignment vertical="center"/>
      <protection locked="0"/>
    </xf>
    <xf numFmtId="0" fontId="34" fillId="16" borderId="103" xfId="13" applyFont="1" applyFill="1" applyBorder="1" applyAlignment="1" applyProtection="1">
      <alignment vertical="center"/>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22" fillId="2" borderId="127" xfId="13" applyFont="1" applyFill="1" applyBorder="1" applyAlignment="1">
      <alignment horizontal="left" vertical="center"/>
    </xf>
    <xf numFmtId="0" fontId="22" fillId="2" borderId="128" xfId="13" applyFont="1" applyFill="1" applyBorder="1" applyAlignment="1">
      <alignment horizontal="left" vertical="center"/>
    </xf>
    <xf numFmtId="0" fontId="22" fillId="2" borderId="100"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34" fillId="2" borderId="23" xfId="13" applyFont="1" applyFill="1" applyBorder="1" applyAlignment="1">
      <alignment horizontal="left" vertical="center"/>
    </xf>
    <xf numFmtId="0" fontId="34" fillId="2" borderId="96" xfId="13" applyFont="1" applyFill="1" applyBorder="1" applyAlignment="1">
      <alignment horizontal="left" vertical="center"/>
    </xf>
    <xf numFmtId="0" fontId="34" fillId="2" borderId="6" xfId="13" applyFont="1" applyFill="1" applyBorder="1" applyAlignment="1" applyProtection="1">
      <alignment horizontal="left" vertical="center" wrapText="1"/>
      <protection locked="0"/>
    </xf>
    <xf numFmtId="0" fontId="22" fillId="2" borderId="81" xfId="13" applyFont="1" applyFill="1" applyBorder="1" applyAlignment="1" applyProtection="1">
      <alignment horizontal="left" vertical="center"/>
      <protection locked="0"/>
    </xf>
    <xf numFmtId="0" fontId="22" fillId="2" borderId="112"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7"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7" applyFont="1" applyAlignment="1">
      <alignment horizontal="left" vertical="center"/>
    </xf>
    <xf numFmtId="0" fontId="22" fillId="0" borderId="0" xfId="17" applyFont="1" applyAlignment="1">
      <alignment horizontal="left" vertical="center"/>
    </xf>
    <xf numFmtId="0" fontId="26" fillId="0" borderId="0" xfId="17" applyFont="1" applyAlignment="1">
      <alignment horizontal="left" vertical="center"/>
    </xf>
    <xf numFmtId="0" fontId="31" fillId="6" borderId="35" xfId="17" applyFont="1" applyFill="1" applyBorder="1" applyAlignment="1">
      <alignment horizontal="left" vertical="center" wrapText="1"/>
    </xf>
    <xf numFmtId="0" fontId="31" fillId="6" borderId="39" xfId="17" applyFont="1" applyFill="1" applyBorder="1" applyAlignment="1">
      <alignment horizontal="left" vertical="center" wrapText="1"/>
    </xf>
    <xf numFmtId="0" fontId="31" fillId="6" borderId="40" xfId="17" applyFont="1" applyFill="1" applyBorder="1" applyAlignment="1">
      <alignment horizontal="left" vertical="center" wrapText="1"/>
    </xf>
    <xf numFmtId="0" fontId="31" fillId="6" borderId="41" xfId="17" applyFont="1" applyFill="1" applyBorder="1" applyAlignment="1">
      <alignment horizontal="left" vertical="center" wrapText="1"/>
    </xf>
    <xf numFmtId="0" fontId="31" fillId="6" borderId="42" xfId="17" applyFont="1" applyFill="1" applyBorder="1" applyAlignment="1">
      <alignment horizontal="left" vertical="center" wrapText="1"/>
    </xf>
    <xf numFmtId="0" fontId="24" fillId="6" borderId="42" xfId="17" applyFont="1" applyFill="1" applyBorder="1" applyAlignment="1">
      <alignment horizontal="left" vertical="center" wrapText="1"/>
    </xf>
    <xf numFmtId="0" fontId="24" fillId="6" borderId="35" xfId="17" applyFont="1" applyFill="1" applyBorder="1" applyAlignment="1">
      <alignment horizontal="left" vertical="center" wrapText="1"/>
    </xf>
    <xf numFmtId="0" fontId="24" fillId="6" borderId="41" xfId="17"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4">
    <cellStyle name="百分比" xfId="1" builtinId="5"/>
    <cellStyle name="百分比 2" xfId="2" xr:uid="{00000000-0005-0000-0000-000001000000}"/>
    <cellStyle name="百分比 3" xfId="3" xr:uid="{00000000-0005-0000-0000-000002000000}"/>
    <cellStyle name="常规" xfId="0" builtinId="0"/>
    <cellStyle name="常规 10" xfId="4" xr:uid="{00000000-0005-0000-0000-000004000000}"/>
    <cellStyle name="常规 11" xfId="5" xr:uid="{00000000-0005-0000-0000-000005000000}"/>
    <cellStyle name="常规 16" xfId="6" xr:uid="{00000000-0005-0000-0000-000006000000}"/>
    <cellStyle name="常规 2" xfId="7" xr:uid="{00000000-0005-0000-0000-000007000000}"/>
    <cellStyle name="常规 2 2" xfId="8" xr:uid="{00000000-0005-0000-0000-000008000000}"/>
    <cellStyle name="常规 2 2 2 2 3" xfId="9" xr:uid="{00000000-0005-0000-0000-000009000000}"/>
    <cellStyle name="常规 2 3" xfId="10" xr:uid="{00000000-0005-0000-0000-00000A000000}"/>
    <cellStyle name="常规 3" xfId="11" xr:uid="{00000000-0005-0000-0000-00000B000000}"/>
    <cellStyle name="常规 3 2" xfId="12" xr:uid="{00000000-0005-0000-0000-00000C000000}"/>
    <cellStyle name="常规 4" xfId="13" xr:uid="{00000000-0005-0000-0000-00000D000000}"/>
    <cellStyle name="常规 4 2" xfId="14" xr:uid="{00000000-0005-0000-0000-00000E000000}"/>
    <cellStyle name="常规 5" xfId="15" xr:uid="{00000000-0005-0000-0000-00000F000000}"/>
    <cellStyle name="常规 6" xfId="16" xr:uid="{00000000-0005-0000-0000-000010000000}"/>
    <cellStyle name="常规 6 2" xfId="17" xr:uid="{00000000-0005-0000-0000-000011000000}"/>
    <cellStyle name="常规 6 2 2" xfId="18" xr:uid="{00000000-0005-0000-0000-000012000000}"/>
    <cellStyle name="常规 6 2 3" xfId="19" xr:uid="{00000000-0005-0000-0000-000013000000}"/>
    <cellStyle name="常规 7" xfId="20" xr:uid="{00000000-0005-0000-0000-000014000000}"/>
    <cellStyle name="常规 8" xfId="21" xr:uid="{00000000-0005-0000-0000-000015000000}"/>
    <cellStyle name="常规 9" xfId="22" xr:uid="{00000000-0005-0000-0000-000016000000}"/>
    <cellStyle name="千位分隔 2" xfId="23" xr:uid="{00000000-0005-0000-0000-000017000000}"/>
  </cellStyles>
  <dxfs count="167">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val="0"/>
        <i val="0"/>
        <strike val="0"/>
        <u val="none"/>
        <sz val="10"/>
        <color rgb="FF9C0006"/>
        <name val="Arial"/>
        <scheme val="none"/>
      </font>
      <fill>
        <patternFill patternType="solid">
          <bgColor rgb="FFFFC7CE"/>
        </patternFill>
      </fill>
    </dxf>
    <dxf>
      <font>
        <b val="0"/>
        <i val="0"/>
        <strike val="0"/>
        <u val="none"/>
        <sz val="10"/>
        <color rgb="FF9C6500"/>
        <name val="Arial"/>
        <scheme val="none"/>
      </font>
      <fill>
        <patternFill patternType="solid">
          <bgColor rgb="FFFFEB9C"/>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15</xdr:row>
      <xdr:rowOff>9525</xdr:rowOff>
    </xdr:from>
    <xdr:to>
      <xdr:col>8</xdr:col>
      <xdr:colOff>237430</xdr:colOff>
      <xdr:row>61</xdr:row>
      <xdr:rowOff>56158</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61925" y="2581275"/>
          <a:ext cx="5561330" cy="7933055"/>
        </a:xfrm>
        <a:prstGeom prst="rect">
          <a:avLst/>
        </a:prstGeom>
      </xdr:spPr>
    </xdr:pic>
    <xdr:clientData/>
  </xdr:twoCellAnchor>
  <xdr:twoCellAnchor editAs="oneCell">
    <xdr:from>
      <xdr:col>0</xdr:col>
      <xdr:colOff>38100</xdr:colOff>
      <xdr:row>62</xdr:row>
      <xdr:rowOff>9525</xdr:rowOff>
    </xdr:from>
    <xdr:to>
      <xdr:col>18</xdr:col>
      <xdr:colOff>74652</xdr:colOff>
      <xdr:row>103</xdr:row>
      <xdr:rowOff>84837</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38100" y="10639425"/>
          <a:ext cx="12380952" cy="7104762"/>
        </a:xfrm>
        <a:prstGeom prst="rect">
          <a:avLst/>
        </a:prstGeom>
      </xdr:spPr>
    </xdr:pic>
    <xdr:clientData/>
  </xdr:twoCellAnchor>
  <xdr:twoCellAnchor editAs="oneCell">
    <xdr:from>
      <xdr:col>0</xdr:col>
      <xdr:colOff>19050</xdr:colOff>
      <xdr:row>0</xdr:row>
      <xdr:rowOff>47625</xdr:rowOff>
    </xdr:from>
    <xdr:to>
      <xdr:col>25</xdr:col>
      <xdr:colOff>131193</xdr:colOff>
      <xdr:row>13</xdr:row>
      <xdr:rowOff>123537</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19050" y="47625"/>
          <a:ext cx="17256760" cy="2304415"/>
        </a:xfrm>
        <a:prstGeom prst="rect">
          <a:avLst/>
        </a:prstGeom>
      </xdr:spPr>
    </xdr:pic>
    <xdr:clientData/>
  </xdr:twoCellAnchor>
  <xdr:twoCellAnchor editAs="oneCell">
    <xdr:from>
      <xdr:col>8</xdr:col>
      <xdr:colOff>361950</xdr:colOff>
      <xdr:row>18</xdr:row>
      <xdr:rowOff>38100</xdr:rowOff>
    </xdr:from>
    <xdr:to>
      <xdr:col>22</xdr:col>
      <xdr:colOff>55988</xdr:colOff>
      <xdr:row>58</xdr:row>
      <xdr:rowOff>75338</xdr:rowOff>
    </xdr:to>
    <xdr:pic>
      <xdr:nvPicPr>
        <xdr:cNvPr id="5" name="图片 4">
          <a:extLst>
            <a:ext uri="{FF2B5EF4-FFF2-40B4-BE49-F238E27FC236}">
              <a16:creationId xmlns:a16="http://schemas.microsoft.com/office/drawing/2014/main" id="{9D5D7511-3530-D36E-0012-B47EC9177D9B}"/>
            </a:ext>
          </a:extLst>
        </xdr:cNvPr>
        <xdr:cNvPicPr>
          <a:picLocks noChangeAspect="1"/>
        </xdr:cNvPicPr>
      </xdr:nvPicPr>
      <xdr:blipFill>
        <a:blip xmlns:r="http://schemas.openxmlformats.org/officeDocument/2006/relationships" r:embed="rId4"/>
        <a:stretch>
          <a:fillRect/>
        </a:stretch>
      </xdr:blipFill>
      <xdr:spPr>
        <a:xfrm>
          <a:off x="5848350" y="3124200"/>
          <a:ext cx="9295238" cy="6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1/Desktop/&#12304;Project%20Orchid&#12305;BJ&#19968;&#38138;&#19968;&#20215;&#27169;&#22411;-250326%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核心假设及结论"/>
      <sheetName val="1.一铺一价计算"/>
      <sheetName val="g0 租期内增长率计算"/>
    </sheetNames>
    <sheetDataSet>
      <sheetData sheetId="0">
        <row r="17">
          <cell r="B17" t="str">
            <v>零售</v>
          </cell>
          <cell r="C17">
            <v>3.0082767785812502E-2</v>
          </cell>
          <cell r="D17">
            <v>2.7074491007231302E-2</v>
          </cell>
          <cell r="E17">
            <v>1.02707449100723</v>
          </cell>
        </row>
        <row r="18">
          <cell r="B18" t="str">
            <v>餐饮</v>
          </cell>
          <cell r="C18">
            <v>3.4019339293466601E-2</v>
          </cell>
          <cell r="D18">
            <v>3.0617405364119998E-2</v>
          </cell>
          <cell r="E18">
            <v>1.0306174053641199</v>
          </cell>
        </row>
        <row r="19">
          <cell r="B19" t="str">
            <v>配套</v>
          </cell>
          <cell r="C19">
            <v>3.8416763886109401E-2</v>
          </cell>
          <cell r="D19">
            <v>3.4575087497498498E-2</v>
          </cell>
          <cell r="E19">
            <v>1.0345750874974999</v>
          </cell>
        </row>
        <row r="20">
          <cell r="B20" t="str">
            <v>合计-不含主力店</v>
          </cell>
          <cell r="C20">
            <v>3.6265251774114403E-2</v>
          </cell>
          <cell r="D20">
            <v>3.2638726596702902E-2</v>
          </cell>
          <cell r="E20">
            <v>1.0326387265967001</v>
          </cell>
        </row>
        <row r="21">
          <cell r="B21" t="str">
            <v>主力店</v>
          </cell>
          <cell r="C21">
            <v>2.1341327581609299E-2</v>
          </cell>
          <cell r="D21">
            <v>1.92071948234484E-2</v>
          </cell>
          <cell r="E21">
            <v>1.01920719482345</v>
          </cell>
        </row>
        <row r="25">
          <cell r="C25" t="str">
            <v>休闲和教育</v>
          </cell>
          <cell r="D25" t="str">
            <v>配套</v>
          </cell>
          <cell r="E25">
            <v>0.25</v>
          </cell>
        </row>
        <row r="26">
          <cell r="C26" t="str">
            <v>超市</v>
          </cell>
          <cell r="D26" t="str">
            <v>主力店</v>
          </cell>
          <cell r="E26">
            <v>0.09</v>
          </cell>
        </row>
        <row r="27">
          <cell r="C27" t="str">
            <v>生活服务</v>
          </cell>
          <cell r="D27" t="str">
            <v>配套</v>
          </cell>
          <cell r="E27">
            <v>0.2</v>
          </cell>
        </row>
        <row r="28">
          <cell r="C28" t="str">
            <v>儿童零售</v>
          </cell>
          <cell r="D28" t="str">
            <v>零售</v>
          </cell>
          <cell r="E28">
            <v>0.25</v>
          </cell>
        </row>
        <row r="29">
          <cell r="C29" t="str">
            <v>日杂便利</v>
          </cell>
          <cell r="D29" t="str">
            <v>零售</v>
          </cell>
          <cell r="E29">
            <v>0.2</v>
          </cell>
        </row>
        <row r="30">
          <cell r="C30" t="str">
            <v>时尚服装</v>
          </cell>
          <cell r="D30" t="str">
            <v>零售</v>
          </cell>
          <cell r="E30">
            <v>0.2</v>
          </cell>
        </row>
        <row r="31">
          <cell r="C31" t="str">
            <v>数码音响</v>
          </cell>
          <cell r="D31" t="str">
            <v>零售</v>
          </cell>
          <cell r="E31">
            <v>0.1</v>
          </cell>
        </row>
        <row r="32">
          <cell r="C32" t="str">
            <v>餐饮</v>
          </cell>
          <cell r="D32" t="str">
            <v>餐饮</v>
          </cell>
          <cell r="E32">
            <v>0.2</v>
          </cell>
        </row>
        <row r="33">
          <cell r="C33" t="str">
            <v>鞋包服饰</v>
          </cell>
          <cell r="D33" t="str">
            <v>零售</v>
          </cell>
          <cell r="E33">
            <v>0.25</v>
          </cell>
        </row>
        <row r="34">
          <cell r="C34" t="str">
            <v>内衣</v>
          </cell>
          <cell r="D34" t="str">
            <v>零售</v>
          </cell>
          <cell r="E34">
            <v>0.3</v>
          </cell>
        </row>
        <row r="35">
          <cell r="C35" t="str">
            <v>珠宝配饰</v>
          </cell>
          <cell r="D35" t="str">
            <v>零售</v>
          </cell>
          <cell r="E35">
            <v>0.2</v>
          </cell>
        </row>
        <row r="36">
          <cell r="C36" t="str">
            <v>化妆品</v>
          </cell>
          <cell r="D36" t="str">
            <v>零售</v>
          </cell>
          <cell r="E36">
            <v>0.2</v>
          </cell>
        </row>
        <row r="37">
          <cell r="C37" t="str">
            <v>运动时尚</v>
          </cell>
          <cell r="D37" t="str">
            <v>零售</v>
          </cell>
          <cell r="E37">
            <v>0.2</v>
          </cell>
        </row>
        <row r="38">
          <cell r="C38" t="str">
            <v>家具家居</v>
          </cell>
          <cell r="D38" t="str">
            <v>零售</v>
          </cell>
          <cell r="E38">
            <v>0.2</v>
          </cell>
        </row>
        <row r="39">
          <cell r="C39" t="str">
            <v>医药健康</v>
          </cell>
          <cell r="D39" t="str">
            <v>配套</v>
          </cell>
          <cell r="E39">
            <v>0.2</v>
          </cell>
        </row>
        <row r="40">
          <cell r="C40" t="str">
            <v>娱乐健身</v>
          </cell>
          <cell r="D40" t="str">
            <v>配套</v>
          </cell>
          <cell r="E40">
            <v>0.25</v>
          </cell>
        </row>
        <row r="41">
          <cell r="C41" t="str">
            <v>运动大卖场</v>
          </cell>
          <cell r="D41" t="str">
            <v>零售</v>
          </cell>
          <cell r="E41">
            <v>0.1</v>
          </cell>
        </row>
        <row r="42">
          <cell r="C42" t="str">
            <v>家居大卖场</v>
          </cell>
          <cell r="D42" t="str">
            <v>主力店</v>
          </cell>
          <cell r="E42">
            <v>0.08</v>
          </cell>
        </row>
        <row r="43">
          <cell r="C43" t="str">
            <v>电器大卖场</v>
          </cell>
          <cell r="D43" t="str">
            <v>主力店</v>
          </cell>
          <cell r="E43">
            <v>0.1</v>
          </cell>
        </row>
        <row r="44">
          <cell r="C44" t="str">
            <v>超市</v>
          </cell>
          <cell r="D44" t="str">
            <v>主力店</v>
          </cell>
          <cell r="E44">
            <v>0.08</v>
          </cell>
        </row>
        <row r="45">
          <cell r="C45" t="str">
            <v>影院</v>
          </cell>
          <cell r="D45" t="str">
            <v>主力店</v>
          </cell>
          <cell r="E45">
            <v>0.3</v>
          </cell>
        </row>
        <row r="57">
          <cell r="D57">
            <v>1.0342640124442799</v>
          </cell>
        </row>
        <row r="58">
          <cell r="B58">
            <v>1</v>
          </cell>
          <cell r="D58">
            <v>1.0069999999999999</v>
          </cell>
        </row>
        <row r="59">
          <cell r="B59">
            <v>1.5</v>
          </cell>
          <cell r="D59">
            <v>1</v>
          </cell>
        </row>
        <row r="60">
          <cell r="D60">
            <v>1.0811176582269599</v>
          </cell>
        </row>
        <row r="61">
          <cell r="B61">
            <v>1</v>
          </cell>
          <cell r="D61">
            <v>1.0489999999999999</v>
          </cell>
        </row>
        <row r="62">
          <cell r="B62">
            <v>1.5</v>
          </cell>
          <cell r="D62">
            <v>1</v>
          </cell>
        </row>
        <row r="63">
          <cell r="D63">
            <v>1</v>
          </cell>
        </row>
        <row r="64">
          <cell r="B64">
            <v>1</v>
          </cell>
          <cell r="D64">
            <v>0.754</v>
          </cell>
        </row>
        <row r="65">
          <cell r="B65">
            <v>1.5</v>
          </cell>
          <cell r="D65">
            <v>0.72793038402688603</v>
          </cell>
        </row>
        <row r="70">
          <cell r="C70">
            <v>30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67" customWidth="1"/>
    <col min="2" max="2" width="81" style="3268" customWidth="1"/>
    <col min="3" max="16384" width="9" style="3269"/>
  </cols>
  <sheetData>
    <row r="1" spans="1:2" s="3265" customFormat="1" ht="15.75">
      <c r="A1" s="3270" t="s">
        <v>0</v>
      </c>
      <c r="B1" s="3271" t="s">
        <v>1</v>
      </c>
    </row>
    <row r="2" spans="1:2" s="3266" customFormat="1">
      <c r="A2" s="3272" t="s">
        <v>2</v>
      </c>
      <c r="B2" s="3273" t="str">
        <f>'预评函-封皮'!B37:I37</f>
        <v>北京市房地产抵押价值预评估</v>
      </c>
    </row>
    <row r="3" spans="1:2">
      <c r="A3" s="3274" t="s">
        <v>3</v>
      </c>
      <c r="B3" s="3275">
        <f>'预评函-封皮'!B40</f>
        <v>0</v>
      </c>
    </row>
    <row r="4" spans="1:2">
      <c r="A4" s="3274" t="s">
        <v>4</v>
      </c>
      <c r="B4" s="3275" t="str">
        <f>'预评函-封皮'!B46</f>
        <v>（注册号：0)、（注册号：0)</v>
      </c>
    </row>
    <row r="5" spans="1:2" s="3265" customFormat="1">
      <c r="A5" s="3276" t="s">
        <v>5</v>
      </c>
      <c r="B5" s="3277" t="str">
        <f>'预评函-封皮'!B49</f>
        <v>康正预评字号</v>
      </c>
    </row>
    <row r="6" spans="1:2" s="3266" customFormat="1">
      <c r="A6" s="3272" t="s">
        <v>6</v>
      </c>
      <c r="B6" s="3273" t="str">
        <f>'预评函-1'!A4</f>
        <v>受贵公司委托，我公司对北京市房地产抵押价值进行了预评估。</v>
      </c>
    </row>
    <row r="7" spans="1:2">
      <c r="A7" s="3274" t="s">
        <v>7</v>
      </c>
      <c r="B7" s="3275" t="str">
        <f>'预评函-1'!A7</f>
        <v>估价对象为北京市房地产，为所有。根据《国有土地使用证》[]，估价对象（分摊）出让国有建设用地使用权面积为175003.3平方米，建筑面积为596993.59平方米。</v>
      </c>
    </row>
    <row r="8" spans="1:2">
      <c r="A8" s="3274" t="s">
        <v>8</v>
      </c>
      <c r="B8" s="3275" t="str">
        <f>'预评函-1'!A8</f>
        <v>估价对象简述。项目推广名，项目类型（用途），估价对象分布，各用途面积明细情况：XX用途建筑面积XX平方米，XX用途建筑面积XX平方米，……。复杂面积清单需设‘附表’列示：抵押物清单详见附表</v>
      </c>
    </row>
    <row r="9" spans="1:2">
      <c r="A9" s="3274" t="s">
        <v>9</v>
      </c>
      <c r="B9" s="3275" t="str">
        <f>'预评函-1'!A10</f>
        <v>估价对象为北京市房地产,属开发建设的，该项目尚在开发建设中。根据《国有土地使用证》[]，估价对象（分摊）出让国有建设用地使用权面积为175003.3平方米，规划建筑面积为596993.59平方米。</v>
      </c>
    </row>
    <row r="10" spans="1:2">
      <c r="A10" s="3274" t="s">
        <v>10</v>
      </c>
      <c r="B10" s="32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4" t="s">
        <v>11</v>
      </c>
      <c r="B11" s="32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74" t="s">
        <v>12</v>
      </c>
      <c r="B12" s="3275" t="str">
        <f>'预评函-1'!A15</f>
        <v>2025年5月21日</v>
      </c>
    </row>
    <row r="13" spans="1:2">
      <c r="A13" s="3274" t="s">
        <v>13</v>
      </c>
      <c r="B13" s="3275"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c r="A14" s="3274" t="s">
        <v>14</v>
      </c>
      <c r="B14" s="32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74" t="s">
        <v>15</v>
      </c>
      <c r="B15" s="3275" t="str">
        <f>'预评函-1'!A20</f>
        <v>本次估价的“房地产抵押价值”是指估价对象在价值时点的“房地产价值”扣减估价师于价值时点所知悉的法定优先受偿款后的余额。</v>
      </c>
    </row>
    <row r="16" spans="1:2">
      <c r="A16" s="3274" t="s">
        <v>16</v>
      </c>
      <c r="B16" s="32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74" t="s">
        <v>17</v>
      </c>
      <c r="B17" s="32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65" customFormat="1">
      <c r="A18" s="3276" t="s">
        <v>18</v>
      </c>
      <c r="B18" s="3277" t="str">
        <f>'预评函-1'!A24</f>
        <v>本次评估采用的主估价方法为成本法和收益法。</v>
      </c>
    </row>
    <row r="19" spans="1:2" s="3266" customFormat="1">
      <c r="A19" s="3272" t="s">
        <v>19</v>
      </c>
      <c r="B19" s="32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74" t="s">
        <v>20</v>
      </c>
      <c r="B20" s="3275">
        <f ca="1">'预评函-2'!D5</f>
        <v>1111879</v>
      </c>
    </row>
    <row r="21" spans="1:2">
      <c r="A21" s="3274" t="s">
        <v>21</v>
      </c>
      <c r="B21" s="3275">
        <f ca="1">'预评函-2'!D7</f>
        <v>18625</v>
      </c>
    </row>
    <row r="22" spans="1:2">
      <c r="A22" s="3274" t="s">
        <v>22</v>
      </c>
      <c r="B22" s="3275" t="str">
        <f ca="1">'预评函-2'!D6</f>
        <v>壹佰壹拾壹亿壹仟捌佰柒拾玖万元整</v>
      </c>
    </row>
    <row r="23" spans="1:2">
      <c r="A23" s="3274" t="s">
        <v>23</v>
      </c>
      <c r="B23" s="3275" t="str">
        <f>'预评函-2'!B8</f>
        <v>2.估价师知悉的法定优先受偿款</v>
      </c>
    </row>
    <row r="24" spans="1:2">
      <c r="A24" s="3274" t="s">
        <v>24</v>
      </c>
      <c r="B24" s="3275">
        <f>'预评函-2'!D8</f>
        <v>0</v>
      </c>
    </row>
    <row r="25" spans="1:2">
      <c r="A25" s="3274" t="s">
        <v>25</v>
      </c>
      <c r="B25" s="3275" t="str">
        <f>'预评函-2'!D9</f>
        <v>零元整</v>
      </c>
    </row>
    <row r="26" spans="1:2">
      <c r="A26" s="3274" t="s">
        <v>26</v>
      </c>
      <c r="B26" s="3275">
        <f>'预评函-2'!D10</f>
        <v>0</v>
      </c>
    </row>
    <row r="27" spans="1:2">
      <c r="A27" s="3274" t="s">
        <v>27</v>
      </c>
      <c r="B27" s="3275">
        <f>'预评函-2'!D11</f>
        <v>0</v>
      </c>
    </row>
    <row r="28" spans="1:2">
      <c r="A28" s="3274" t="s">
        <v>28</v>
      </c>
      <c r="B28" s="3275">
        <f>'预评函-2'!D12</f>
        <v>0</v>
      </c>
    </row>
    <row r="29" spans="1:2">
      <c r="A29" s="3274" t="s">
        <v>29</v>
      </c>
      <c r="B29" s="3275" t="str">
        <f>'预评函-2'!B13</f>
        <v>3.房地产抵押价值</v>
      </c>
    </row>
    <row r="30" spans="1:2">
      <c r="A30" s="3274" t="s">
        <v>30</v>
      </c>
      <c r="B30" s="3275">
        <f ca="1">'预评函-2'!D13</f>
        <v>1111879</v>
      </c>
    </row>
    <row r="31" spans="1:2">
      <c r="A31" s="3274" t="s">
        <v>31</v>
      </c>
      <c r="B31" s="3275">
        <f ca="1">'预评函-2'!D15</f>
        <v>18625</v>
      </c>
    </row>
    <row r="32" spans="1:2">
      <c r="A32" s="3274" t="s">
        <v>32</v>
      </c>
      <c r="B32" s="3275" t="str">
        <f ca="1">'预评函-2'!D14</f>
        <v>壹佰壹拾壹亿壹仟捌佰柒拾玖万元整</v>
      </c>
    </row>
    <row r="33" spans="1:2">
      <c r="A33" s="3274" t="s">
        <v>33</v>
      </c>
      <c r="B33" s="3275" t="str">
        <f>'预评函-2'!B16</f>
        <v>——</v>
      </c>
    </row>
    <row r="34" spans="1:2">
      <c r="A34" s="3274" t="s">
        <v>34</v>
      </c>
      <c r="B34" s="3275" t="str">
        <f>'预评函-2'!D16</f>
        <v>——</v>
      </c>
    </row>
    <row r="35" spans="1:2">
      <c r="A35" s="3274" t="s">
        <v>35</v>
      </c>
      <c r="B35" s="3275" t="str">
        <f>'预评函-2'!D18</f>
        <v>——</v>
      </c>
    </row>
    <row r="36" spans="1:2">
      <c r="A36" s="3274" t="s">
        <v>36</v>
      </c>
      <c r="B36" s="3275" t="e">
        <f>'预评函-2'!D17</f>
        <v>#VALUE!</v>
      </c>
    </row>
    <row r="37" spans="1:2">
      <c r="A37" s="3274" t="s">
        <v>37</v>
      </c>
      <c r="B37" s="3275" t="str">
        <f>'预评函-2'!B19</f>
        <v>——</v>
      </c>
    </row>
    <row r="38" spans="1:2">
      <c r="A38" s="3274" t="s">
        <v>38</v>
      </c>
      <c r="B38" s="3275" t="str">
        <f>'预评函-2'!D19</f>
        <v>——</v>
      </c>
    </row>
    <row r="39" spans="1:2">
      <c r="A39" s="3274" t="s">
        <v>39</v>
      </c>
      <c r="B39" s="3275" t="str">
        <f>'预评函-2'!D21</f>
        <v>——</v>
      </c>
    </row>
    <row r="40" spans="1:2">
      <c r="A40" s="3274" t="s">
        <v>40</v>
      </c>
      <c r="B40" s="3275" t="e">
        <f>'预评函-2'!D20</f>
        <v>#VALUE!</v>
      </c>
    </row>
    <row r="41" spans="1:2">
      <c r="A41" s="3274" t="s">
        <v>41</v>
      </c>
      <c r="B41" s="3275" t="str">
        <f>'预评函-3'!A4</f>
        <v>北京市房地产</v>
      </c>
    </row>
    <row r="42" spans="1:2">
      <c r="A42" s="3274" t="s">
        <v>42</v>
      </c>
      <c r="B42" s="3275" t="str">
        <f>'预评函-3'!B2</f>
        <v>建筑面积</v>
      </c>
    </row>
    <row r="43" spans="1:2">
      <c r="A43" s="3274" t="s">
        <v>43</v>
      </c>
      <c r="B43" s="3275">
        <f>'预评函-3'!B4</f>
        <v>596993.59</v>
      </c>
    </row>
    <row r="44" spans="1:2">
      <c r="A44" s="3274" t="s">
        <v>44</v>
      </c>
      <c r="B44" s="3275" t="str">
        <f>'预评函-3'!C2</f>
        <v>(分摊)土地面积</v>
      </c>
    </row>
    <row r="45" spans="1:2">
      <c r="A45" s="3274" t="s">
        <v>45</v>
      </c>
      <c r="B45" s="3275">
        <f>'预评函-3'!C4</f>
        <v>175003.3</v>
      </c>
    </row>
    <row r="46" spans="1:2">
      <c r="A46" s="3274" t="s">
        <v>46</v>
      </c>
      <c r="B46" s="3275" t="str">
        <f>'预评函-3'!D2</f>
        <v>出让国有建设用地使用权价值</v>
      </c>
    </row>
    <row r="47" spans="1:2">
      <c r="A47" s="3274" t="s">
        <v>47</v>
      </c>
      <c r="B47" s="3275">
        <f ca="1">'预评函-3'!D4</f>
        <v>274634</v>
      </c>
    </row>
    <row r="48" spans="1:2">
      <c r="A48" s="3274" t="s">
        <v>48</v>
      </c>
      <c r="B48" s="3275">
        <f ca="1">'预评函-3'!E4</f>
        <v>4601</v>
      </c>
    </row>
    <row r="49" spans="1:2">
      <c r="A49" s="3274" t="s">
        <v>49</v>
      </c>
      <c r="B49" s="3275" t="str">
        <f ca="1">'预评函-3'!D5</f>
        <v>贰拾柒亿肆仟陆佰叁拾肆万元整</v>
      </c>
    </row>
    <row r="50" spans="1:2">
      <c r="A50" s="3274" t="s">
        <v>50</v>
      </c>
      <c r="B50" s="3275" t="str">
        <f>'预评函-3'!F2</f>
        <v>在建建筑物价值</v>
      </c>
    </row>
    <row r="51" spans="1:2">
      <c r="A51" s="3274" t="s">
        <v>51</v>
      </c>
      <c r="B51" s="3275">
        <f ca="1">'预评函-3'!F4</f>
        <v>837245</v>
      </c>
    </row>
    <row r="52" spans="1:2">
      <c r="A52" s="3274" t="s">
        <v>52</v>
      </c>
      <c r="B52" s="3275">
        <f ca="1">'预评函-3'!G4</f>
        <v>14024</v>
      </c>
    </row>
    <row r="53" spans="1:2">
      <c r="A53" s="3274" t="s">
        <v>53</v>
      </c>
      <c r="B53" s="3275" t="str">
        <f ca="1">'预评函-3'!F5</f>
        <v>捌拾叁亿柒仟贰佰肆拾伍万元整</v>
      </c>
    </row>
    <row r="54" spans="1:2">
      <c r="A54" s="3274" t="s">
        <v>54</v>
      </c>
      <c r="B54" s="3275" t="str">
        <f>'预评函-3'!A8</f>
        <v>房地产抵押价值</v>
      </c>
    </row>
    <row r="55" spans="1:2">
      <c r="A55" s="3274" t="s">
        <v>55</v>
      </c>
      <c r="B55" s="3275" t="str">
        <f>'预评函-3'!A10</f>
        <v/>
      </c>
    </row>
    <row r="56" spans="1:2">
      <c r="A56" s="3274" t="s">
        <v>56</v>
      </c>
      <c r="B56" s="3275" t="str">
        <f>'预评函-3'!A12</f>
        <v/>
      </c>
    </row>
    <row r="57" spans="1:2" s="3265" customFormat="1">
      <c r="A57" s="3276" t="s">
        <v>57</v>
      </c>
      <c r="B57" s="3277" t="str">
        <f>'预评函-3'!A6</f>
        <v>估价师知悉的法定优先受偿款</v>
      </c>
    </row>
    <row r="58" spans="1:2" s="3266" customFormat="1">
      <c r="A58" s="3272" t="s">
        <v>58</v>
      </c>
      <c r="B58" s="3273" t="str">
        <f>'预评函-4'!A12</f>
        <v>2.本《评估意见函》仅供金融机构进行内部审核使用，不做其他目的之用。</v>
      </c>
    </row>
    <row r="59" spans="1:2">
      <c r="A59" s="3274" t="s">
        <v>59</v>
      </c>
      <c r="B59" s="3275" t="str">
        <f>'预评函-4'!A13</f>
        <v>3.抵押双方在办理抵押登记手续时，应使用本公司出具的正式《房地产评估报告》，特提醒报告使用者注意。</v>
      </c>
    </row>
    <row r="60" spans="1:2">
      <c r="A60" s="3274" t="s">
        <v>60</v>
      </c>
      <c r="B60" s="3275" t="str">
        <f>'预评函-4'!A14</f>
        <v>4.本次评估估价师所知悉的法定优先受偿款情况说明如下：</v>
      </c>
    </row>
    <row r="61" spans="1:2">
      <c r="A61" s="3274" t="s">
        <v>61</v>
      </c>
      <c r="B61" s="32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74" t="s">
        <v>62</v>
      </c>
      <c r="B62" s="3275" t="str">
        <f>'预评函-4'!A16</f>
        <v>（2）根据《工程款支付情况说明》，截至价值时点，估价对象不存在应付未付工程款项。（只要没有施工方盖章的，均“设定”进行表述）</v>
      </c>
    </row>
    <row r="63" spans="1:2">
      <c r="A63" s="3274" t="s">
        <v>63</v>
      </c>
      <c r="B63" s="32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4" t="s">
        <v>64</v>
      </c>
      <c r="B64" s="3275" t="str">
        <f>'预评函-4'!A18</f>
        <v>故，本次评估不存在估价师知悉的法定优先受偿款</v>
      </c>
    </row>
    <row r="65" spans="1:2">
      <c r="A65" s="3274" t="s">
        <v>65</v>
      </c>
      <c r="B65" s="32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4" t="s">
        <v>66</v>
      </c>
      <c r="B66" s="32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74" t="s">
        <v>67</v>
      </c>
      <c r="B67" s="32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74" t="s">
        <v>68</v>
      </c>
      <c r="B68" s="3275" t="str">
        <f>'预评函-4'!A22</f>
        <v>8.其他需特殊说明事项：无（注意调整序号）</v>
      </c>
    </row>
    <row r="69" spans="1:2" s="3265" customFormat="1">
      <c r="A69" s="3276" t="s">
        <v>69</v>
      </c>
      <c r="B69" s="3278">
        <f>'预评函-4'!C31</f>
        <v>42551</v>
      </c>
    </row>
    <row r="70" spans="1:2">
      <c r="A70" s="3279" t="s">
        <v>70</v>
      </c>
      <c r="B70" s="3280">
        <f>'预评函-4'!A4</f>
        <v>0</v>
      </c>
    </row>
    <row r="71" spans="1:2">
      <c r="A71" s="3274" t="s">
        <v>71</v>
      </c>
      <c r="B71" s="3275">
        <f>'预评函-4'!B4</f>
        <v>0</v>
      </c>
    </row>
    <row r="72" spans="1:2">
      <c r="A72" s="3274" t="s">
        <v>72</v>
      </c>
      <c r="B72" s="3281">
        <f>'预评函-4'!A5</f>
        <v>0</v>
      </c>
    </row>
    <row r="73" spans="1:2" s="3265" customFormat="1">
      <c r="A73" s="3276" t="s">
        <v>73</v>
      </c>
      <c r="B73" s="3277">
        <f>'预评函-4'!B5</f>
        <v>0</v>
      </c>
    </row>
    <row r="74" spans="1:2">
      <c r="A74" s="3267" t="s">
        <v>74</v>
      </c>
      <c r="B74" s="3268"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58" customWidth="1"/>
    <col min="2" max="2" width="23.25" style="262" customWidth="1"/>
    <col min="3" max="3" width="13" style="3159" customWidth="1"/>
    <col min="4" max="4" width="5.75" style="3160" customWidth="1"/>
    <col min="5" max="5" width="7.125" style="3160" customWidth="1"/>
    <col min="6" max="6" width="10.625" style="3160" customWidth="1"/>
    <col min="7" max="7" width="7.5" style="3160" customWidth="1"/>
    <col min="8" max="8" width="11.875" style="3159" customWidth="1"/>
    <col min="9" max="9" width="11.625" style="3159" customWidth="1"/>
    <col min="10" max="10" width="9" style="3159" customWidth="1"/>
    <col min="11" max="19" width="9" style="3160" customWidth="1"/>
    <col min="20" max="23" width="9" style="3159" customWidth="1"/>
    <col min="24" max="24" width="21.125" style="262" customWidth="1"/>
    <col min="25" max="16384" width="9" style="262"/>
  </cols>
  <sheetData>
    <row r="1" spans="1:23" s="3157" customFormat="1" ht="40.5">
      <c r="A1" s="3161" t="s">
        <v>206</v>
      </c>
      <c r="B1" s="3162" t="s">
        <v>207</v>
      </c>
      <c r="C1" s="3163" t="s">
        <v>208</v>
      </c>
      <c r="D1" s="3164" t="s">
        <v>209</v>
      </c>
      <c r="E1" s="3163" t="s">
        <v>210</v>
      </c>
      <c r="F1" s="3163" t="s">
        <v>211</v>
      </c>
      <c r="G1" s="3163" t="s">
        <v>212</v>
      </c>
      <c r="H1" s="3163" t="s">
        <v>213</v>
      </c>
      <c r="I1" s="3163" t="s">
        <v>214</v>
      </c>
      <c r="J1" s="3163" t="s">
        <v>215</v>
      </c>
      <c r="K1" s="3163" t="s">
        <v>216</v>
      </c>
      <c r="L1" s="3163" t="s">
        <v>217</v>
      </c>
      <c r="M1" s="3163" t="s">
        <v>218</v>
      </c>
      <c r="N1" s="3163" t="s">
        <v>219</v>
      </c>
      <c r="O1" s="3163" t="s">
        <v>220</v>
      </c>
      <c r="P1" s="3164" t="s">
        <v>221</v>
      </c>
      <c r="Q1" s="3164" t="s">
        <v>222</v>
      </c>
      <c r="R1" s="3163" t="s">
        <v>223</v>
      </c>
      <c r="S1" s="3163" t="s">
        <v>224</v>
      </c>
      <c r="T1" s="3164" t="s">
        <v>225</v>
      </c>
      <c r="U1" s="3163" t="s">
        <v>226</v>
      </c>
      <c r="V1" s="3163" t="s">
        <v>227</v>
      </c>
      <c r="W1" s="3163" t="s">
        <v>228</v>
      </c>
    </row>
    <row r="2" spans="1:23">
      <c r="A2" s="3165" t="s">
        <v>124</v>
      </c>
      <c r="B2" s="3165" t="s">
        <v>229</v>
      </c>
      <c r="C2" s="3166" t="s">
        <v>230</v>
      </c>
      <c r="D2" s="3160" t="s">
        <v>231</v>
      </c>
      <c r="E2" s="3160" t="s">
        <v>232</v>
      </c>
      <c r="F2" s="3160" t="s">
        <v>159</v>
      </c>
      <c r="G2" s="3160">
        <v>20</v>
      </c>
      <c r="H2" s="3160" t="s">
        <v>159</v>
      </c>
      <c r="I2" s="3160" t="s">
        <v>233</v>
      </c>
      <c r="J2" s="3160" t="s">
        <v>234</v>
      </c>
      <c r="K2" s="3160" t="s">
        <v>235</v>
      </c>
      <c r="L2" s="3160" t="s">
        <v>235</v>
      </c>
      <c r="M2" s="3160" t="s">
        <v>235</v>
      </c>
      <c r="N2" s="3160" t="s">
        <v>235</v>
      </c>
      <c r="O2" s="3160" t="s">
        <v>235</v>
      </c>
      <c r="P2" s="3160" t="s">
        <v>235</v>
      </c>
      <c r="Q2" s="3160" t="s">
        <v>235</v>
      </c>
      <c r="R2" s="3160" t="s">
        <v>236</v>
      </c>
      <c r="S2" s="3160" t="s">
        <v>235</v>
      </c>
      <c r="T2" s="3160" t="s">
        <v>237</v>
      </c>
      <c r="U2" s="3160" t="s">
        <v>235</v>
      </c>
      <c r="V2" s="3160" t="s">
        <v>238</v>
      </c>
      <c r="W2" s="3160" t="s">
        <v>235</v>
      </c>
    </row>
    <row r="3" spans="1:23">
      <c r="A3" s="3165" t="s">
        <v>239</v>
      </c>
      <c r="B3" s="3167" t="s">
        <v>240</v>
      </c>
      <c r="C3" s="3166" t="s">
        <v>241</v>
      </c>
      <c r="D3" s="3160" t="s">
        <v>242</v>
      </c>
      <c r="E3" s="3160" t="s">
        <v>124</v>
      </c>
      <c r="F3" s="3160" t="s">
        <v>160</v>
      </c>
      <c r="G3" s="3160">
        <v>40</v>
      </c>
      <c r="H3" s="3160" t="s">
        <v>160</v>
      </c>
      <c r="I3" s="3160" t="s">
        <v>243</v>
      </c>
      <c r="J3" s="3160" t="s">
        <v>244</v>
      </c>
      <c r="K3" s="3160" t="s">
        <v>245</v>
      </c>
      <c r="L3" s="3160" t="s">
        <v>245</v>
      </c>
      <c r="M3" s="3160" t="s">
        <v>245</v>
      </c>
      <c r="N3" s="3160" t="s">
        <v>245</v>
      </c>
      <c r="O3" s="3160" t="s">
        <v>245</v>
      </c>
      <c r="P3" s="3160" t="s">
        <v>245</v>
      </c>
      <c r="Q3" s="3160" t="s">
        <v>245</v>
      </c>
      <c r="R3" s="3160" t="s">
        <v>246</v>
      </c>
      <c r="S3" s="3160" t="s">
        <v>245</v>
      </c>
      <c r="T3" s="3160" t="s">
        <v>247</v>
      </c>
      <c r="U3" s="3160" t="s">
        <v>245</v>
      </c>
      <c r="V3" s="3160" t="s">
        <v>248</v>
      </c>
      <c r="W3" s="3160" t="s">
        <v>245</v>
      </c>
    </row>
    <row r="4" spans="1:23">
      <c r="A4" s="3165" t="s">
        <v>249</v>
      </c>
      <c r="B4" s="3165" t="s">
        <v>250</v>
      </c>
      <c r="C4" s="3166" t="s">
        <v>251</v>
      </c>
      <c r="D4" s="3160" t="s">
        <v>124</v>
      </c>
      <c r="E4" s="3160" t="s">
        <v>252</v>
      </c>
      <c r="F4" s="3160" t="s">
        <v>161</v>
      </c>
      <c r="G4" s="3160">
        <v>50</v>
      </c>
      <c r="H4" s="3160" t="s">
        <v>161</v>
      </c>
      <c r="I4" s="3160" t="s">
        <v>253</v>
      </c>
      <c r="K4" s="3160" t="s">
        <v>254</v>
      </c>
      <c r="L4" s="3160" t="s">
        <v>254</v>
      </c>
      <c r="M4" s="3160" t="s">
        <v>254</v>
      </c>
      <c r="N4" s="3160" t="s">
        <v>254</v>
      </c>
      <c r="O4" s="3160" t="s">
        <v>254</v>
      </c>
      <c r="P4" s="3160" t="s">
        <v>254</v>
      </c>
      <c r="Q4" s="3160" t="s">
        <v>254</v>
      </c>
      <c r="R4" s="3160" t="s">
        <v>255</v>
      </c>
      <c r="S4" s="3160" t="s">
        <v>254</v>
      </c>
      <c r="T4" s="3160" t="s">
        <v>256</v>
      </c>
      <c r="U4" s="3160" t="s">
        <v>254</v>
      </c>
      <c r="W4" s="3160" t="s">
        <v>254</v>
      </c>
    </row>
    <row r="5" spans="1:23">
      <c r="A5" s="3165" t="s">
        <v>257</v>
      </c>
      <c r="B5" s="3165" t="s">
        <v>258</v>
      </c>
      <c r="C5" s="3166" t="s">
        <v>259</v>
      </c>
      <c r="F5" s="3160" t="s">
        <v>162</v>
      </c>
      <c r="G5" s="3160">
        <v>70</v>
      </c>
      <c r="H5" s="3160" t="s">
        <v>260</v>
      </c>
      <c r="I5" s="3160" t="s">
        <v>261</v>
      </c>
      <c r="K5" s="3160" t="s">
        <v>262</v>
      </c>
      <c r="L5" s="3160" t="s">
        <v>262</v>
      </c>
      <c r="M5" s="3160" t="s">
        <v>262</v>
      </c>
      <c r="N5" s="3160" t="s">
        <v>262</v>
      </c>
      <c r="O5" s="3160" t="s">
        <v>262</v>
      </c>
      <c r="P5" s="3160" t="s">
        <v>262</v>
      </c>
      <c r="Q5" s="3160" t="s">
        <v>262</v>
      </c>
      <c r="R5" s="3160" t="s">
        <v>263</v>
      </c>
      <c r="S5" s="3160" t="s">
        <v>262</v>
      </c>
      <c r="T5" s="3160" t="s">
        <v>264</v>
      </c>
      <c r="U5" s="3160" t="s">
        <v>262</v>
      </c>
      <c r="W5" s="3160" t="s">
        <v>262</v>
      </c>
    </row>
    <row r="6" spans="1:23">
      <c r="A6" s="3165" t="s">
        <v>265</v>
      </c>
      <c r="B6" s="3167" t="s">
        <v>266</v>
      </c>
      <c r="C6" s="3168" t="s">
        <v>267</v>
      </c>
      <c r="F6" s="3160" t="s">
        <v>260</v>
      </c>
      <c r="H6" s="3160" t="s">
        <v>164</v>
      </c>
      <c r="I6" s="3160" t="s">
        <v>268</v>
      </c>
      <c r="K6" s="3160" t="s">
        <v>269</v>
      </c>
      <c r="L6" s="3160" t="s">
        <v>269</v>
      </c>
      <c r="M6" s="3160" t="s">
        <v>269</v>
      </c>
      <c r="N6" s="3160" t="s">
        <v>269</v>
      </c>
      <c r="O6" s="3160" t="s">
        <v>269</v>
      </c>
      <c r="P6" s="3160" t="s">
        <v>269</v>
      </c>
      <c r="Q6" s="3160" t="s">
        <v>269</v>
      </c>
      <c r="R6" s="3160" t="s">
        <v>270</v>
      </c>
      <c r="S6" s="3160" t="s">
        <v>269</v>
      </c>
      <c r="T6" s="3160"/>
      <c r="U6" s="3160" t="s">
        <v>269</v>
      </c>
      <c r="W6" s="3160" t="s">
        <v>269</v>
      </c>
    </row>
    <row r="7" spans="1:23">
      <c r="A7" s="3165" t="s">
        <v>271</v>
      </c>
      <c r="B7" s="3167" t="s">
        <v>272</v>
      </c>
      <c r="C7" s="3166" t="s">
        <v>273</v>
      </c>
      <c r="F7" s="3160" t="s">
        <v>274</v>
      </c>
      <c r="H7" s="3160" t="s">
        <v>162</v>
      </c>
      <c r="I7" s="3160" t="s">
        <v>275</v>
      </c>
    </row>
    <row r="8" spans="1:23">
      <c r="A8" s="3165" t="s">
        <v>276</v>
      </c>
      <c r="B8" s="3165" t="s">
        <v>277</v>
      </c>
      <c r="C8" s="3166" t="s">
        <v>278</v>
      </c>
      <c r="F8" s="3160" t="s">
        <v>279</v>
      </c>
      <c r="H8" s="3160" t="s">
        <v>280</v>
      </c>
      <c r="I8" s="3160" t="s">
        <v>281</v>
      </c>
    </row>
    <row r="9" spans="1:23">
      <c r="A9" s="3165" t="s">
        <v>282</v>
      </c>
      <c r="B9" s="3165" t="s">
        <v>283</v>
      </c>
      <c r="C9" s="3166" t="s">
        <v>284</v>
      </c>
      <c r="F9" s="3160" t="s">
        <v>164</v>
      </c>
      <c r="H9" s="3160"/>
      <c r="I9" s="3159" t="s">
        <v>285</v>
      </c>
    </row>
    <row r="10" spans="1:23">
      <c r="A10" s="3165" t="s">
        <v>286</v>
      </c>
      <c r="B10" s="3165" t="s">
        <v>287</v>
      </c>
      <c r="C10" s="3166" t="s">
        <v>288</v>
      </c>
      <c r="F10" s="3160" t="s">
        <v>280</v>
      </c>
      <c r="I10" s="3159" t="s">
        <v>289</v>
      </c>
    </row>
    <row r="11" spans="1:23">
      <c r="A11" s="3165" t="s">
        <v>290</v>
      </c>
      <c r="B11" s="3165" t="s">
        <v>291</v>
      </c>
      <c r="C11" s="3166" t="s">
        <v>292</v>
      </c>
      <c r="F11" s="3160" t="s">
        <v>124</v>
      </c>
      <c r="I11" s="3159" t="s">
        <v>293</v>
      </c>
    </row>
    <row r="12" spans="1:23">
      <c r="A12" s="3165" t="s">
        <v>294</v>
      </c>
      <c r="B12" s="3165" t="s">
        <v>295</v>
      </c>
      <c r="C12" s="3166" t="s">
        <v>296</v>
      </c>
      <c r="I12" s="3159" t="s">
        <v>297</v>
      </c>
    </row>
    <row r="13" spans="1:23">
      <c r="A13" s="3165" t="s">
        <v>298</v>
      </c>
      <c r="B13" s="3165" t="s">
        <v>299</v>
      </c>
      <c r="C13" s="3166" t="s">
        <v>300</v>
      </c>
      <c r="I13" s="3159" t="s">
        <v>301</v>
      </c>
    </row>
    <row r="14" spans="1:23">
      <c r="A14" s="3165" t="s">
        <v>302</v>
      </c>
      <c r="B14" s="3165" t="s">
        <v>303</v>
      </c>
      <c r="C14" s="3160" t="s">
        <v>124</v>
      </c>
      <c r="I14" s="3159" t="s">
        <v>304</v>
      </c>
    </row>
    <row r="15" spans="1:23">
      <c r="A15" s="3165" t="s">
        <v>305</v>
      </c>
      <c r="B15" s="3165" t="s">
        <v>306</v>
      </c>
      <c r="C15" s="3166"/>
      <c r="I15" s="3159" t="s">
        <v>307</v>
      </c>
    </row>
    <row r="16" spans="1:23">
      <c r="A16" s="3165" t="s">
        <v>308</v>
      </c>
      <c r="B16" s="3165" t="s">
        <v>309</v>
      </c>
      <c r="C16" s="3166"/>
    </row>
    <row r="17" spans="1:3">
      <c r="A17" s="3165" t="s">
        <v>310</v>
      </c>
      <c r="B17" s="3165" t="s">
        <v>311</v>
      </c>
      <c r="C17" s="3166"/>
    </row>
    <row r="18" spans="1:3">
      <c r="A18" s="3165" t="s">
        <v>312</v>
      </c>
      <c r="B18" s="3165" t="s">
        <v>313</v>
      </c>
      <c r="C18" s="3166"/>
    </row>
    <row r="19" spans="1:3">
      <c r="A19" s="3165" t="s">
        <v>314</v>
      </c>
      <c r="B19" s="3165" t="s">
        <v>315</v>
      </c>
      <c r="C19" s="3166"/>
    </row>
    <row r="20" spans="1:3">
      <c r="A20" s="3165" t="s">
        <v>316</v>
      </c>
      <c r="B20" s="3165" t="s">
        <v>315</v>
      </c>
      <c r="C20" s="3166"/>
    </row>
    <row r="21" spans="1:3">
      <c r="A21" s="3165" t="s">
        <v>260</v>
      </c>
      <c r="B21" s="3165" t="s">
        <v>315</v>
      </c>
      <c r="C21" s="3166"/>
    </row>
    <row r="22" spans="1:3">
      <c r="A22" s="3165" t="s">
        <v>317</v>
      </c>
      <c r="B22" s="3165" t="s">
        <v>315</v>
      </c>
      <c r="C22" s="3166"/>
    </row>
    <row r="23" spans="1:3">
      <c r="A23" s="3165" t="s">
        <v>318</v>
      </c>
      <c r="B23" s="3165" t="s">
        <v>315</v>
      </c>
      <c r="C23" s="3166"/>
    </row>
    <row r="24" spans="1:3">
      <c r="A24" s="3165" t="s">
        <v>319</v>
      </c>
      <c r="B24" s="3165" t="s">
        <v>315</v>
      </c>
      <c r="C24" s="3166"/>
    </row>
    <row r="25" spans="1:3">
      <c r="A25" s="3165" t="s">
        <v>320</v>
      </c>
      <c r="B25" s="3165" t="s">
        <v>315</v>
      </c>
      <c r="C25" s="3166"/>
    </row>
    <row r="26" spans="1:3">
      <c r="A26" s="3165" t="s">
        <v>321</v>
      </c>
      <c r="B26" s="3165" t="s">
        <v>315</v>
      </c>
      <c r="C26" s="3166"/>
    </row>
    <row r="27" spans="1:3">
      <c r="A27" s="3165" t="s">
        <v>315</v>
      </c>
      <c r="B27" s="3165" t="s">
        <v>315</v>
      </c>
      <c r="C27" s="3166"/>
    </row>
    <row r="28" spans="1:3">
      <c r="A28" s="3165" t="s">
        <v>315</v>
      </c>
      <c r="B28" s="3165" t="s">
        <v>315</v>
      </c>
      <c r="C28" s="3166"/>
    </row>
    <row r="29" spans="1:3">
      <c r="A29" s="3165" t="s">
        <v>315</v>
      </c>
      <c r="B29" s="3165" t="s">
        <v>315</v>
      </c>
      <c r="C29" s="3166"/>
    </row>
    <row r="30" spans="1:3">
      <c r="A30" s="3165" t="s">
        <v>315</v>
      </c>
      <c r="B30" s="3165" t="s">
        <v>315</v>
      </c>
      <c r="C30" s="3166"/>
    </row>
    <row r="31" spans="1:3">
      <c r="A31" s="3165" t="s">
        <v>315</v>
      </c>
      <c r="B31" s="3165" t="s">
        <v>315</v>
      </c>
      <c r="C31" s="3166"/>
    </row>
    <row r="32" spans="1:3">
      <c r="A32" s="3165" t="s">
        <v>315</v>
      </c>
      <c r="B32" s="3165" t="s">
        <v>315</v>
      </c>
      <c r="C32" s="3166"/>
    </row>
    <row r="33" spans="1:3">
      <c r="A33" s="3165" t="s">
        <v>315</v>
      </c>
      <c r="B33" s="3165" t="s">
        <v>315</v>
      </c>
      <c r="C33" s="3166"/>
    </row>
    <row r="34" spans="1:3">
      <c r="A34" s="3165" t="s">
        <v>315</v>
      </c>
      <c r="B34" s="3165" t="s">
        <v>315</v>
      </c>
      <c r="C34" s="3166"/>
    </row>
    <row r="35" spans="1:3">
      <c r="A35" s="3165" t="s">
        <v>315</v>
      </c>
      <c r="B35" s="3165" t="s">
        <v>315</v>
      </c>
      <c r="C35" s="3166"/>
    </row>
    <row r="36" spans="1:3">
      <c r="A36" s="3165" t="s">
        <v>315</v>
      </c>
      <c r="B36" s="3165" t="s">
        <v>315</v>
      </c>
      <c r="C36" s="3166"/>
    </row>
    <row r="37" spans="1:3">
      <c r="A37" s="3165" t="s">
        <v>315</v>
      </c>
      <c r="B37" s="3165" t="s">
        <v>315</v>
      </c>
      <c r="C37" s="3166"/>
    </row>
    <row r="38" spans="1:3">
      <c r="A38" s="3165" t="s">
        <v>315</v>
      </c>
      <c r="B38" s="3165" t="s">
        <v>315</v>
      </c>
      <c r="C38" s="3166"/>
    </row>
    <row r="39" spans="1:3">
      <c r="A39" s="3165" t="s">
        <v>315</v>
      </c>
      <c r="B39" s="3165" t="s">
        <v>315</v>
      </c>
      <c r="C39" s="3166"/>
    </row>
    <row r="40" spans="1:3">
      <c r="A40" s="3165" t="s">
        <v>315</v>
      </c>
      <c r="B40" s="3165" t="s">
        <v>315</v>
      </c>
      <c r="C40" s="3166"/>
    </row>
    <row r="41" spans="1:3">
      <c r="A41" s="3165" t="s">
        <v>315</v>
      </c>
      <c r="B41" s="3165" t="s">
        <v>315</v>
      </c>
      <c r="C41" s="3166"/>
    </row>
    <row r="42" spans="1:3">
      <c r="A42" s="3165" t="s">
        <v>315</v>
      </c>
      <c r="B42" s="3165" t="s">
        <v>315</v>
      </c>
      <c r="C42" s="3166"/>
    </row>
    <row r="43" spans="1:3">
      <c r="A43" s="3165" t="s">
        <v>315</v>
      </c>
      <c r="B43" s="3165" t="s">
        <v>315</v>
      </c>
      <c r="C43" s="3166"/>
    </row>
    <row r="44" spans="1:3">
      <c r="A44" s="3165" t="s">
        <v>315</v>
      </c>
      <c r="B44" s="3165" t="s">
        <v>315</v>
      </c>
      <c r="C44" s="3166"/>
    </row>
    <row r="45" spans="1:3">
      <c r="A45" s="3165" t="s">
        <v>315</v>
      </c>
      <c r="B45" s="3165" t="s">
        <v>315</v>
      </c>
      <c r="C45" s="3166"/>
    </row>
    <row r="46" spans="1:3">
      <c r="A46" s="3165" t="s">
        <v>315</v>
      </c>
      <c r="B46" s="3165" t="s">
        <v>315</v>
      </c>
      <c r="C46" s="3166"/>
    </row>
    <row r="47" spans="1:3">
      <c r="A47" s="3165" t="s">
        <v>315</v>
      </c>
      <c r="B47" s="3165" t="s">
        <v>315</v>
      </c>
      <c r="C47" s="3166"/>
    </row>
    <row r="48" spans="1:3">
      <c r="A48" s="3165" t="s">
        <v>315</v>
      </c>
      <c r="B48" s="3165" t="s">
        <v>315</v>
      </c>
      <c r="C48" s="3166"/>
    </row>
    <row r="49" spans="1:4">
      <c r="A49" s="3165" t="s">
        <v>315</v>
      </c>
      <c r="B49" s="3165" t="s">
        <v>315</v>
      </c>
      <c r="C49" s="3166"/>
    </row>
    <row r="50" spans="1:4">
      <c r="A50" s="3165" t="s">
        <v>315</v>
      </c>
      <c r="B50" s="3165" t="s">
        <v>315</v>
      </c>
      <c r="C50" s="3166"/>
    </row>
    <row r="51" spans="1:4">
      <c r="A51" s="3169" t="s">
        <v>322</v>
      </c>
      <c r="B51" s="31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9" t="s">
        <v>323</v>
      </c>
    </row>
    <row r="52" spans="1:4">
      <c r="A52" s="3169" t="s">
        <v>324</v>
      </c>
      <c r="B52" s="3169" t="s">
        <v>325</v>
      </c>
      <c r="C52" s="3159" t="s">
        <v>326</v>
      </c>
      <c r="D52" s="3159" t="s">
        <v>327</v>
      </c>
    </row>
    <row r="53" spans="1:4">
      <c r="A53" s="3329" t="s">
        <v>328</v>
      </c>
      <c r="B53" s="3169" t="s">
        <v>329</v>
      </c>
      <c r="C53" s="3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9"/>
      <c r="B54" s="3169" t="s">
        <v>330</v>
      </c>
      <c r="C54" s="3159" t="s">
        <v>331</v>
      </c>
    </row>
    <row r="55" spans="1:4">
      <c r="A55" s="3329"/>
      <c r="B55" s="3169" t="s">
        <v>332</v>
      </c>
      <c r="C55" s="3159" t="s">
        <v>333</v>
      </c>
    </row>
    <row r="56" spans="1:4">
      <c r="A56" s="3329"/>
      <c r="B56" s="3169" t="s">
        <v>334</v>
      </c>
      <c r="C56" s="3159" t="s">
        <v>335</v>
      </c>
    </row>
    <row r="57" spans="1:4">
      <c r="A57" s="3329"/>
      <c r="B57" s="3169" t="s">
        <v>336</v>
      </c>
      <c r="C57" s="3159" t="s">
        <v>337</v>
      </c>
    </row>
    <row r="58" spans="1:4">
      <c r="A58" s="3160"/>
      <c r="B58" s="3159"/>
    </row>
    <row r="59" spans="1:4">
      <c r="A59" s="3160"/>
      <c r="B59" s="3159"/>
    </row>
    <row r="60" spans="1:4">
      <c r="A60" s="3160"/>
      <c r="B60" s="3159"/>
    </row>
    <row r="61" spans="1:4">
      <c r="A61" s="3160"/>
      <c r="B61" s="3159"/>
    </row>
    <row r="62" spans="1:4">
      <c r="A62" s="3160"/>
      <c r="B62" s="3159"/>
    </row>
    <row r="63" spans="1:4">
      <c r="A63" s="3160"/>
      <c r="B63" s="3159"/>
    </row>
    <row r="64" spans="1:4">
      <c r="A64" s="3160"/>
      <c r="B64" s="3159"/>
    </row>
    <row r="65" spans="1:2">
      <c r="A65" s="3160"/>
      <c r="B65" s="3159"/>
    </row>
    <row r="66" spans="1:2">
      <c r="A66" s="3160"/>
      <c r="B66" s="3159"/>
    </row>
    <row r="67" spans="1:2">
      <c r="A67" s="3160"/>
      <c r="B67" s="3159"/>
    </row>
    <row r="68" spans="1:2">
      <c r="A68" s="3160"/>
      <c r="B68" s="3159"/>
    </row>
    <row r="69" spans="1:2">
      <c r="A69" s="3160"/>
      <c r="B69" s="3159"/>
    </row>
    <row r="70" spans="1:2">
      <c r="A70" s="3160"/>
      <c r="B70" s="3159"/>
    </row>
    <row r="71" spans="1:2">
      <c r="A71" s="3160"/>
      <c r="B71" s="3159"/>
    </row>
    <row r="72" spans="1:2">
      <c r="A72" s="3160"/>
      <c r="B72" s="3159"/>
    </row>
    <row r="73" spans="1:2">
      <c r="A73" s="3160"/>
      <c r="B73" s="3159"/>
    </row>
    <row r="74" spans="1:2">
      <c r="A74" s="3160"/>
      <c r="B74" s="3159"/>
    </row>
    <row r="75" spans="1:2">
      <c r="A75" s="3160"/>
      <c r="B75" s="3159"/>
    </row>
    <row r="76" spans="1:2">
      <c r="A76" s="3160"/>
      <c r="B76" s="3159"/>
    </row>
    <row r="77" spans="1:2">
      <c r="A77" s="3160"/>
      <c r="B77" s="3159"/>
    </row>
    <row r="78" spans="1:2">
      <c r="A78" s="3160"/>
      <c r="B78" s="3159"/>
    </row>
    <row r="79" spans="1:2">
      <c r="A79" s="3160"/>
      <c r="B79" s="3159"/>
    </row>
    <row r="80" spans="1:2">
      <c r="A80" s="3160"/>
      <c r="B80" s="3159"/>
    </row>
    <row r="81" spans="1:2">
      <c r="A81" s="3160"/>
      <c r="B81" s="3159"/>
    </row>
    <row r="82" spans="1:2">
      <c r="A82" s="3160"/>
      <c r="B82" s="3159"/>
    </row>
    <row r="83" spans="1:2">
      <c r="A83" s="3160"/>
      <c r="B83" s="3159"/>
    </row>
    <row r="84" spans="1:2">
      <c r="A84" s="3160"/>
      <c r="B84" s="3159"/>
    </row>
    <row r="85" spans="1:2">
      <c r="A85" s="3160"/>
      <c r="B85" s="3159"/>
    </row>
    <row r="86" spans="1:2">
      <c r="A86" s="3160"/>
      <c r="B86" s="3159"/>
    </row>
    <row r="87" spans="1:2">
      <c r="A87" s="3160"/>
      <c r="B87" s="3159"/>
    </row>
    <row r="88" spans="1:2">
      <c r="A88" s="3160"/>
      <c r="B88" s="3159"/>
    </row>
    <row r="89" spans="1:2">
      <c r="A89" s="3160"/>
      <c r="B89" s="3159"/>
    </row>
    <row r="90" spans="1:2">
      <c r="A90" s="3160"/>
      <c r="B90" s="3159"/>
    </row>
    <row r="91" spans="1:2">
      <c r="A91" s="3160"/>
      <c r="B91" s="3159"/>
    </row>
    <row r="92" spans="1:2">
      <c r="A92" s="3160"/>
      <c r="B92" s="3159"/>
    </row>
    <row r="93" spans="1:2">
      <c r="A93" s="3160"/>
      <c r="B93" s="3159"/>
    </row>
    <row r="94" spans="1:2">
      <c r="A94" s="3160"/>
      <c r="B94" s="3159"/>
    </row>
    <row r="95" spans="1:2">
      <c r="A95" s="3160"/>
      <c r="B95" s="3159"/>
    </row>
    <row r="96" spans="1:2">
      <c r="A96" s="3160"/>
      <c r="B96" s="3159"/>
    </row>
    <row r="97" spans="1:2">
      <c r="A97" s="3160"/>
      <c r="B97" s="3159"/>
    </row>
    <row r="98" spans="1:2">
      <c r="A98" s="3160"/>
      <c r="B98" s="3159"/>
    </row>
    <row r="99" spans="1:2">
      <c r="A99" s="3160"/>
      <c r="B99" s="3159"/>
    </row>
    <row r="100" spans="1:2">
      <c r="A100" s="3160"/>
      <c r="B100" s="3159"/>
    </row>
    <row r="101" spans="1:2">
      <c r="A101" s="3160"/>
      <c r="B101" s="3159"/>
    </row>
    <row r="102" spans="1:2">
      <c r="A102" s="3160"/>
      <c r="B102" s="3159"/>
    </row>
    <row r="103" spans="1:2">
      <c r="A103" s="3160"/>
      <c r="B103" s="3159"/>
    </row>
    <row r="104" spans="1:2">
      <c r="A104" s="3160"/>
      <c r="B104" s="3159"/>
    </row>
    <row r="105" spans="1:2">
      <c r="A105" s="3160"/>
      <c r="B105" s="3159"/>
    </row>
    <row r="106" spans="1:2">
      <c r="A106" s="3160"/>
      <c r="B106" s="3159"/>
    </row>
    <row r="107" spans="1:2">
      <c r="A107" s="3160"/>
      <c r="B107" s="3159"/>
    </row>
    <row r="108" spans="1:2">
      <c r="A108" s="3160"/>
      <c r="B108" s="3159"/>
    </row>
    <row r="109" spans="1:2">
      <c r="A109" s="3160"/>
      <c r="B109" s="3159"/>
    </row>
    <row r="110" spans="1:2">
      <c r="A110" s="3160"/>
      <c r="B110" s="3159"/>
    </row>
    <row r="111" spans="1:2">
      <c r="A111" s="3160"/>
      <c r="B111" s="3159"/>
    </row>
    <row r="112" spans="1:2">
      <c r="A112" s="3160"/>
      <c r="B112" s="3159"/>
    </row>
    <row r="113" spans="1:2">
      <c r="A113" s="3160"/>
      <c r="B113" s="3159"/>
    </row>
    <row r="114" spans="1:2">
      <c r="A114" s="3160"/>
      <c r="B114" s="3159"/>
    </row>
    <row r="115" spans="1:2">
      <c r="A115" s="3160"/>
      <c r="B115" s="3159"/>
    </row>
    <row r="116" spans="1:2">
      <c r="A116" s="3160"/>
      <c r="B116" s="3159"/>
    </row>
    <row r="117" spans="1:2">
      <c r="A117" s="3160"/>
      <c r="B117" s="3159"/>
    </row>
    <row r="118" spans="1:2">
      <c r="A118" s="3160"/>
      <c r="B118" s="3159"/>
    </row>
    <row r="119" spans="1:2">
      <c r="A119" s="3160"/>
      <c r="B119" s="3159"/>
    </row>
    <row r="120" spans="1:2">
      <c r="A120" s="3160"/>
      <c r="B120" s="3159"/>
    </row>
    <row r="121" spans="1:2">
      <c r="A121" s="3160"/>
      <c r="B121" s="3159"/>
    </row>
    <row r="122" spans="1:2">
      <c r="A122" s="3160"/>
      <c r="B122" s="3159"/>
    </row>
    <row r="123" spans="1:2">
      <c r="A123" s="3160"/>
      <c r="B123" s="3159"/>
    </row>
    <row r="124" spans="1:2">
      <c r="A124" s="3160"/>
      <c r="B124" s="3159"/>
    </row>
    <row r="125" spans="1:2">
      <c r="A125" s="3160"/>
      <c r="B125" s="3159"/>
    </row>
    <row r="126" spans="1:2">
      <c r="A126" s="3160"/>
      <c r="B126" s="3159"/>
    </row>
    <row r="127" spans="1:2">
      <c r="A127" s="3160"/>
      <c r="B127" s="3159"/>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103"/>
    <col min="8" max="8" width="5.5" style="3103" customWidth="1"/>
    <col min="9" max="13" width="9.5" style="3104" customWidth="1"/>
    <col min="14" max="18" width="9.5" style="3103" customWidth="1"/>
    <col min="19" max="16384" width="15.25" style="3103"/>
  </cols>
  <sheetData>
    <row r="1" spans="1:18">
      <c r="A1" s="3105" t="s">
        <v>338</v>
      </c>
      <c r="B1" s="3106"/>
      <c r="C1" s="3106"/>
      <c r="D1" s="3106"/>
      <c r="E1" s="3106"/>
      <c r="F1" s="3107"/>
      <c r="I1" s="3153" t="s">
        <v>339</v>
      </c>
      <c r="J1" s="74"/>
      <c r="K1" s="74"/>
      <c r="L1" s="74"/>
      <c r="M1" s="74"/>
      <c r="N1" s="298"/>
      <c r="O1" s="298"/>
      <c r="P1" s="298"/>
      <c r="Q1" s="298"/>
      <c r="R1" s="298"/>
    </row>
    <row r="2" spans="1:18">
      <c r="A2" s="3108"/>
      <c r="B2" s="3109"/>
      <c r="C2" s="3109"/>
      <c r="D2" s="3109"/>
      <c r="E2" s="3109"/>
      <c r="F2" s="3110"/>
      <c r="I2" s="3330" t="s">
        <v>340</v>
      </c>
      <c r="J2" s="3330"/>
      <c r="K2" s="3330"/>
      <c r="L2" s="3330"/>
      <c r="M2" s="3330"/>
      <c r="N2" s="3330"/>
      <c r="O2" s="3330"/>
      <c r="P2" s="3330"/>
      <c r="Q2" s="3330"/>
      <c r="R2" s="3330"/>
    </row>
    <row r="3" spans="1:18">
      <c r="A3" s="446" t="s">
        <v>341</v>
      </c>
      <c r="B3" s="3111">
        <f>项目基本情况!D3</f>
        <v>45798</v>
      </c>
      <c r="C3" s="447"/>
      <c r="D3" s="447"/>
      <c r="E3" s="447"/>
      <c r="F3" s="3110"/>
      <c r="I3" s="3125"/>
      <c r="J3" s="3125" t="s">
        <v>342</v>
      </c>
      <c r="K3" s="3125" t="s">
        <v>343</v>
      </c>
      <c r="L3" s="3125" t="s">
        <v>344</v>
      </c>
      <c r="M3" s="3125" t="s">
        <v>345</v>
      </c>
      <c r="N3" s="3154" t="s">
        <v>346</v>
      </c>
      <c r="O3" s="3154" t="s">
        <v>347</v>
      </c>
      <c r="P3" s="3154" t="s">
        <v>348</v>
      </c>
      <c r="Q3" s="3154" t="s">
        <v>349</v>
      </c>
      <c r="R3" s="3154" t="s">
        <v>350</v>
      </c>
    </row>
    <row r="4" spans="1:18">
      <c r="A4" s="446" t="s">
        <v>351</v>
      </c>
      <c r="B4" s="447" t="s">
        <v>352</v>
      </c>
      <c r="C4" s="447" t="s">
        <v>353</v>
      </c>
      <c r="D4" s="447" t="s">
        <v>354</v>
      </c>
      <c r="E4" s="447" t="s">
        <v>355</v>
      </c>
      <c r="F4" s="3110"/>
      <c r="I4" s="3125" t="s">
        <v>356</v>
      </c>
      <c r="J4" s="3125">
        <v>80</v>
      </c>
      <c r="K4" s="3125">
        <v>70</v>
      </c>
      <c r="L4" s="3125">
        <v>20</v>
      </c>
      <c r="M4" s="3125">
        <v>30</v>
      </c>
      <c r="N4" s="447">
        <v>45</v>
      </c>
      <c r="O4" s="447">
        <v>60</v>
      </c>
      <c r="P4" s="447">
        <v>50</v>
      </c>
      <c r="Q4" s="447">
        <v>20</v>
      </c>
      <c r="R4" s="447">
        <v>375</v>
      </c>
    </row>
    <row r="5" spans="1:18">
      <c r="A5" s="3112">
        <v>40</v>
      </c>
      <c r="B5" s="3111">
        <v>46375</v>
      </c>
      <c r="C5" s="447">
        <f>ROUNDDOWN(MIN((B5-B3)/365,A5),2)</f>
        <v>1.58</v>
      </c>
      <c r="D5" s="3113">
        <f>IF(ISERROR(ROUND(POWER(1+E5,A5-C5)*(POWER(1+E5,C5)-1)/(POWER(1+E5,A5)-1),3)),0,ROUND(POWER(1+E5,A5-C5)*(POWER(1+E5,C5)-1)/(POWER(1+E5,A5)-1),4))</f>
        <v>7.5899999999999995E-2</v>
      </c>
      <c r="E5" s="3114">
        <v>0.04</v>
      </c>
      <c r="F5" s="3110"/>
      <c r="I5" s="3125" t="s">
        <v>357</v>
      </c>
      <c r="J5" s="3125">
        <v>70</v>
      </c>
      <c r="K5" s="3125">
        <v>60</v>
      </c>
      <c r="L5" s="3125">
        <v>15</v>
      </c>
      <c r="M5" s="3125">
        <v>25</v>
      </c>
      <c r="N5" s="447">
        <v>40</v>
      </c>
      <c r="O5" s="447">
        <v>50</v>
      </c>
      <c r="P5" s="447">
        <v>40</v>
      </c>
      <c r="Q5" s="447">
        <v>15</v>
      </c>
      <c r="R5" s="447">
        <v>315</v>
      </c>
    </row>
    <row r="6" spans="1:18">
      <c r="A6" s="3112">
        <v>50</v>
      </c>
      <c r="B6" s="3111">
        <v>50028</v>
      </c>
      <c r="C6" s="447">
        <f>ROUNDDOWN(MIN((B6-B3)/365,A6),2)</f>
        <v>11.58</v>
      </c>
      <c r="D6" s="3113">
        <f>IF(ISERROR(ROUND(POWER(1+E6,A6-C6)*(POWER(1+E6,C6)-1)/(POWER(1+E6,A6)-1),3)),0,ROUND(POWER(1+E6,A6-C6)*(POWER(1+E6,C6)-1)/(POWER(1+E6,A6)-1),4))</f>
        <v>0.42480000000000001</v>
      </c>
      <c r="E6" s="3114">
        <v>0.04</v>
      </c>
      <c r="F6" s="3110"/>
      <c r="I6" s="3125" t="s">
        <v>358</v>
      </c>
      <c r="J6" s="3125">
        <v>60</v>
      </c>
      <c r="K6" s="3125">
        <v>50</v>
      </c>
      <c r="L6" s="3125">
        <v>10</v>
      </c>
      <c r="M6" s="3125">
        <v>20</v>
      </c>
      <c r="N6" s="447">
        <v>35</v>
      </c>
      <c r="O6" s="447">
        <v>40</v>
      </c>
      <c r="P6" s="447">
        <v>30</v>
      </c>
      <c r="Q6" s="447">
        <v>10</v>
      </c>
      <c r="R6" s="447">
        <v>255</v>
      </c>
    </row>
    <row r="7" spans="1:18">
      <c r="A7" s="3112">
        <v>70</v>
      </c>
      <c r="B7" s="3111">
        <v>57333</v>
      </c>
      <c r="C7" s="447">
        <f>ROUNDDOWN(MIN((B7-B3)/365,A7),2)</f>
        <v>31.6</v>
      </c>
      <c r="D7" s="3113">
        <f>IF(ISERROR(ROUND(POWER(1+E7,A7-C7)*(POWER(1+E7,C7)-1)/(POWER(1+E7,A7)-1),3)),0,ROUND(POWER(1+E7,A7-C7)*(POWER(1+E7,C7)-1)/(POWER(1+E7,A7)-1),4))</f>
        <v>0.75919999999999999</v>
      </c>
      <c r="E7" s="3114">
        <v>0.04</v>
      </c>
      <c r="F7" s="3110"/>
    </row>
    <row r="8" spans="1:18">
      <c r="A8" s="3108"/>
      <c r="B8" s="3109"/>
      <c r="C8" s="3109"/>
      <c r="D8" s="3109"/>
      <c r="E8" s="3109"/>
      <c r="F8" s="3110"/>
    </row>
    <row r="9" spans="1:18">
      <c r="A9" s="446" t="s">
        <v>359</v>
      </c>
      <c r="B9" s="447"/>
      <c r="C9" s="447"/>
      <c r="D9" s="447"/>
      <c r="E9" s="447"/>
      <c r="F9" s="489"/>
    </row>
    <row r="10" spans="1:18">
      <c r="A10" s="446" t="s">
        <v>360</v>
      </c>
      <c r="B10" s="447"/>
      <c r="C10" s="447"/>
      <c r="D10" s="447" t="s">
        <v>355</v>
      </c>
      <c r="E10" s="447"/>
      <c r="F10" s="489" t="s">
        <v>354</v>
      </c>
    </row>
    <row r="11" spans="1:18">
      <c r="A11" s="446" t="s">
        <v>361</v>
      </c>
      <c r="B11" s="3115">
        <v>70</v>
      </c>
      <c r="C11" s="447" t="s">
        <v>362</v>
      </c>
      <c r="D11" s="3115">
        <v>4.4999999999999998E-2</v>
      </c>
      <c r="E11" s="447" t="s">
        <v>363</v>
      </c>
      <c r="F11" s="3116">
        <f>ROUND(1-(1/(POWER(1+D11,B11))),4)</f>
        <v>0.95409999999999995</v>
      </c>
    </row>
    <row r="12" spans="1:18">
      <c r="A12" s="446" t="s">
        <v>364</v>
      </c>
      <c r="B12" s="3115">
        <v>40</v>
      </c>
      <c r="C12" s="447" t="s">
        <v>365</v>
      </c>
      <c r="D12" s="3115">
        <v>4.4999999999999998E-2</v>
      </c>
      <c r="E12" s="447" t="s">
        <v>366</v>
      </c>
      <c r="F12" s="3116">
        <f>ROUND(1-(1/(POWER(1+D12,B12))),4)</f>
        <v>0.82809999999999995</v>
      </c>
    </row>
    <row r="13" spans="1:18">
      <c r="A13" s="446" t="s">
        <v>367</v>
      </c>
      <c r="B13" s="447"/>
      <c r="C13" s="447"/>
      <c r="D13" s="3109"/>
      <c r="E13" s="3109"/>
      <c r="F13" s="3110"/>
    </row>
    <row r="14" spans="1:18">
      <c r="A14" s="446" t="s">
        <v>368</v>
      </c>
      <c r="B14" s="3115">
        <v>5000</v>
      </c>
      <c r="C14" s="3117"/>
      <c r="D14" s="3109"/>
      <c r="E14" s="3109"/>
      <c r="F14" s="3110"/>
    </row>
    <row r="15" spans="1:18">
      <c r="A15" s="446" t="s">
        <v>369</v>
      </c>
      <c r="B15" s="447">
        <f>ROUND(B14*F12/F11,2)</f>
        <v>4339.6899999999996</v>
      </c>
      <c r="C15" s="447">
        <f>ROUND(F12/F11,4)</f>
        <v>0.8679</v>
      </c>
      <c r="D15" s="3109"/>
      <c r="E15" s="3109"/>
      <c r="F15" s="3110"/>
    </row>
    <row r="16" spans="1:18">
      <c r="A16" s="446" t="s">
        <v>370</v>
      </c>
      <c r="B16" s="447"/>
      <c r="C16" s="447"/>
      <c r="D16" s="3109"/>
      <c r="E16" s="3109"/>
      <c r="F16" s="3110"/>
    </row>
    <row r="17" spans="1:14">
      <c r="A17" s="446" t="s">
        <v>369</v>
      </c>
      <c r="B17" s="3115">
        <v>4810</v>
      </c>
      <c r="C17" s="3117"/>
      <c r="D17" s="3109"/>
      <c r="E17" s="3109"/>
      <c r="F17" s="3110"/>
    </row>
    <row r="18" spans="1:14">
      <c r="A18" s="3118" t="s">
        <v>368</v>
      </c>
      <c r="B18" s="492">
        <f>ROUND(B17*F11/F12,2)</f>
        <v>5541.87</v>
      </c>
      <c r="C18" s="492">
        <f>ROUND(F11/F12,4)</f>
        <v>1.1521999999999999</v>
      </c>
      <c r="D18" s="3119"/>
      <c r="E18" s="3119"/>
      <c r="F18" s="3120"/>
    </row>
    <row r="20" spans="1:14" s="3102" customFormat="1">
      <c r="A20" s="3121" t="s">
        <v>371</v>
      </c>
      <c r="B20" s="3122"/>
      <c r="C20" s="3122"/>
      <c r="D20" s="3122"/>
      <c r="E20" s="3122"/>
      <c r="F20" s="3122"/>
      <c r="G20" s="3123"/>
      <c r="I20" s="3155" t="s">
        <v>372</v>
      </c>
      <c r="J20" s="3155" t="s">
        <v>373</v>
      </c>
      <c r="K20" s="3155"/>
      <c r="L20" s="3155"/>
      <c r="M20" s="3155"/>
    </row>
    <row r="21" spans="1:14">
      <c r="A21" s="3124"/>
      <c r="B21" s="3125" t="s">
        <v>374</v>
      </c>
      <c r="C21" s="3125" t="s">
        <v>353</v>
      </c>
      <c r="D21" s="3125" t="s">
        <v>375</v>
      </c>
      <c r="E21" s="3125" t="s">
        <v>354</v>
      </c>
      <c r="F21" s="3125" t="s">
        <v>376</v>
      </c>
      <c r="G21" s="3126" t="s">
        <v>377</v>
      </c>
      <c r="I21" s="3104">
        <v>5</v>
      </c>
      <c r="J21" s="3104">
        <v>54.2</v>
      </c>
    </row>
    <row r="22" spans="1:14">
      <c r="A22" s="3124" t="s">
        <v>378</v>
      </c>
      <c r="B22" s="3127">
        <v>70</v>
      </c>
      <c r="C22" s="3127">
        <v>30</v>
      </c>
      <c r="D22" s="3128">
        <v>0.04</v>
      </c>
      <c r="E22" s="3125">
        <f>ROUND(POWER(1+D22,B22-C22)*(POWER(1+D22,C22)-1)/(POWER(1+D22,B22)-1),3)</f>
        <v>0.73899999999999999</v>
      </c>
      <c r="F22" s="3128">
        <v>0.7</v>
      </c>
      <c r="G22" s="3126">
        <f>ROUND(100*(1-(1-E22)*F22),1)</f>
        <v>81.7</v>
      </c>
      <c r="I22" s="3104">
        <v>10</v>
      </c>
      <c r="J22" s="3104">
        <v>65.400000000000006</v>
      </c>
      <c r="K22" s="3104">
        <f>J22-J21</f>
        <v>11.200000000000003</v>
      </c>
    </row>
    <row r="23" spans="1:14">
      <c r="A23" s="3124" t="s">
        <v>379</v>
      </c>
      <c r="B23" s="3127">
        <v>70</v>
      </c>
      <c r="C23" s="3127">
        <v>40</v>
      </c>
      <c r="D23" s="3128">
        <v>0.04</v>
      </c>
      <c r="E23" s="3125">
        <f t="shared" ref="E23:E25" si="0">ROUND(POWER(1+D23,B23-C23)*(POWER(1+D23,C23)-1)/(POWER(1+D23,B23)-1),3)</f>
        <v>0.84599999999999997</v>
      </c>
      <c r="F23" s="3128">
        <f>F22</f>
        <v>0.7</v>
      </c>
      <c r="G23" s="3126">
        <f t="shared" ref="G23:G25" si="1">ROUND(100*(1-(1-E23)*F23),1)</f>
        <v>89.2</v>
      </c>
      <c r="I23" s="3104">
        <v>15</v>
      </c>
      <c r="J23" s="3104">
        <v>74.099999999999994</v>
      </c>
      <c r="K23" s="3104">
        <f t="shared" ref="K23:K30" si="2">J23-J22</f>
        <v>8.6999999999999886</v>
      </c>
      <c r="L23" s="3104" t="s">
        <v>380</v>
      </c>
      <c r="N23" s="3156" t="s">
        <v>381</v>
      </c>
    </row>
    <row r="24" spans="1:14">
      <c r="A24" s="3124" t="s">
        <v>382</v>
      </c>
      <c r="B24" s="3127">
        <v>70</v>
      </c>
      <c r="C24" s="3127">
        <v>50</v>
      </c>
      <c r="D24" s="3128">
        <v>0.04</v>
      </c>
      <c r="E24" s="3125">
        <f t="shared" si="0"/>
        <v>0.91800000000000004</v>
      </c>
      <c r="F24" s="3128">
        <f>F23</f>
        <v>0.7</v>
      </c>
      <c r="G24" s="3126">
        <f t="shared" si="1"/>
        <v>94.3</v>
      </c>
      <c r="I24" s="3104">
        <v>20</v>
      </c>
      <c r="J24" s="3104">
        <v>81</v>
      </c>
      <c r="K24" s="3104">
        <f t="shared" si="2"/>
        <v>6.9000000000000057</v>
      </c>
      <c r="L24" s="3104" t="s">
        <v>383</v>
      </c>
      <c r="N24" s="3156">
        <v>10</v>
      </c>
    </row>
    <row r="25" spans="1:14">
      <c r="A25" s="3124" t="s">
        <v>384</v>
      </c>
      <c r="B25" s="3127">
        <v>70</v>
      </c>
      <c r="C25" s="3127">
        <v>60</v>
      </c>
      <c r="D25" s="3128">
        <v>0.04</v>
      </c>
      <c r="E25" s="3125">
        <f t="shared" si="0"/>
        <v>0.96699999999999997</v>
      </c>
      <c r="F25" s="3128">
        <f>F24</f>
        <v>0.7</v>
      </c>
      <c r="G25" s="3126">
        <f t="shared" si="1"/>
        <v>97.7</v>
      </c>
      <c r="I25" s="3104">
        <v>25</v>
      </c>
      <c r="J25" s="3104">
        <v>86.3</v>
      </c>
      <c r="K25" s="3104">
        <f t="shared" si="2"/>
        <v>5.2999999999999972</v>
      </c>
      <c r="L25" s="3104" t="s">
        <v>385</v>
      </c>
      <c r="N25" s="3156">
        <v>8</v>
      </c>
    </row>
    <row r="26" spans="1:14">
      <c r="A26" s="73"/>
      <c r="B26" s="74"/>
      <c r="C26" s="74"/>
      <c r="D26" s="74"/>
      <c r="E26" s="74"/>
      <c r="F26" s="74"/>
      <c r="G26" s="3129"/>
      <c r="I26" s="3104">
        <v>30</v>
      </c>
      <c r="J26" s="3104">
        <v>90.5</v>
      </c>
      <c r="K26" s="3104">
        <f t="shared" si="2"/>
        <v>4.2000000000000028</v>
      </c>
      <c r="L26" s="3104" t="s">
        <v>386</v>
      </c>
      <c r="N26" s="3156">
        <v>5</v>
      </c>
    </row>
    <row r="27" spans="1:14">
      <c r="A27" s="73" t="s">
        <v>387</v>
      </c>
      <c r="B27" s="74"/>
      <c r="C27" s="74"/>
      <c r="D27" s="74"/>
      <c r="E27" s="74"/>
      <c r="F27" s="74"/>
      <c r="G27" s="3129"/>
      <c r="I27" s="3104">
        <v>35</v>
      </c>
      <c r="J27" s="3104">
        <v>93.8</v>
      </c>
      <c r="K27" s="3104">
        <f t="shared" si="2"/>
        <v>3.2999999999999972</v>
      </c>
      <c r="L27" s="3104" t="s">
        <v>388</v>
      </c>
      <c r="N27" s="3156">
        <v>3</v>
      </c>
    </row>
    <row r="28" spans="1:14">
      <c r="A28" s="73" t="s">
        <v>389</v>
      </c>
      <c r="B28" s="74"/>
      <c r="C28" s="74"/>
      <c r="D28" s="74"/>
      <c r="E28" s="74"/>
      <c r="F28" s="74"/>
      <c r="G28" s="3129"/>
      <c r="I28" s="3104">
        <v>40</v>
      </c>
      <c r="J28" s="3104">
        <v>96.4</v>
      </c>
      <c r="K28" s="3104">
        <f t="shared" si="2"/>
        <v>2.6000000000000085</v>
      </c>
      <c r="L28" s="3104" t="s">
        <v>390</v>
      </c>
      <c r="N28" s="3156">
        <v>2</v>
      </c>
    </row>
    <row r="29" spans="1:14">
      <c r="A29" s="73" t="s">
        <v>391</v>
      </c>
      <c r="B29" s="74"/>
      <c r="C29" s="74"/>
      <c r="D29" s="74"/>
      <c r="E29" s="74"/>
      <c r="F29" s="74"/>
      <c r="G29" s="3129"/>
      <c r="I29" s="3104">
        <v>45</v>
      </c>
      <c r="J29" s="3104">
        <v>98.4</v>
      </c>
      <c r="K29" s="3104">
        <f t="shared" si="2"/>
        <v>2</v>
      </c>
    </row>
    <row r="30" spans="1:14">
      <c r="A30" s="73" t="s">
        <v>392</v>
      </c>
      <c r="B30" s="74"/>
      <c r="C30" s="74"/>
      <c r="D30" s="74"/>
      <c r="E30" s="74"/>
      <c r="F30" s="74"/>
      <c r="G30" s="3129"/>
      <c r="I30" s="3104">
        <v>50</v>
      </c>
      <c r="J30" s="3104">
        <v>100</v>
      </c>
      <c r="K30" s="3104">
        <f t="shared" si="2"/>
        <v>1.5999999999999943</v>
      </c>
    </row>
    <row r="31" spans="1:14">
      <c r="A31" s="73" t="s">
        <v>393</v>
      </c>
      <c r="B31" s="74"/>
      <c r="C31" s="74"/>
      <c r="D31" s="74"/>
      <c r="E31" s="74"/>
      <c r="F31" s="74"/>
      <c r="G31" s="3129"/>
      <c r="I31" s="3104" t="s">
        <v>394</v>
      </c>
    </row>
    <row r="32" spans="1:14">
      <c r="A32" s="73" t="s">
        <v>395</v>
      </c>
      <c r="B32" s="74"/>
      <c r="C32" s="74"/>
      <c r="D32" s="74"/>
      <c r="E32" s="74"/>
      <c r="F32" s="74"/>
      <c r="G32" s="3129"/>
    </row>
    <row r="33" spans="1:14">
      <c r="A33" s="73" t="s">
        <v>396</v>
      </c>
      <c r="B33" s="74"/>
      <c r="C33" s="74"/>
      <c r="D33" s="74"/>
      <c r="E33" s="74"/>
      <c r="F33" s="74"/>
      <c r="G33" s="3129"/>
      <c r="I33" s="3104" t="s">
        <v>372</v>
      </c>
      <c r="J33" s="3104" t="s">
        <v>397</v>
      </c>
    </row>
    <row r="34" spans="1:14">
      <c r="A34" s="73" t="s">
        <v>398</v>
      </c>
      <c r="B34" s="74"/>
      <c r="C34" s="74"/>
      <c r="D34" s="74"/>
      <c r="E34" s="74"/>
      <c r="F34" s="74"/>
      <c r="G34" s="3129"/>
      <c r="I34" s="3104">
        <v>5</v>
      </c>
      <c r="J34" s="3104">
        <v>55.1</v>
      </c>
    </row>
    <row r="35" spans="1:14">
      <c r="A35" s="73" t="s">
        <v>399</v>
      </c>
      <c r="B35" s="74"/>
      <c r="C35" s="74"/>
      <c r="D35" s="74"/>
      <c r="E35" s="74"/>
      <c r="F35" s="74"/>
      <c r="G35" s="3129"/>
      <c r="I35" s="3104">
        <v>10</v>
      </c>
      <c r="J35" s="3104">
        <v>67</v>
      </c>
      <c r="K35" s="3104">
        <f>J35-J34</f>
        <v>11.899999999999999</v>
      </c>
    </row>
    <row r="36" spans="1:14">
      <c r="A36" s="73" t="s">
        <v>400</v>
      </c>
      <c r="B36" s="74"/>
      <c r="C36" s="74"/>
      <c r="D36" s="74"/>
      <c r="E36" s="74"/>
      <c r="F36" s="74"/>
      <c r="G36" s="3129"/>
      <c r="I36" s="3104">
        <v>15</v>
      </c>
      <c r="J36" s="3104">
        <v>76.3</v>
      </c>
      <c r="K36" s="3104">
        <f t="shared" ref="K36:K41" si="3">J36-J35</f>
        <v>9.2999999999999972</v>
      </c>
      <c r="L36" s="3104" t="s">
        <v>380</v>
      </c>
      <c r="N36" s="3156" t="s">
        <v>381</v>
      </c>
    </row>
    <row r="37" spans="1:14">
      <c r="A37" s="73" t="s">
        <v>401</v>
      </c>
      <c r="B37" s="74"/>
      <c r="C37" s="74"/>
      <c r="D37" s="74"/>
      <c r="E37" s="74"/>
      <c r="F37" s="74"/>
      <c r="G37" s="3129"/>
      <c r="I37" s="3104">
        <v>20</v>
      </c>
      <c r="J37" s="3104">
        <v>83.6</v>
      </c>
      <c r="K37" s="3104">
        <f t="shared" si="3"/>
        <v>7.2999999999999972</v>
      </c>
      <c r="L37" s="3104" t="s">
        <v>383</v>
      </c>
      <c r="N37" s="3156">
        <v>10</v>
      </c>
    </row>
    <row r="38" spans="1:14">
      <c r="A38" s="73" t="s">
        <v>402</v>
      </c>
      <c r="B38" s="74"/>
      <c r="C38" s="74"/>
      <c r="D38" s="74"/>
      <c r="E38" s="74"/>
      <c r="F38" s="74"/>
      <c r="G38" s="3129"/>
      <c r="I38" s="3104">
        <v>25</v>
      </c>
      <c r="J38" s="3104">
        <v>89.3</v>
      </c>
      <c r="K38" s="3104">
        <f t="shared" si="3"/>
        <v>5.7000000000000028</v>
      </c>
      <c r="L38" s="3104" t="s">
        <v>385</v>
      </c>
      <c r="N38" s="3156">
        <v>8</v>
      </c>
    </row>
    <row r="39" spans="1:14">
      <c r="A39" s="73"/>
      <c r="B39" s="74"/>
      <c r="C39" s="74"/>
      <c r="D39" s="74"/>
      <c r="E39" s="74"/>
      <c r="F39" s="74"/>
      <c r="G39" s="3129"/>
      <c r="I39" s="3104">
        <v>30</v>
      </c>
      <c r="J39" s="3104">
        <v>93.8</v>
      </c>
      <c r="K39" s="3104">
        <f t="shared" si="3"/>
        <v>4.5</v>
      </c>
      <c r="L39" s="3104" t="s">
        <v>386</v>
      </c>
      <c r="N39" s="3156">
        <v>6</v>
      </c>
    </row>
    <row r="40" spans="1:14">
      <c r="A40" s="3130" t="s">
        <v>403</v>
      </c>
      <c r="B40" s="3131"/>
      <c r="C40" s="3131"/>
      <c r="D40" s="3131"/>
      <c r="E40" s="3131"/>
      <c r="F40" s="3131"/>
      <c r="G40" s="3132"/>
      <c r="I40" s="3104">
        <v>35</v>
      </c>
      <c r="J40" s="3104">
        <v>97.2</v>
      </c>
      <c r="K40" s="3104">
        <f t="shared" si="3"/>
        <v>3.4000000000000057</v>
      </c>
      <c r="L40" s="3104" t="s">
        <v>388</v>
      </c>
      <c r="N40" s="3156">
        <v>3</v>
      </c>
    </row>
    <row r="41" spans="1:14">
      <c r="A41" s="3133" t="s">
        <v>404</v>
      </c>
      <c r="B41" s="3134" t="s">
        <v>405</v>
      </c>
      <c r="C41" s="3135" t="s">
        <v>406</v>
      </c>
      <c r="D41" s="3135" t="s">
        <v>407</v>
      </c>
      <c r="E41" s="3136"/>
      <c r="F41" s="3137"/>
      <c r="G41" s="3138"/>
      <c r="I41" s="3104">
        <v>40</v>
      </c>
      <c r="J41" s="3104">
        <v>100</v>
      </c>
      <c r="K41" s="3104">
        <f t="shared" si="3"/>
        <v>2.7999999999999972</v>
      </c>
    </row>
    <row r="42" spans="1:14">
      <c r="A42" s="3133" t="s">
        <v>408</v>
      </c>
      <c r="B42" s="3134" t="s">
        <v>409</v>
      </c>
      <c r="C42" s="3135" t="s">
        <v>409</v>
      </c>
      <c r="D42" s="3139" t="s">
        <v>410</v>
      </c>
      <c r="E42" s="3131" t="s">
        <v>411</v>
      </c>
      <c r="F42" s="3131"/>
      <c r="G42" s="3132"/>
    </row>
    <row r="43" spans="1:14">
      <c r="A43" s="3133" t="s">
        <v>412</v>
      </c>
      <c r="B43" s="3134" t="s">
        <v>413</v>
      </c>
      <c r="C43" s="3135" t="s">
        <v>414</v>
      </c>
      <c r="D43" s="3135" t="s">
        <v>415</v>
      </c>
      <c r="E43" s="3136" t="s">
        <v>416</v>
      </c>
      <c r="F43" s="3137"/>
      <c r="G43" s="3138"/>
      <c r="I43" s="3104" t="s">
        <v>372</v>
      </c>
      <c r="J43" s="3104" t="s">
        <v>417</v>
      </c>
    </row>
    <row r="44" spans="1:14">
      <c r="A44" s="3133" t="s">
        <v>418</v>
      </c>
      <c r="B44" s="3134" t="s">
        <v>419</v>
      </c>
      <c r="C44" s="3135" t="s">
        <v>420</v>
      </c>
      <c r="D44" s="3139">
        <v>0.5</v>
      </c>
      <c r="E44" s="3136" t="s">
        <v>421</v>
      </c>
      <c r="F44" s="3137"/>
      <c r="G44" s="3138"/>
      <c r="I44" s="3104">
        <v>30</v>
      </c>
      <c r="J44" s="3104">
        <v>81.7</v>
      </c>
    </row>
    <row r="45" spans="1:14">
      <c r="A45" s="3140" t="s">
        <v>422</v>
      </c>
      <c r="B45" s="3141" t="s">
        <v>409</v>
      </c>
      <c r="C45" s="3142" t="s">
        <v>409</v>
      </c>
      <c r="D45" s="3142" t="s">
        <v>423</v>
      </c>
      <c r="E45" s="3143" t="s">
        <v>424</v>
      </c>
      <c r="F45" s="3143"/>
      <c r="G45" s="3144"/>
      <c r="I45" s="3104">
        <v>40</v>
      </c>
      <c r="J45" s="3104">
        <v>89.2</v>
      </c>
      <c r="K45" s="3104">
        <f>J45-J44</f>
        <v>7.5</v>
      </c>
    </row>
    <row r="46" spans="1:14">
      <c r="I46" s="3104">
        <v>50</v>
      </c>
      <c r="J46" s="3104">
        <v>94.3</v>
      </c>
      <c r="K46" s="3104">
        <f t="shared" ref="K46:K47" si="4">J46-J45</f>
        <v>5.0999999999999943</v>
      </c>
    </row>
    <row r="47" spans="1:14">
      <c r="I47" s="3104">
        <v>60</v>
      </c>
      <c r="J47" s="3104">
        <v>97.7</v>
      </c>
      <c r="K47" s="3104">
        <f t="shared" si="4"/>
        <v>3.4000000000000057</v>
      </c>
    </row>
    <row r="49" spans="1:4">
      <c r="A49" s="3105" t="s">
        <v>425</v>
      </c>
    </row>
    <row r="50" spans="1:4">
      <c r="A50" s="3145" t="s">
        <v>426</v>
      </c>
      <c r="B50" s="3145" t="s">
        <v>427</v>
      </c>
      <c r="C50" s="3145" t="s">
        <v>428</v>
      </c>
      <c r="D50" s="3145" t="s">
        <v>429</v>
      </c>
    </row>
    <row r="51" spans="1:4">
      <c r="A51" s="3145" t="s">
        <v>430</v>
      </c>
      <c r="B51" s="3117">
        <f>B52+B53</f>
        <v>15000</v>
      </c>
      <c r="C51" s="3146">
        <f>D51/B51</f>
        <v>2666.6666666666665</v>
      </c>
      <c r="D51" s="3117">
        <f>D52+D53</f>
        <v>40000000</v>
      </c>
    </row>
    <row r="52" spans="1:4">
      <c r="A52" s="3147" t="s">
        <v>431</v>
      </c>
      <c r="B52" s="3148">
        <v>10000</v>
      </c>
      <c r="C52" s="3148">
        <v>1500</v>
      </c>
      <c r="D52" s="3149">
        <f>C52*B52</f>
        <v>15000000</v>
      </c>
    </row>
    <row r="53" spans="1:4">
      <c r="A53" s="3147" t="s">
        <v>432</v>
      </c>
      <c r="B53" s="3148">
        <v>5000</v>
      </c>
      <c r="C53" s="3148">
        <v>5000</v>
      </c>
      <c r="D53" s="3149">
        <f>C53*B53</f>
        <v>25000000</v>
      </c>
    </row>
    <row r="54" spans="1:4">
      <c r="A54" s="3145" t="s">
        <v>433</v>
      </c>
      <c r="B54" s="3117">
        <f>B51</f>
        <v>15000</v>
      </c>
      <c r="C54" s="3115">
        <v>700</v>
      </c>
      <c r="D54" s="3117">
        <f t="shared" ref="D54:D55" si="5">C54*B54</f>
        <v>10500000</v>
      </c>
    </row>
    <row r="55" spans="1:4">
      <c r="A55" s="3145" t="s">
        <v>434</v>
      </c>
      <c r="B55" s="3117">
        <f>B51</f>
        <v>15000</v>
      </c>
      <c r="C55" s="3115">
        <v>1500</v>
      </c>
      <c r="D55" s="3117">
        <f t="shared" si="5"/>
        <v>22500000</v>
      </c>
    </row>
    <row r="56" spans="1:4">
      <c r="A56" s="3145" t="s">
        <v>435</v>
      </c>
      <c r="B56" s="3117">
        <f>B51</f>
        <v>15000</v>
      </c>
      <c r="C56" s="3150">
        <f>C51+C54+C55</f>
        <v>4866.6666666666661</v>
      </c>
      <c r="D56" s="3117">
        <f>D51+D54+D55</f>
        <v>73000000</v>
      </c>
    </row>
    <row r="58" spans="1:4">
      <c r="A58" s="3145" t="s">
        <v>436</v>
      </c>
      <c r="B58" s="3151">
        <v>0.05</v>
      </c>
      <c r="C58" s="3117">
        <f>C56*(1+B58)</f>
        <v>5110</v>
      </c>
      <c r="D58" s="3117">
        <f>D56*B58</f>
        <v>3650000</v>
      </c>
    </row>
    <row r="60" spans="1:4">
      <c r="A60" s="3145" t="s">
        <v>437</v>
      </c>
      <c r="B60" s="3115">
        <v>3500</v>
      </c>
      <c r="C60" s="3115">
        <f>C53</f>
        <v>5000</v>
      </c>
      <c r="D60" s="3117">
        <f>C60*B60</f>
        <v>17500000</v>
      </c>
    </row>
    <row r="62" spans="1:4">
      <c r="A62" s="3145" t="s">
        <v>350</v>
      </c>
      <c r="B62" s="3115">
        <f>B51</f>
        <v>15000</v>
      </c>
      <c r="C62" s="3152">
        <f>D62/B62</f>
        <v>6276.666666666667</v>
      </c>
      <c r="D62" s="3115">
        <f>D56+D58+D60</f>
        <v>94150000</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8" sqref="C18"/>
    </sheetView>
  </sheetViews>
  <sheetFormatPr defaultColWidth="10" defaultRowHeight="12.75"/>
  <cols>
    <col min="1" max="1" width="16.875" style="2667" customWidth="1"/>
    <col min="2" max="2" width="10" style="2667" customWidth="1"/>
    <col min="3" max="3" width="11.5" style="2667" customWidth="1"/>
    <col min="4" max="4" width="10" style="2667" customWidth="1"/>
    <col min="5" max="5" width="12.625" style="2667" customWidth="1"/>
    <col min="6" max="6" width="10" style="2667" customWidth="1"/>
    <col min="7" max="7" width="10.75" style="2667" customWidth="1"/>
    <col min="8" max="8" width="10" style="2667" customWidth="1"/>
    <col min="9" max="9" width="11.125" style="2906" customWidth="1"/>
    <col min="10" max="10" width="10" style="2842" customWidth="1"/>
    <col min="11" max="11" width="10" style="2987" customWidth="1"/>
    <col min="12" max="13" width="10" style="2988" customWidth="1"/>
    <col min="14" max="14" width="10" style="2842" customWidth="1"/>
    <col min="15" max="15" width="10" style="514" customWidth="1"/>
    <col min="16" max="17" width="10" style="2842"/>
    <col min="18" max="18" width="10" style="2842" customWidth="1"/>
    <col min="19" max="30" width="10" style="2842"/>
    <col min="31" max="16384" width="10" style="2667"/>
  </cols>
  <sheetData>
    <row r="1" spans="1:30">
      <c r="A1" s="2989" t="s">
        <v>438</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337"/>
      <c r="J1" s="2622"/>
      <c r="K1" s="3070"/>
      <c r="L1" s="3079"/>
      <c r="M1" s="3079"/>
      <c r="N1" s="2990"/>
      <c r="O1" s="2445"/>
      <c r="P1" s="2990"/>
      <c r="Q1" s="2990"/>
      <c r="R1" s="2990"/>
      <c r="S1" s="2323" t="str">
        <f>IF(B10="北京市","北京市",C10)&amp;F10&amp;IF(结果表!G1="在建","出让国有建设用地使用权及在建建筑物房地产抵押价值",IF(结果表!G1="土地","出让国有建设用地使用权抵押价值",B9))</f>
        <v>北京市房地产抵押价值</v>
      </c>
      <c r="T1" s="2667"/>
      <c r="U1" s="2667"/>
      <c r="V1" s="2667"/>
      <c r="W1" s="2667"/>
      <c r="X1" s="2667"/>
      <c r="Y1" s="2667"/>
      <c r="Z1" s="2667"/>
      <c r="AA1" s="2667"/>
      <c r="AB1" s="2667"/>
    </row>
    <row r="2" spans="1:30">
      <c r="A2" s="2990" t="s">
        <v>439</v>
      </c>
      <c r="B2" s="516"/>
      <c r="D2" s="2991"/>
      <c r="E2" s="2992"/>
      <c r="F2" s="2992"/>
      <c r="G2" s="2766"/>
      <c r="H2" s="2766"/>
      <c r="I2" s="2766"/>
      <c r="J2" s="2622"/>
      <c r="K2" s="3070"/>
      <c r="L2" s="3079"/>
      <c r="M2" s="3079"/>
      <c r="N2" s="2990"/>
      <c r="O2" s="2445"/>
      <c r="P2" s="2990"/>
      <c r="Q2" s="2990"/>
      <c r="R2" s="2990"/>
      <c r="S2" s="2323" t="str">
        <f>IF(B10="北京市","北京市",C10)&amp;F10&amp;IF(结果表!G1="在建","出让国有建设用地使用权及在建建筑物房地产",IF(结果表!G1="土地","出让国有建设用地使用权","房地产"))</f>
        <v>北京市房地产</v>
      </c>
      <c r="T2" s="2667"/>
      <c r="U2" s="2667"/>
      <c r="V2" s="2667"/>
      <c r="W2" s="2667"/>
      <c r="X2" s="2667"/>
      <c r="Y2" s="2667"/>
      <c r="Z2" s="2667"/>
      <c r="AA2" s="2667"/>
      <c r="AB2" s="2667"/>
    </row>
    <row r="3" spans="1:30">
      <c r="A3" s="1497" t="s">
        <v>440</v>
      </c>
      <c r="B3" s="2993"/>
      <c r="C3" s="2994" t="s">
        <v>441</v>
      </c>
      <c r="D3" s="2993">
        <v>45798</v>
      </c>
      <c r="E3" s="2766"/>
      <c r="F3" s="2766"/>
      <c r="G3" s="2766"/>
      <c r="H3" s="2766"/>
      <c r="I3" s="2766"/>
      <c r="J3" s="2622"/>
      <c r="K3" s="3070"/>
      <c r="L3" s="3079"/>
      <c r="M3" s="3079"/>
      <c r="N3" s="2990"/>
      <c r="O3" s="2445"/>
      <c r="P3" s="2990"/>
      <c r="Q3" s="2990"/>
      <c r="R3" s="2990"/>
      <c r="S3" s="2323"/>
      <c r="T3" s="2667"/>
      <c r="U3" s="2667"/>
      <c r="V3" s="2667"/>
      <c r="W3" s="2667"/>
      <c r="X3" s="2667"/>
      <c r="Y3" s="2667"/>
      <c r="Z3" s="2667"/>
      <c r="AA3" s="2667"/>
      <c r="AB3" s="2667"/>
    </row>
    <row r="4" spans="1:30">
      <c r="A4" s="1519" t="s">
        <v>442</v>
      </c>
      <c r="B4" s="2995"/>
      <c r="C4" s="2996">
        <f>SUMIF(注册房地产估价师,B4,估价师及机构信息!B3:B24)</f>
        <v>0</v>
      </c>
      <c r="D4" s="2995"/>
      <c r="E4" s="2996">
        <f>SUMIF(注册房地产估价师,D4,估价师及机构信息!B3:B24)</f>
        <v>0</v>
      </c>
      <c r="F4" s="2995"/>
      <c r="G4" s="2996">
        <f>SUMIF(注册房地产估价师,F4,估价师及机构信息!B3:B24)</f>
        <v>0</v>
      </c>
      <c r="H4" s="2995"/>
      <c r="I4" s="2996">
        <f>SUMIF(注册房地产估价师,H4,估价师及机构信息!B3:B24)</f>
        <v>0</v>
      </c>
      <c r="J4" s="2622"/>
      <c r="K4" s="2429" t="str">
        <f>CONCATENATE(B4,"（注册号：",C4,")、",D4,"（注册号：",E4,")")</f>
        <v>（注册号：0)、（注册号：0)</v>
      </c>
      <c r="L4" s="3079"/>
      <c r="M4" s="3079"/>
      <c r="N4" s="2990"/>
      <c r="O4" s="2445"/>
      <c r="P4" s="2990"/>
      <c r="Q4" s="2990"/>
      <c r="R4" s="2990"/>
      <c r="S4" s="2323"/>
      <c r="T4" s="2667"/>
      <c r="U4" s="2667"/>
      <c r="V4" s="2667"/>
      <c r="W4" s="2667"/>
      <c r="X4" s="2667"/>
      <c r="Y4" s="2667"/>
      <c r="Z4" s="2667"/>
      <c r="AA4" s="2667"/>
      <c r="AB4" s="2667"/>
    </row>
    <row r="5" spans="1:30">
      <c r="A5" s="2997" t="s">
        <v>443</v>
      </c>
      <c r="B5" s="2998"/>
      <c r="C5" s="2999"/>
      <c r="D5" s="3000"/>
      <c r="E5" s="2766"/>
      <c r="F5" s="2766"/>
      <c r="G5" s="2766"/>
      <c r="H5" s="2766"/>
      <c r="I5" s="2766"/>
      <c r="J5" s="2622"/>
      <c r="K5" s="2429" t="str">
        <f>IF(F4="——","",IF(H4="——",F4&amp;"（注册号："&amp;G4&amp;")",CONCATENATE(F4,"（注册号：",G4,")、",H4,"（注册号：",I4,")")))</f>
        <v>（注册号：0)、（注册号：0)</v>
      </c>
      <c r="L5" s="3079"/>
      <c r="M5" s="3079"/>
      <c r="N5" s="2990"/>
      <c r="O5" s="2445"/>
      <c r="P5" s="2990"/>
      <c r="Q5" s="2990"/>
      <c r="R5" s="2990"/>
      <c r="S5" s="2667"/>
      <c r="T5" s="2667"/>
      <c r="U5" s="2667"/>
      <c r="V5" s="2667"/>
      <c r="W5" s="2667"/>
      <c r="X5" s="2667"/>
      <c r="Y5" s="2667"/>
      <c r="Z5" s="2667"/>
      <c r="AA5" s="2667"/>
      <c r="AB5" s="2667"/>
    </row>
    <row r="6" spans="1:30">
      <c r="A6" s="3001" t="s">
        <v>444</v>
      </c>
      <c r="B6" s="3002"/>
      <c r="C6" s="3003"/>
      <c r="D6" s="3004"/>
      <c r="E6" s="2992"/>
      <c r="F6" s="2766"/>
      <c r="G6" s="2766"/>
      <c r="H6" s="2766"/>
      <c r="I6" s="2766"/>
      <c r="J6" s="2622"/>
      <c r="K6" s="3080" t="str">
        <f>IF(COUNTIF(B6,"*上海银行*"),"上海银行","")</f>
        <v/>
      </c>
      <c r="L6" s="3081"/>
      <c r="M6" s="3081"/>
      <c r="N6" s="2622"/>
      <c r="O6" s="2446"/>
      <c r="P6" s="2622"/>
      <c r="Q6" s="2622"/>
      <c r="R6" s="2622"/>
    </row>
    <row r="7" spans="1:30">
      <c r="A7" s="3001" t="s">
        <v>445</v>
      </c>
      <c r="B7" s="3005"/>
      <c r="C7" s="3003"/>
      <c r="D7" s="3004"/>
      <c r="E7" s="2992"/>
      <c r="F7" s="2766"/>
      <c r="G7" s="2766"/>
      <c r="H7" s="2766"/>
      <c r="I7" s="2766"/>
      <c r="J7" s="2622"/>
      <c r="K7" s="3082"/>
      <c r="L7" s="3081"/>
      <c r="M7" s="3081"/>
      <c r="N7" s="2622"/>
      <c r="O7" s="2446"/>
      <c r="P7" s="2622"/>
      <c r="Q7" s="2622"/>
      <c r="R7" s="2622"/>
    </row>
    <row r="8" spans="1:30">
      <c r="A8" s="3006" t="s">
        <v>446</v>
      </c>
      <c r="B8" s="3007" t="s">
        <v>325</v>
      </c>
      <c r="C8" s="3008"/>
      <c r="D8" s="3350" t="s">
        <v>447</v>
      </c>
      <c r="E8" s="3009" t="s">
        <v>330</v>
      </c>
      <c r="F8" s="3010"/>
      <c r="G8" s="2766"/>
      <c r="H8" s="2766"/>
      <c r="I8" s="2766"/>
      <c r="J8" s="2622"/>
      <c r="K8" s="3083"/>
      <c r="L8" s="3081"/>
      <c r="M8" s="3081"/>
      <c r="N8" s="2622"/>
      <c r="O8" s="2446"/>
      <c r="P8" s="2622"/>
      <c r="Q8" s="2622"/>
      <c r="R8" s="2622"/>
    </row>
    <row r="9" spans="1:30">
      <c r="A9" s="3011" t="s">
        <v>448</v>
      </c>
      <c r="B9" s="3012" t="s">
        <v>330</v>
      </c>
      <c r="C9" s="3013"/>
      <c r="D9" s="3351"/>
      <c r="E9" s="3012"/>
      <c r="F9" s="3014"/>
      <c r="G9" s="3015"/>
      <c r="H9" s="3015"/>
      <c r="I9" s="3015"/>
      <c r="J9" s="2622"/>
      <c r="K9" s="3082"/>
      <c r="L9" s="3081"/>
      <c r="M9" s="3081"/>
      <c r="N9" s="2622"/>
      <c r="O9" s="2446"/>
      <c r="P9" s="2622"/>
      <c r="Q9" s="2622"/>
      <c r="R9" s="2622"/>
    </row>
    <row r="10" spans="1:30">
      <c r="A10" s="3016" t="s">
        <v>449</v>
      </c>
      <c r="B10" s="3017" t="s">
        <v>450</v>
      </c>
      <c r="C10" s="3018"/>
      <c r="D10" s="3000"/>
      <c r="E10" s="3019" t="s">
        <v>451</v>
      </c>
      <c r="F10" s="3020"/>
      <c r="G10" s="3021"/>
      <c r="H10" s="3022"/>
      <c r="I10" s="3084"/>
      <c r="J10" s="2622"/>
      <c r="K10" s="3082"/>
      <c r="L10" s="3081"/>
      <c r="M10" s="3081"/>
      <c r="N10" s="2622"/>
      <c r="O10" s="2446"/>
      <c r="P10" s="2622"/>
      <c r="Q10" s="2622"/>
      <c r="R10" s="2622"/>
    </row>
    <row r="11" spans="1:30">
      <c r="A11" s="3023" t="s">
        <v>452</v>
      </c>
      <c r="B11" s="3024" t="s">
        <v>453</v>
      </c>
      <c r="C11" s="3025"/>
      <c r="D11" s="3026"/>
      <c r="E11" s="2990"/>
      <c r="F11" s="2990"/>
      <c r="G11" s="2990"/>
      <c r="H11" s="2990"/>
      <c r="I11" s="2990"/>
      <c r="J11" s="3085"/>
      <c r="K11" s="3081"/>
      <c r="L11" s="3081"/>
      <c r="M11" s="3081"/>
      <c r="N11" s="2622"/>
      <c r="O11" s="2446"/>
      <c r="P11" s="2622"/>
      <c r="Q11" s="2622"/>
      <c r="R11" s="2622"/>
    </row>
    <row r="12" spans="1:30">
      <c r="A12" s="3027" t="s">
        <v>454</v>
      </c>
      <c r="B12" s="1538" t="s">
        <v>455</v>
      </c>
      <c r="C12" s="3028" t="s">
        <v>456</v>
      </c>
      <c r="D12" s="3028" t="s">
        <v>457</v>
      </c>
      <c r="E12" s="3028" t="s">
        <v>458</v>
      </c>
      <c r="F12" s="3028" t="s">
        <v>459</v>
      </c>
      <c r="G12" s="3028" t="s">
        <v>460</v>
      </c>
      <c r="H12" s="3028" t="s">
        <v>461</v>
      </c>
      <c r="I12" s="3071" t="s">
        <v>280</v>
      </c>
      <c r="J12" s="3086"/>
      <c r="K12" s="3081"/>
      <c r="L12" s="3081"/>
      <c r="M12" s="2622"/>
      <c r="N12" s="2446"/>
      <c r="O12" s="2622"/>
      <c r="P12" s="2622"/>
      <c r="Q12" s="2622"/>
      <c r="AD12" s="2667"/>
    </row>
    <row r="13" spans="1:30">
      <c r="A13" s="3029" t="s">
        <v>462</v>
      </c>
      <c r="B13" s="3030" t="s">
        <v>463</v>
      </c>
      <c r="C13" s="3031"/>
      <c r="D13" s="3031">
        <v>54681</v>
      </c>
      <c r="E13" s="3031"/>
      <c r="F13" s="3031">
        <v>58333</v>
      </c>
      <c r="G13" s="3031"/>
      <c r="H13" s="3031"/>
      <c r="I13" s="3031"/>
      <c r="J13" s="3086"/>
      <c r="K13" s="3081"/>
      <c r="L13" s="3081"/>
      <c r="M13" s="2622"/>
      <c r="N13" s="2446"/>
      <c r="O13" s="2622"/>
      <c r="P13" s="2622"/>
      <c r="Q13" s="2622"/>
      <c r="AD13" s="2667"/>
    </row>
    <row r="14" spans="1:30">
      <c r="A14" s="1524"/>
      <c r="B14" s="3030" t="s">
        <v>464</v>
      </c>
      <c r="C14" s="3032"/>
      <c r="D14" s="3032">
        <v>40</v>
      </c>
      <c r="E14" s="3032"/>
      <c r="F14" s="3032">
        <v>50</v>
      </c>
      <c r="G14" s="3032"/>
      <c r="H14" s="3032"/>
      <c r="I14" s="3032"/>
      <c r="J14" s="3087"/>
      <c r="K14" s="3081"/>
      <c r="L14" s="3081"/>
      <c r="M14" s="2622"/>
      <c r="N14" s="2446"/>
      <c r="O14" s="2622"/>
      <c r="P14" s="2622"/>
      <c r="Q14" s="2622"/>
      <c r="AD14" s="2667"/>
    </row>
    <row r="15" spans="1:30">
      <c r="A15" s="1531"/>
      <c r="B15" s="3033" t="s">
        <v>465</v>
      </c>
      <c r="C15" s="3034" t="str">
        <f>IF(A13="出让",IF(C13="","",ROUNDDOWN(MIN((C13-$D$3)/365,C14),2)),C14)</f>
        <v/>
      </c>
      <c r="D15" s="3034">
        <f>IF(A13="出让",IF(D13="","",ROUNDDOWN(MIN((D13-$D$3)/365,D14),2)),D14)</f>
        <v>24.33</v>
      </c>
      <c r="E15" s="3034" t="str">
        <f>IF(A13="出让",IF(E13="","",ROUNDDOWN(MIN((E13-$D$3)/365,E14),2)),E14)</f>
        <v/>
      </c>
      <c r="F15" s="3034">
        <f>IF(A13="出让",IF(F13="","",ROUNDDOWN(MIN((F13-$D$3)/365,F14),2)),F14)</f>
        <v>34.340000000000003</v>
      </c>
      <c r="G15" s="3034" t="str">
        <f>IF(A13="出让",IF(G13="","",ROUNDDOWN(MIN((G13-$D$3)/365,G14),2)),G14)</f>
        <v/>
      </c>
      <c r="H15" s="3034" t="str">
        <f>IF(A13="出让",IF(H13="","",ROUNDDOWN(MIN((H13-$D$3)/365,H14),2)),H14)</f>
        <v/>
      </c>
      <c r="I15" s="3034" t="str">
        <f>IF(A13="出让",IF(I13="","",ROUNDDOWN(MIN((I13-$D$3)/365,I14),2)),I14)</f>
        <v/>
      </c>
      <c r="J15" s="3088"/>
      <c r="K15" s="2446"/>
      <c r="L15" s="2446"/>
      <c r="M15" s="2622"/>
      <c r="N15" s="2446"/>
      <c r="O15" s="2622"/>
      <c r="P15" s="2622"/>
      <c r="Q15" s="2622"/>
      <c r="AD15" s="2667"/>
    </row>
    <row r="16" spans="1:30">
      <c r="A16" s="3019" t="s">
        <v>466</v>
      </c>
      <c r="B16" s="3338"/>
      <c r="C16" s="3339"/>
      <c r="D16" s="3340"/>
      <c r="E16" s="3035" t="s">
        <v>467</v>
      </c>
      <c r="F16" s="3341"/>
      <c r="G16" s="3342"/>
      <c r="H16" s="3342"/>
      <c r="I16" s="3343"/>
      <c r="J16" s="2622"/>
      <c r="K16" s="3089"/>
      <c r="L16" s="2446"/>
      <c r="M16" s="2446"/>
      <c r="N16" s="2622"/>
      <c r="O16" s="2446"/>
      <c r="P16" s="2622"/>
      <c r="Q16" s="2622"/>
      <c r="R16" s="2622"/>
    </row>
    <row r="17" spans="1:28">
      <c r="A17" s="1508" t="s">
        <v>468</v>
      </c>
      <c r="B17" s="1497" t="s">
        <v>469</v>
      </c>
      <c r="C17" s="574">
        <f>'数据-汇总表'!E3</f>
        <v>596993.59</v>
      </c>
      <c r="D17" s="1550" t="s">
        <v>470</v>
      </c>
      <c r="E17" s="3344" t="s">
        <v>471</v>
      </c>
      <c r="F17" s="3345"/>
      <c r="G17" s="3345"/>
      <c r="H17" s="3345"/>
      <c r="I17" s="3346"/>
      <c r="J17" s="2622"/>
      <c r="K17" s="3090"/>
      <c r="L17" s="2446"/>
      <c r="M17" s="2446"/>
      <c r="N17" s="2622"/>
      <c r="O17" s="2446"/>
      <c r="P17" s="2622"/>
      <c r="Q17" s="2622"/>
      <c r="R17" s="2622"/>
      <c r="S17" s="2622"/>
      <c r="T17" s="2622"/>
      <c r="U17" s="2622"/>
      <c r="V17" s="2622"/>
    </row>
    <row r="18" spans="1:28" ht="24">
      <c r="A18" s="3036" t="s">
        <v>472</v>
      </c>
      <c r="B18" s="1519" t="s">
        <v>473</v>
      </c>
      <c r="C18" s="3037">
        <f>'数据-汇总表'!D3</f>
        <v>175003.3</v>
      </c>
      <c r="D18" s="1543" t="s">
        <v>470</v>
      </c>
      <c r="E18" s="3347" t="s">
        <v>474</v>
      </c>
      <c r="F18" s="3348"/>
      <c r="G18" s="3348"/>
      <c r="H18" s="3348"/>
      <c r="I18" s="3349"/>
      <c r="J18" s="2622"/>
      <c r="K18" s="3090"/>
      <c r="L18" s="2446"/>
      <c r="M18" s="2446"/>
      <c r="N18" s="2622"/>
      <c r="O18" s="2446"/>
      <c r="P18" s="2622"/>
      <c r="Q18" s="2622"/>
      <c r="R18" s="2622"/>
      <c r="S18" s="2622"/>
      <c r="T18" s="2622"/>
      <c r="U18" s="2622"/>
      <c r="V18" s="2622"/>
    </row>
    <row r="19" spans="1:28" ht="36">
      <c r="A19" s="1560" t="s">
        <v>475</v>
      </c>
      <c r="B19" s="1501" t="s">
        <v>476</v>
      </c>
      <c r="C19" s="3038"/>
      <c r="D19" s="3039" t="s">
        <v>477</v>
      </c>
      <c r="E19" s="3040"/>
      <c r="F19" s="3041" t="str">
        <f>IF(AND(C19="是",E19="否"),"是否提供他项权证或相关说明","")</f>
        <v/>
      </c>
      <c r="G19" s="3042"/>
      <c r="H19" s="2766"/>
      <c r="I19" s="2766"/>
      <c r="J19" s="2622"/>
      <c r="K19" s="3082"/>
      <c r="L19" s="3081"/>
      <c r="M19" s="3081"/>
      <c r="N19" s="2622"/>
      <c r="O19" s="2446"/>
      <c r="P19" s="2622"/>
      <c r="Q19" s="2622"/>
      <c r="R19" s="2622"/>
      <c r="S19" s="2622"/>
      <c r="T19" s="2622"/>
      <c r="U19" s="2622"/>
      <c r="V19" s="2622"/>
    </row>
    <row r="20" spans="1:28">
      <c r="A20" s="3043" t="s">
        <v>478</v>
      </c>
      <c r="B20" s="3354" t="s">
        <v>479</v>
      </c>
      <c r="C20" s="3355"/>
      <c r="D20" s="3356" t="s">
        <v>480</v>
      </c>
      <c r="E20" s="3357"/>
      <c r="F20" s="3044" t="s">
        <v>481</v>
      </c>
      <c r="G20" s="2766"/>
      <c r="H20" s="2766"/>
      <c r="I20" s="2766"/>
      <c r="J20" s="2622"/>
      <c r="K20" s="3352" t="s">
        <v>482</v>
      </c>
      <c r="L20" s="16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9"/>
      <c r="N20" s="2990"/>
      <c r="O20" s="2445"/>
      <c r="P20" s="2990"/>
      <c r="Q20" s="2990"/>
      <c r="R20" s="2990"/>
      <c r="S20" s="2990"/>
      <c r="T20" s="2990"/>
      <c r="U20" s="2990"/>
      <c r="V20" s="2990"/>
      <c r="W20" s="2667"/>
      <c r="X20" s="2667"/>
      <c r="Y20" s="2667"/>
      <c r="Z20" s="2667"/>
      <c r="AA20" s="2667"/>
      <c r="AB20" s="2667"/>
    </row>
    <row r="21" spans="1:28" ht="24">
      <c r="A21" s="3043"/>
      <c r="B21" s="3045" t="s">
        <v>483</v>
      </c>
      <c r="C21" s="2648" t="s">
        <v>484</v>
      </c>
      <c r="D21" s="3046" t="s">
        <v>485</v>
      </c>
      <c r="E21" s="3047" t="s">
        <v>484</v>
      </c>
      <c r="F21" s="3048"/>
      <c r="G21" s="2766"/>
      <c r="H21" s="2766"/>
      <c r="I21" s="2766"/>
      <c r="J21" s="2622"/>
      <c r="K21" s="3352"/>
      <c r="L21" s="16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9"/>
      <c r="N21" s="2990"/>
      <c r="O21" s="2445"/>
      <c r="P21" s="2990"/>
      <c r="Q21" s="2990"/>
      <c r="R21" s="2990"/>
      <c r="S21" s="2990"/>
      <c r="T21" s="2990"/>
      <c r="U21" s="2990"/>
      <c r="V21" s="2990"/>
      <c r="W21" s="2667"/>
      <c r="X21" s="2667"/>
      <c r="Y21" s="2667"/>
      <c r="Z21" s="2667"/>
      <c r="AA21" s="2667"/>
      <c r="AB21" s="2667"/>
    </row>
    <row r="22" spans="1:28" ht="24">
      <c r="A22" s="3043"/>
      <c r="B22" s="3049" t="s">
        <v>486</v>
      </c>
      <c r="C22" s="2648" t="s">
        <v>487</v>
      </c>
      <c r="D22" s="2766"/>
      <c r="E22" s="2766"/>
      <c r="F22" s="2766"/>
      <c r="G22" s="2766"/>
      <c r="H22" s="2766"/>
      <c r="I22" s="2766"/>
      <c r="J22" s="2622"/>
      <c r="K22" s="3352"/>
      <c r="L22" s="16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9"/>
      <c r="N22" s="2990"/>
      <c r="O22" s="2445"/>
      <c r="P22" s="2990"/>
      <c r="Q22" s="2990"/>
      <c r="R22" s="2990"/>
      <c r="S22" s="2990"/>
      <c r="T22" s="2990"/>
      <c r="U22" s="2990"/>
      <c r="V22" s="2990"/>
      <c r="W22" s="2667"/>
      <c r="X22" s="2667"/>
      <c r="Y22" s="2667"/>
      <c r="Z22" s="2667"/>
      <c r="AA22" s="2667"/>
      <c r="AB22" s="2667"/>
    </row>
    <row r="23" spans="1:28">
      <c r="A23" s="3050" t="s">
        <v>488</v>
      </c>
      <c r="B23" s="2645" t="s">
        <v>489</v>
      </c>
      <c r="C23" s="3051"/>
      <c r="D23" s="3052" t="s">
        <v>489</v>
      </c>
      <c r="E23" s="3053"/>
      <c r="F23" s="2766"/>
      <c r="G23" s="2766"/>
      <c r="H23" s="2766"/>
      <c r="I23" s="2766"/>
      <c r="J23" s="2622"/>
      <c r="K23" s="3080"/>
      <c r="L23" s="560"/>
      <c r="M23" s="3081"/>
      <c r="N23" s="2622"/>
      <c r="O23" s="2446"/>
      <c r="P23" s="2622"/>
      <c r="Q23" s="2622"/>
      <c r="R23" s="2622"/>
      <c r="S23" s="2622"/>
      <c r="T23" s="2622"/>
      <c r="U23" s="2622"/>
      <c r="V23" s="2622"/>
    </row>
    <row r="24" spans="1:28">
      <c r="A24" s="3050"/>
      <c r="B24" s="2645" t="s">
        <v>490</v>
      </c>
      <c r="C24" s="2621"/>
      <c r="D24" s="3050" t="s">
        <v>490</v>
      </c>
      <c r="E24" s="3054"/>
      <c r="F24" s="2766"/>
      <c r="G24" s="2766"/>
      <c r="H24" s="2766"/>
      <c r="I24" s="2766"/>
      <c r="J24" s="2622"/>
      <c r="K24" s="3080"/>
      <c r="L24" s="560"/>
      <c r="M24" s="3081"/>
      <c r="N24" s="2622"/>
      <c r="O24" s="2446"/>
      <c r="P24" s="2622"/>
      <c r="Q24" s="2622"/>
      <c r="R24" s="2622"/>
      <c r="S24" s="2622"/>
      <c r="T24" s="2622"/>
      <c r="U24" s="2622"/>
      <c r="V24" s="2622"/>
    </row>
    <row r="25" spans="1:28">
      <c r="A25" s="3050"/>
      <c r="B25" s="2645" t="s">
        <v>491</v>
      </c>
      <c r="C25" s="2621"/>
      <c r="D25" s="3050" t="s">
        <v>491</v>
      </c>
      <c r="E25" s="3054"/>
      <c r="F25" s="2766"/>
      <c r="G25" s="2766"/>
      <c r="H25" s="2766"/>
      <c r="I25" s="2766"/>
      <c r="J25" s="2622"/>
      <c r="K25" s="3082"/>
      <c r="L25" s="3081"/>
      <c r="M25" s="3081"/>
      <c r="N25" s="2622"/>
      <c r="O25" s="2446"/>
      <c r="P25" s="2622"/>
      <c r="Q25" s="2622"/>
      <c r="R25" s="2622"/>
      <c r="S25" s="2622"/>
      <c r="T25" s="2622"/>
      <c r="U25" s="2622"/>
      <c r="V25" s="2622"/>
    </row>
    <row r="26" spans="1:28">
      <c r="A26" s="3055"/>
      <c r="B26" s="3056" t="s">
        <v>492</v>
      </c>
      <c r="C26" s="3057"/>
      <c r="D26" s="3055" t="s">
        <v>492</v>
      </c>
      <c r="E26" s="3058"/>
      <c r="F26" s="3015"/>
      <c r="G26" s="3015"/>
      <c r="H26" s="3015"/>
      <c r="I26" s="3015"/>
      <c r="J26" s="2622"/>
      <c r="K26" s="3082"/>
      <c r="L26" s="3081"/>
      <c r="M26" s="3081"/>
      <c r="N26" s="2622"/>
      <c r="O26" s="2446"/>
      <c r="P26" s="2622"/>
      <c r="Q26" s="2622"/>
      <c r="R26" s="2622"/>
      <c r="S26" s="2622"/>
      <c r="T26" s="2622"/>
      <c r="U26" s="2622"/>
      <c r="V26" s="2622"/>
    </row>
    <row r="27" spans="1:28">
      <c r="A27" s="3331" t="s">
        <v>493</v>
      </c>
      <c r="B27" s="1531" t="s">
        <v>494</v>
      </c>
      <c r="C27" s="3059"/>
      <c r="D27" s="3060"/>
      <c r="E27" s="2766"/>
      <c r="F27" s="2766"/>
      <c r="G27" s="2766"/>
      <c r="H27" s="2766"/>
      <c r="I27" s="2766"/>
      <c r="J27" s="2622"/>
      <c r="K27" s="3089"/>
      <c r="L27" s="2446"/>
      <c r="M27" s="2446"/>
      <c r="N27" s="2622"/>
      <c r="O27" s="2446"/>
      <c r="P27" s="2622"/>
      <c r="Q27" s="2622"/>
      <c r="R27" s="2622"/>
      <c r="S27" s="2622"/>
      <c r="T27" s="2622"/>
      <c r="U27" s="2622"/>
      <c r="V27" s="2622"/>
    </row>
    <row r="28" spans="1:28">
      <c r="A28" s="3331"/>
      <c r="B28" s="1497" t="s">
        <v>495</v>
      </c>
      <c r="C28" s="3061"/>
      <c r="D28" s="3062"/>
      <c r="E28" s="2766"/>
      <c r="F28" s="2766"/>
      <c r="G28" s="2766"/>
      <c r="H28" s="2766"/>
      <c r="I28" s="2766"/>
      <c r="J28" s="2622"/>
      <c r="K28" s="3082"/>
      <c r="L28" s="3081"/>
      <c r="M28" s="3081"/>
      <c r="N28" s="2622"/>
      <c r="O28" s="2446"/>
      <c r="P28" s="2622"/>
      <c r="Q28" s="2622"/>
      <c r="R28" s="2622"/>
      <c r="S28" s="2622"/>
      <c r="T28" s="2622"/>
      <c r="U28" s="2622"/>
      <c r="V28" s="2622"/>
    </row>
    <row r="29" spans="1:28">
      <c r="A29" s="3331"/>
      <c r="B29" s="1497" t="s">
        <v>496</v>
      </c>
      <c r="C29" s="3063"/>
      <c r="D29" s="3064"/>
      <c r="E29" s="2766"/>
      <c r="F29" s="2766"/>
      <c r="G29" s="2766"/>
      <c r="H29" s="2766"/>
      <c r="I29" s="2766"/>
      <c r="J29" s="2622"/>
      <c r="K29" s="3082"/>
      <c r="L29" s="3081"/>
      <c r="M29" s="3081"/>
      <c r="N29" s="2622"/>
      <c r="O29" s="2446"/>
      <c r="P29" s="2622"/>
      <c r="Q29" s="2622"/>
      <c r="R29" s="2622"/>
      <c r="S29" s="2622"/>
      <c r="T29" s="2622"/>
      <c r="U29" s="2622"/>
      <c r="V29" s="2622"/>
    </row>
    <row r="30" spans="1:28">
      <c r="A30" s="3332"/>
      <c r="B30" s="1497" t="s">
        <v>497</v>
      </c>
      <c r="C30" s="3358"/>
      <c r="D30" s="3359"/>
      <c r="E30" s="2766"/>
      <c r="F30" s="2766"/>
      <c r="G30" s="2766"/>
      <c r="H30" s="2766"/>
      <c r="I30" s="2766"/>
      <c r="J30" s="2622"/>
      <c r="K30" s="3082"/>
      <c r="L30" s="3081"/>
      <c r="M30" s="3081"/>
      <c r="N30" s="2622"/>
      <c r="O30" s="2446"/>
      <c r="P30" s="2622"/>
      <c r="Q30" s="2622"/>
      <c r="R30" s="2622"/>
      <c r="S30" s="2622"/>
      <c r="T30" s="2622"/>
      <c r="U30" s="2622"/>
      <c r="V30" s="2622"/>
    </row>
    <row r="31" spans="1:28">
      <c r="A31" s="3333" t="s">
        <v>498</v>
      </c>
      <c r="B31" s="3065"/>
      <c r="C31" s="1647" t="str">
        <f>IF(B31="现房","成新及维护状况正常否",IF(B31="在建","工程状态是否正常",IF(B31="土地","是否闲置","-")))</f>
        <v>-</v>
      </c>
      <c r="D31" s="1856"/>
      <c r="E31" s="3066"/>
      <c r="F31" s="2766"/>
      <c r="G31" s="2766"/>
      <c r="H31" s="2766"/>
      <c r="I31" s="2766"/>
      <c r="J31" s="2622"/>
      <c r="K31" s="3080"/>
      <c r="L31" s="3081"/>
      <c r="M31" s="3081"/>
      <c r="N31" s="2622"/>
      <c r="O31" s="2446"/>
      <c r="P31" s="2622"/>
      <c r="Q31" s="2622"/>
      <c r="R31" s="2622"/>
      <c r="S31" s="2622"/>
      <c r="T31" s="2622"/>
      <c r="U31" s="2622"/>
      <c r="V31" s="2622"/>
    </row>
    <row r="32" spans="1:28">
      <c r="A32" s="3334"/>
      <c r="B32" s="3065"/>
      <c r="C32" s="1647" t="str">
        <f>IF(B32="现房","成新及维护状况是否正常",IF(B32="在建","工程状态是否正常",IF(B32="土地","是否闲置","-")))</f>
        <v>-</v>
      </c>
      <c r="D32" s="1856"/>
      <c r="E32" s="3066"/>
      <c r="F32" s="2766"/>
      <c r="G32" s="2766"/>
      <c r="H32" s="2766"/>
      <c r="I32" s="2766"/>
      <c r="J32" s="2622"/>
      <c r="K32" s="3082"/>
      <c r="L32" s="3081"/>
      <c r="M32" s="3081"/>
      <c r="N32" s="2622"/>
      <c r="O32" s="2446"/>
      <c r="P32" s="2622"/>
      <c r="Q32" s="2622"/>
      <c r="R32" s="2622"/>
      <c r="S32" s="2622"/>
      <c r="T32" s="2622"/>
      <c r="U32" s="2622"/>
      <c r="V32" s="2622"/>
    </row>
    <row r="33" spans="1:30">
      <c r="A33" s="3334"/>
      <c r="B33" s="3067"/>
      <c r="C33" s="2425" t="str">
        <f>IF(B33="现房","成新及维护状况是否正常",IF(B33="在建","工程状态是否正常",IF(B33="土地","是否闲置","-")))</f>
        <v>-</v>
      </c>
      <c r="D33" s="1506"/>
      <c r="E33" s="3068"/>
      <c r="F33" s="2766"/>
      <c r="G33" s="2766"/>
      <c r="H33" s="2766"/>
      <c r="I33" s="2766"/>
      <c r="J33" s="2622"/>
      <c r="K33" s="3082"/>
      <c r="L33" s="3081"/>
      <c r="M33" s="3081"/>
      <c r="N33" s="2622"/>
      <c r="O33" s="2446"/>
      <c r="P33" s="2622"/>
      <c r="Q33" s="2622"/>
      <c r="R33" s="2622"/>
      <c r="S33" s="2622"/>
      <c r="T33" s="2622"/>
      <c r="U33" s="2622"/>
      <c r="V33" s="2622"/>
    </row>
    <row r="34" spans="1:30">
      <c r="A34" s="1497" t="s">
        <v>499</v>
      </c>
      <c r="B34" s="1894"/>
      <c r="C34" s="1894"/>
      <c r="D34" s="1894"/>
      <c r="E34" s="1894"/>
      <c r="F34" s="1894"/>
      <c r="G34" s="1894"/>
      <c r="H34" s="1894"/>
      <c r="I34" s="2766"/>
      <c r="J34" s="2622"/>
      <c r="K34" s="574">
        <f>COUNTIF(B34:H34,"——")</f>
        <v>0</v>
      </c>
      <c r="L34" s="1538" t="s">
        <v>500</v>
      </c>
      <c r="M34" s="1538" t="s">
        <v>501</v>
      </c>
      <c r="N34" s="1538" t="s">
        <v>502</v>
      </c>
      <c r="O34" s="1538" t="s">
        <v>503</v>
      </c>
      <c r="P34" s="1538" t="s">
        <v>504</v>
      </c>
      <c r="Q34" s="1538" t="s">
        <v>505</v>
      </c>
      <c r="R34" s="1538" t="s">
        <v>506</v>
      </c>
      <c r="S34" s="3353" t="s">
        <v>507</v>
      </c>
      <c r="T34" s="1538" t="str">
        <f>NUMBERSTRING(7-K34,1)&amp;"通"</f>
        <v>七通</v>
      </c>
      <c r="U34" s="2622"/>
      <c r="V34" s="2622"/>
    </row>
    <row r="35" spans="1:30">
      <c r="A35" s="3069"/>
      <c r="B35" s="3353" t="s">
        <v>508</v>
      </c>
      <c r="C35" s="3353"/>
      <c r="D35" s="3353"/>
      <c r="E35" s="3353"/>
      <c r="F35" s="574">
        <f>C10</f>
        <v>0</v>
      </c>
      <c r="G35" s="2766"/>
      <c r="H35" s="2766"/>
      <c r="I35" s="2766"/>
      <c r="J35" s="2622"/>
      <c r="K35" s="1538"/>
      <c r="L35" s="153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353"/>
      <c r="T35" s="518" t="str">
        <f>IF(T34="一通",L35,IF(T34="二通",M35,IF(T34="三通",N35,IF(T34="四通",O35,IF(T34="五通",P35,IF(T34="六通",Q35,R35))))))</f>
        <v>、、、、、、</v>
      </c>
      <c r="U35" s="2622"/>
      <c r="V35" s="2622"/>
    </row>
    <row r="36" spans="1:30">
      <c r="A36" s="3070"/>
      <c r="B36" s="574" t="s">
        <v>457</v>
      </c>
      <c r="C36" s="574" t="s">
        <v>458</v>
      </c>
      <c r="D36" s="574" t="s">
        <v>456</v>
      </c>
      <c r="E36" s="574" t="s">
        <v>461</v>
      </c>
      <c r="F36" s="3071" t="s">
        <v>280</v>
      </c>
      <c r="G36" s="2766"/>
      <c r="H36" s="2766"/>
      <c r="I36" s="2766"/>
      <c r="J36" s="2622"/>
      <c r="K36" s="3082"/>
      <c r="L36" s="3081"/>
      <c r="M36" s="3081"/>
      <c r="N36" s="2622"/>
      <c r="O36" s="2446"/>
      <c r="P36" s="2622"/>
      <c r="Q36" s="2622"/>
      <c r="R36" s="2622"/>
      <c r="S36" s="2622"/>
      <c r="T36" s="2622"/>
      <c r="U36" s="2622"/>
      <c r="V36" s="2622"/>
    </row>
    <row r="37" spans="1:30">
      <c r="A37" s="3072" t="s">
        <v>509</v>
      </c>
      <c r="B37" s="3073" t="s">
        <v>273</v>
      </c>
      <c r="C37" s="3073"/>
      <c r="D37" s="3073"/>
      <c r="E37" s="3073"/>
      <c r="F37" s="3073"/>
      <c r="G37" s="2766"/>
      <c r="H37" s="2766"/>
      <c r="I37" s="2766"/>
      <c r="J37" s="2622"/>
      <c r="K37" s="3082"/>
      <c r="L37" s="3081"/>
      <c r="M37" s="3081"/>
      <c r="N37" s="2622"/>
      <c r="O37" s="2446"/>
      <c r="P37" s="2622"/>
      <c r="Q37" s="2622"/>
      <c r="R37" s="2622"/>
      <c r="S37" s="2622"/>
      <c r="T37" s="2622"/>
      <c r="U37" s="2622"/>
      <c r="V37" s="2622"/>
    </row>
    <row r="38" spans="1:30">
      <c r="A38" s="3074" t="s">
        <v>510</v>
      </c>
      <c r="B38" s="3075" t="s">
        <v>511</v>
      </c>
      <c r="C38" s="3075"/>
      <c r="D38" s="3075"/>
      <c r="E38" s="3075"/>
      <c r="F38" s="3075"/>
      <c r="G38" s="3015"/>
      <c r="H38" s="3015"/>
      <c r="I38" s="3015"/>
      <c r="J38" s="2622"/>
      <c r="K38" s="3082"/>
      <c r="L38" s="3081"/>
      <c r="M38" s="3081"/>
      <c r="N38" s="2622"/>
      <c r="O38" s="2446"/>
      <c r="P38" s="2622"/>
      <c r="Q38" s="2622"/>
      <c r="R38" s="2622"/>
      <c r="S38" s="2622"/>
      <c r="T38" s="2622"/>
      <c r="U38" s="2622"/>
      <c r="V38" s="2622"/>
    </row>
    <row r="39" spans="1:30" s="2986" customFormat="1">
      <c r="A39" s="3076" t="s">
        <v>512</v>
      </c>
      <c r="B39" s="3077"/>
      <c r="C39" s="3077"/>
      <c r="D39" s="3077"/>
      <c r="E39" s="3077"/>
      <c r="F39" s="3077"/>
      <c r="G39" s="3077"/>
      <c r="H39" s="3077"/>
      <c r="I39" s="3077"/>
      <c r="J39" s="3091"/>
      <c r="K39" s="3092"/>
      <c r="L39" s="3091"/>
      <c r="M39" s="3091"/>
      <c r="N39" s="3091"/>
      <c r="O39" s="3093"/>
      <c r="P39" s="3091"/>
      <c r="Q39" s="3091"/>
      <c r="R39" s="3091"/>
      <c r="S39" s="3091"/>
      <c r="T39" s="3091"/>
      <c r="U39" s="3091"/>
      <c r="V39" s="3091"/>
      <c r="W39" s="3100"/>
      <c r="X39" s="3100"/>
      <c r="Y39" s="3100"/>
      <c r="Z39" s="3100"/>
      <c r="AA39" s="3100"/>
      <c r="AB39" s="3100"/>
      <c r="AC39" s="3100"/>
      <c r="AD39" s="3100"/>
    </row>
    <row r="40" spans="1:30">
      <c r="A40" s="2990"/>
      <c r="B40" s="2990"/>
      <c r="C40" s="2990"/>
      <c r="D40" s="2990"/>
      <c r="E40" s="2990"/>
      <c r="F40" s="2990"/>
      <c r="G40" s="2990"/>
      <c r="H40" s="2990"/>
      <c r="I40" s="2445"/>
      <c r="J40" s="2622"/>
      <c r="K40" s="3080"/>
      <c r="L40" s="2446"/>
      <c r="M40" s="2446"/>
      <c r="N40" s="2622"/>
      <c r="O40" s="2446"/>
      <c r="P40" s="2622"/>
      <c r="Q40" s="2622"/>
      <c r="R40" s="2622"/>
      <c r="S40" s="2622"/>
      <c r="T40" s="2622"/>
      <c r="U40" s="2622"/>
      <c r="V40" s="2622"/>
    </row>
    <row r="41" spans="1:30">
      <c r="A41" s="3078" t="s">
        <v>513</v>
      </c>
      <c r="B41" s="2334"/>
      <c r="C41" s="1856"/>
      <c r="D41" s="2990"/>
      <c r="E41" s="2990"/>
      <c r="F41" s="2990"/>
      <c r="G41" s="2990"/>
      <c r="H41" s="2990"/>
      <c r="I41" s="2445"/>
      <c r="J41" s="2622"/>
      <c r="K41" s="3082"/>
      <c r="L41" s="3081"/>
      <c r="M41" s="3081"/>
      <c r="N41" s="2622"/>
      <c r="O41" s="2446"/>
      <c r="P41" s="2622"/>
      <c r="Q41" s="2622"/>
      <c r="R41" s="2622"/>
      <c r="S41" s="2622"/>
      <c r="T41" s="2622"/>
      <c r="U41" s="2622"/>
      <c r="V41" s="2622"/>
    </row>
    <row r="42" spans="1:30" ht="25.5">
      <c r="A42" s="1538" t="s">
        <v>514</v>
      </c>
      <c r="B42" s="574" t="s">
        <v>515</v>
      </c>
      <c r="C42" s="574" t="s">
        <v>516</v>
      </c>
      <c r="D42" s="574" t="s">
        <v>517</v>
      </c>
      <c r="E42" s="574" t="s">
        <v>518</v>
      </c>
      <c r="F42" s="574" t="s">
        <v>519</v>
      </c>
      <c r="G42" s="574" t="s">
        <v>520</v>
      </c>
      <c r="H42" s="574" t="s">
        <v>521</v>
      </c>
      <c r="I42" s="574" t="s">
        <v>522</v>
      </c>
      <c r="J42" s="3094" t="s">
        <v>523</v>
      </c>
      <c r="K42" s="3095" t="s">
        <v>524</v>
      </c>
      <c r="L42" s="3095" t="s">
        <v>525</v>
      </c>
      <c r="M42" s="3095" t="s">
        <v>526</v>
      </c>
      <c r="N42" s="3096" t="s">
        <v>527</v>
      </c>
      <c r="O42" s="3096" t="s">
        <v>528</v>
      </c>
      <c r="P42" s="3096" t="s">
        <v>529</v>
      </c>
      <c r="Q42" s="3101" t="s">
        <v>530</v>
      </c>
      <c r="R42" s="3101" t="s">
        <v>531</v>
      </c>
      <c r="S42" s="2622"/>
      <c r="T42" s="2622"/>
      <c r="U42" s="2622"/>
      <c r="V42" s="2622"/>
    </row>
    <row r="43" spans="1:30" s="2842" customFormat="1">
      <c r="A43" s="2932"/>
      <c r="B43" s="527"/>
      <c r="C43" s="527"/>
      <c r="D43" s="527"/>
      <c r="E43" s="527"/>
      <c r="F43" s="527"/>
      <c r="G43" s="527"/>
      <c r="H43" s="527"/>
      <c r="I43" s="527"/>
      <c r="J43" s="3097"/>
      <c r="K43" s="3098"/>
      <c r="L43" s="3098"/>
      <c r="M43" s="527"/>
      <c r="N43" s="527"/>
      <c r="O43" s="527"/>
      <c r="P43" s="527"/>
      <c r="Q43" s="527"/>
      <c r="R43" s="527"/>
      <c r="S43" s="2622"/>
      <c r="T43" s="2622"/>
      <c r="U43" s="2622"/>
      <c r="V43" s="2622"/>
    </row>
    <row r="44" spans="1:30" s="2842" customFormat="1">
      <c r="A44" s="2932"/>
      <c r="B44" s="2932"/>
      <c r="C44" s="527"/>
      <c r="D44" s="527"/>
      <c r="E44" s="527"/>
      <c r="F44" s="527"/>
      <c r="G44" s="527"/>
      <c r="H44" s="527"/>
      <c r="I44" s="527"/>
      <c r="J44" s="3097"/>
      <c r="K44" s="3098"/>
      <c r="L44" s="3098"/>
      <c r="M44" s="527"/>
      <c r="N44" s="527"/>
      <c r="O44" s="527"/>
      <c r="P44" s="527"/>
      <c r="Q44" s="527"/>
      <c r="R44" s="527"/>
      <c r="S44" s="2622"/>
      <c r="T44" s="2622"/>
      <c r="U44" s="2622"/>
      <c r="V44" s="2622"/>
    </row>
    <row r="45" spans="1:30" s="2842" customFormat="1">
      <c r="A45" s="2932"/>
      <c r="B45" s="2932"/>
      <c r="C45" s="527"/>
      <c r="D45" s="527"/>
      <c r="E45" s="527"/>
      <c r="F45" s="527"/>
      <c r="G45" s="527"/>
      <c r="H45" s="527"/>
      <c r="I45" s="527"/>
      <c r="J45" s="3097"/>
      <c r="K45" s="3098"/>
      <c r="L45" s="3098"/>
      <c r="M45" s="527"/>
      <c r="N45" s="527"/>
      <c r="O45" s="527"/>
      <c r="P45" s="527"/>
      <c r="Q45" s="527"/>
      <c r="R45" s="527"/>
      <c r="S45" s="2622"/>
      <c r="T45" s="2622"/>
      <c r="U45" s="2622"/>
      <c r="V45" s="2622"/>
    </row>
    <row r="46" spans="1:30" s="2842" customFormat="1">
      <c r="A46" s="2932"/>
      <c r="B46" s="2932"/>
      <c r="C46" s="527"/>
      <c r="D46" s="527"/>
      <c r="E46" s="527"/>
      <c r="F46" s="527"/>
      <c r="G46" s="527"/>
      <c r="H46" s="527"/>
      <c r="I46" s="527"/>
      <c r="J46" s="3097"/>
      <c r="K46" s="3098"/>
      <c r="L46" s="3098"/>
      <c r="M46" s="527"/>
      <c r="N46" s="527"/>
      <c r="O46" s="527"/>
      <c r="P46" s="527"/>
      <c r="Q46" s="527"/>
      <c r="R46" s="527"/>
      <c r="S46" s="2622"/>
      <c r="T46" s="2622"/>
      <c r="U46" s="2622"/>
      <c r="V46" s="2622"/>
    </row>
    <row r="47" spans="1:30" s="2842" customFormat="1">
      <c r="A47" s="2932"/>
      <c r="B47" s="2932"/>
      <c r="C47" s="527"/>
      <c r="D47" s="527"/>
      <c r="E47" s="527"/>
      <c r="F47" s="527"/>
      <c r="G47" s="527"/>
      <c r="H47" s="527"/>
      <c r="I47" s="527"/>
      <c r="J47" s="3097"/>
      <c r="K47" s="3098"/>
      <c r="L47" s="3098"/>
      <c r="M47" s="527"/>
      <c r="N47" s="527"/>
      <c r="O47" s="527"/>
      <c r="P47" s="527"/>
      <c r="Q47" s="527"/>
      <c r="R47" s="527"/>
      <c r="S47" s="2622"/>
      <c r="T47" s="2622"/>
      <c r="U47" s="2622"/>
      <c r="V47" s="2622"/>
    </row>
    <row r="48" spans="1:30" s="2842" customFormat="1">
      <c r="A48" s="2932"/>
      <c r="B48" s="2932"/>
      <c r="C48" s="527"/>
      <c r="D48" s="527"/>
      <c r="E48" s="527"/>
      <c r="F48" s="527"/>
      <c r="G48" s="527"/>
      <c r="H48" s="527"/>
      <c r="I48" s="527"/>
      <c r="J48" s="3097"/>
      <c r="K48" s="3098"/>
      <c r="L48" s="3098"/>
      <c r="M48" s="527"/>
      <c r="N48" s="527"/>
      <c r="O48" s="527"/>
      <c r="P48" s="527"/>
      <c r="Q48" s="527"/>
      <c r="R48" s="527"/>
      <c r="S48" s="2622"/>
      <c r="T48" s="2622"/>
      <c r="U48" s="2622"/>
      <c r="V48" s="2622"/>
    </row>
    <row r="49" spans="1:22" s="2842" customFormat="1">
      <c r="A49" s="2932"/>
      <c r="B49" s="2932"/>
      <c r="C49" s="527"/>
      <c r="D49" s="527"/>
      <c r="E49" s="527"/>
      <c r="F49" s="527"/>
      <c r="G49" s="527"/>
      <c r="H49" s="527"/>
      <c r="I49" s="527"/>
      <c r="J49" s="3097"/>
      <c r="K49" s="3098"/>
      <c r="L49" s="3098"/>
      <c r="M49" s="527"/>
      <c r="N49" s="527"/>
      <c r="O49" s="527"/>
      <c r="P49" s="527"/>
      <c r="Q49" s="527"/>
      <c r="R49" s="527"/>
      <c r="S49" s="2622"/>
      <c r="T49" s="2622"/>
      <c r="U49" s="2622"/>
      <c r="V49" s="2622"/>
    </row>
    <row r="50" spans="1:22" s="2842" customFormat="1">
      <c r="A50" s="2932"/>
      <c r="B50" s="2932"/>
      <c r="C50" s="527"/>
      <c r="D50" s="527"/>
      <c r="E50" s="527"/>
      <c r="F50" s="527"/>
      <c r="G50" s="527"/>
      <c r="H50" s="527"/>
      <c r="I50" s="527"/>
      <c r="J50" s="3097"/>
      <c r="K50" s="3098"/>
      <c r="L50" s="3098"/>
      <c r="M50" s="527"/>
      <c r="N50" s="527"/>
      <c r="O50" s="527"/>
      <c r="P50" s="527"/>
      <c r="Q50" s="527"/>
      <c r="R50" s="527"/>
      <c r="S50" s="2622"/>
      <c r="T50" s="2622"/>
      <c r="U50" s="2622"/>
      <c r="V50" s="2622"/>
    </row>
    <row r="51" spans="1:22" s="2842" customFormat="1">
      <c r="A51" s="2932"/>
      <c r="B51" s="2932"/>
      <c r="C51" s="527"/>
      <c r="D51" s="527"/>
      <c r="E51" s="527"/>
      <c r="F51" s="527"/>
      <c r="G51" s="527"/>
      <c r="H51" s="527"/>
      <c r="I51" s="527"/>
      <c r="J51" s="3097"/>
      <c r="K51" s="3098"/>
      <c r="L51" s="3098"/>
      <c r="M51" s="527"/>
      <c r="N51" s="527"/>
      <c r="O51" s="527"/>
      <c r="P51" s="527"/>
      <c r="Q51" s="527"/>
      <c r="R51" s="527"/>
    </row>
    <row r="52" spans="1:22" s="2842" customFormat="1">
      <c r="A52" s="2932"/>
      <c r="B52" s="2932"/>
      <c r="C52" s="2932"/>
      <c r="D52" s="2932"/>
      <c r="E52" s="2932"/>
      <c r="F52" s="527"/>
      <c r="G52" s="2932"/>
      <c r="H52" s="2932"/>
      <c r="I52" s="2932"/>
      <c r="J52" s="3099"/>
      <c r="K52" s="3098"/>
      <c r="L52" s="3098"/>
      <c r="M52" s="3098"/>
      <c r="N52" s="2932"/>
      <c r="O52" s="2932"/>
      <c r="P52" s="2932"/>
      <c r="Q52" s="2932"/>
      <c r="R52" s="2932"/>
    </row>
    <row r="53" spans="1:22" s="2842" customFormat="1">
      <c r="A53" s="2932"/>
      <c r="B53" s="2932"/>
      <c r="C53" s="2932"/>
      <c r="D53" s="2932"/>
      <c r="E53" s="2932"/>
      <c r="F53" s="527"/>
      <c r="G53" s="2932"/>
      <c r="H53" s="2932"/>
      <c r="I53" s="2932"/>
      <c r="J53" s="3099"/>
      <c r="K53" s="3098"/>
      <c r="L53" s="3098"/>
      <c r="M53" s="3098"/>
      <c r="N53" s="2932"/>
      <c r="O53" s="2932"/>
      <c r="P53" s="2932"/>
      <c r="Q53" s="2932"/>
      <c r="R53" s="2932"/>
    </row>
    <row r="54" spans="1:22" s="2842" customFormat="1">
      <c r="A54" s="2932"/>
      <c r="B54" s="2932"/>
      <c r="C54" s="2932"/>
      <c r="D54" s="2932"/>
      <c r="E54" s="2932"/>
      <c r="F54" s="527"/>
      <c r="G54" s="2932"/>
      <c r="H54" s="2932"/>
      <c r="I54" s="2932"/>
      <c r="J54" s="3099"/>
      <c r="K54" s="3098"/>
      <c r="L54" s="3098"/>
      <c r="M54" s="3098"/>
      <c r="N54" s="2932"/>
      <c r="O54" s="2932"/>
      <c r="P54" s="2932"/>
      <c r="Q54" s="2932"/>
      <c r="R54" s="2932"/>
    </row>
    <row r="55" spans="1:22" s="2842" customFormat="1">
      <c r="A55" s="2932"/>
      <c r="B55" s="2932"/>
      <c r="C55" s="2932"/>
      <c r="D55" s="2932"/>
      <c r="E55" s="2932"/>
      <c r="F55" s="527"/>
      <c r="G55" s="2932"/>
      <c r="H55" s="2932"/>
      <c r="I55" s="2932"/>
      <c r="J55" s="3099"/>
      <c r="K55" s="3098"/>
      <c r="L55" s="3098"/>
      <c r="M55" s="3098"/>
      <c r="N55" s="2932"/>
      <c r="O55" s="2932"/>
      <c r="P55" s="2932"/>
      <c r="Q55" s="2932"/>
      <c r="R55" s="2932"/>
    </row>
    <row r="56" spans="1:22" s="2842" customFormat="1">
      <c r="A56" s="2932"/>
      <c r="B56" s="2932"/>
      <c r="C56" s="2932"/>
      <c r="D56" s="2932"/>
      <c r="E56" s="2932"/>
      <c r="F56" s="527"/>
      <c r="G56" s="2932"/>
      <c r="H56" s="2932"/>
      <c r="I56" s="2932"/>
      <c r="J56" s="3099"/>
      <c r="K56" s="3098"/>
      <c r="L56" s="3098"/>
      <c r="M56" s="3098"/>
      <c r="N56" s="2932"/>
      <c r="O56" s="2932"/>
      <c r="P56" s="2932"/>
      <c r="Q56" s="2932"/>
      <c r="R56" s="29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16" sqref="B16"/>
    </sheetView>
  </sheetViews>
  <sheetFormatPr defaultColWidth="8.875" defaultRowHeight="14.25"/>
  <cols>
    <col min="1" max="1" width="10.625" style="2909" customWidth="1"/>
    <col min="2" max="2" width="11" style="2909" customWidth="1"/>
    <col min="3" max="3" width="10.375" style="2909" customWidth="1"/>
    <col min="4" max="4" width="9.125" style="2909" customWidth="1"/>
    <col min="5" max="8" width="10" style="2909" customWidth="1"/>
    <col min="9" max="9" width="10.625" style="2909" customWidth="1"/>
    <col min="10" max="10" width="9.5" style="2909" customWidth="1"/>
    <col min="11" max="11" width="11" style="2909" customWidth="1"/>
    <col min="12" max="14" width="9.5" style="2909" customWidth="1"/>
    <col min="15" max="15" width="9.875" style="2909" customWidth="1"/>
    <col min="16" max="16" width="9.75" style="2909" customWidth="1"/>
    <col min="17" max="17" width="9.375" style="2909" customWidth="1"/>
    <col min="18" max="18" width="9.25" style="2909" customWidth="1"/>
    <col min="19" max="19" width="10.875" style="2909" hidden="1" customWidth="1"/>
    <col min="20" max="21" width="10.75" style="2909" hidden="1" customWidth="1"/>
    <col min="22" max="22" width="10.875" style="2909" hidden="1" customWidth="1"/>
    <col min="23" max="27" width="10.75" style="2909" hidden="1" customWidth="1"/>
    <col min="28" max="28" width="10.875" style="2909" hidden="1" customWidth="1"/>
    <col min="29" max="29" width="11" style="2909" customWidth="1"/>
    <col min="30" max="30" width="10" style="2909" customWidth="1"/>
    <col min="31" max="31" width="9.75" style="2909" customWidth="1"/>
    <col min="32" max="46" width="9.5" style="2909" customWidth="1"/>
    <col min="47" max="47" width="18.125" style="2909" customWidth="1"/>
    <col min="48" max="50" width="9.75" style="2909" customWidth="1"/>
    <col min="51" max="55" width="10.5" style="2909" customWidth="1"/>
    <col min="56" max="56" width="9.5" style="2909" customWidth="1"/>
    <col min="57" max="63" width="9.125" style="2909" customWidth="1"/>
    <col min="64" max="64" width="9.5" style="2909" customWidth="1"/>
    <col min="65" max="65" width="9.125" style="2909" customWidth="1"/>
    <col min="66" max="66" width="9.5" style="2909" customWidth="1"/>
    <col min="67" max="69" width="9.125" style="2909" customWidth="1"/>
    <col min="70" max="70" width="9.5" style="2909" customWidth="1"/>
    <col min="71" max="71" width="9" style="2909" customWidth="1"/>
    <col min="72" max="72" width="9.125" style="2909" customWidth="1"/>
    <col min="73" max="16384" width="8.875" style="2909"/>
  </cols>
  <sheetData>
    <row r="1" spans="1:72" ht="20.25">
      <c r="A1" s="2408" t="s">
        <v>532</v>
      </c>
      <c r="B1" s="2910"/>
      <c r="C1" s="2910"/>
      <c r="D1" s="2910"/>
      <c r="E1" s="2910"/>
      <c r="F1" s="2910"/>
      <c r="G1" s="2910"/>
      <c r="H1" s="2910"/>
      <c r="I1" s="2910"/>
      <c r="J1" s="2910"/>
      <c r="K1" s="2910"/>
      <c r="L1" s="2910"/>
      <c r="M1" s="2910"/>
      <c r="N1" s="2910"/>
      <c r="O1" s="2910"/>
      <c r="P1" s="2910"/>
      <c r="Q1" s="2910"/>
      <c r="R1" s="2910"/>
      <c r="S1" s="2910"/>
      <c r="T1" s="2910"/>
      <c r="U1" s="2910"/>
      <c r="V1" s="2910"/>
      <c r="W1" s="2910"/>
      <c r="X1" s="2910"/>
      <c r="Y1" s="2910"/>
      <c r="Z1" s="2910"/>
      <c r="AA1" s="2910"/>
      <c r="AB1" s="2910"/>
      <c r="AC1" s="2910"/>
      <c r="AD1" s="2910"/>
      <c r="AE1" s="2910"/>
      <c r="AF1" s="2910"/>
      <c r="AG1" s="2910"/>
      <c r="AH1" s="2910"/>
      <c r="AI1" s="2910"/>
      <c r="AJ1" s="2910"/>
      <c r="AK1" s="2910"/>
      <c r="AL1" s="2910"/>
      <c r="AM1" s="2910"/>
      <c r="AN1" s="2910"/>
      <c r="AO1" s="2910"/>
      <c r="AP1" s="2910"/>
      <c r="AQ1" s="2910"/>
      <c r="AR1" s="2910"/>
      <c r="AS1" s="2910"/>
      <c r="AT1" s="2910"/>
      <c r="AU1" s="2910"/>
      <c r="AV1" s="2957" t="s">
        <v>533</v>
      </c>
      <c r="AW1" s="2910"/>
      <c r="AX1" s="2910"/>
      <c r="AY1" s="2910"/>
      <c r="AZ1" s="2910"/>
      <c r="BA1" s="2910"/>
      <c r="BB1" s="2910"/>
      <c r="BC1" s="2910"/>
      <c r="BD1" s="2910"/>
      <c r="BE1" s="2910"/>
      <c r="BF1" s="2910"/>
      <c r="BG1" s="2910"/>
      <c r="BH1" s="2910"/>
      <c r="BI1" s="2910"/>
      <c r="BJ1" s="2910"/>
      <c r="BK1" s="2910"/>
      <c r="BL1" s="2910"/>
      <c r="BM1" s="2910"/>
      <c r="BN1" s="2910"/>
      <c r="BO1" s="2910"/>
      <c r="BP1" s="2910"/>
      <c r="BQ1" s="2910"/>
      <c r="BR1" s="2910"/>
      <c r="BS1" s="2910"/>
      <c r="BT1" s="2910"/>
    </row>
    <row r="2" spans="1:72" s="2906" customFormat="1" ht="24">
      <c r="A2" s="574" t="s">
        <v>473</v>
      </c>
      <c r="B2" s="574" t="s">
        <v>469</v>
      </c>
      <c r="C2" s="574" t="s">
        <v>534</v>
      </c>
      <c r="D2" s="2445"/>
      <c r="E2" s="2406"/>
      <c r="F2" s="2445"/>
      <c r="G2" s="2445"/>
      <c r="H2" s="2445"/>
      <c r="I2" s="2445"/>
      <c r="J2" s="2445"/>
      <c r="K2" s="2445"/>
      <c r="L2" s="2445"/>
      <c r="M2" s="2445"/>
      <c r="N2" s="2445"/>
      <c r="O2" s="2445"/>
      <c r="P2" s="2445"/>
      <c r="Q2" s="2445"/>
      <c r="R2" s="2445"/>
      <c r="S2" s="2445"/>
      <c r="T2" s="2445"/>
      <c r="U2" s="2445"/>
      <c r="V2" s="2445"/>
      <c r="W2" s="2445"/>
      <c r="X2" s="2445"/>
      <c r="Y2" s="2445"/>
      <c r="Z2" s="2445"/>
      <c r="AA2" s="2445"/>
      <c r="AB2" s="2445"/>
      <c r="AC2" s="2445"/>
      <c r="AD2" s="2445"/>
      <c r="AE2" s="2445"/>
      <c r="AF2" s="2445"/>
      <c r="AG2" s="2445"/>
      <c r="AH2" s="2445"/>
      <c r="AI2" s="2445"/>
      <c r="AJ2" s="2445"/>
      <c r="AK2" s="2445"/>
      <c r="AL2" s="2445"/>
      <c r="AM2" s="2445"/>
      <c r="AN2" s="2445"/>
      <c r="AO2" s="2445"/>
      <c r="AP2" s="2445"/>
      <c r="AQ2" s="2445"/>
      <c r="AR2" s="2445"/>
      <c r="AS2" s="2445"/>
      <c r="AT2" s="2445"/>
      <c r="AU2" s="2445"/>
      <c r="AV2" s="2445"/>
      <c r="AW2" s="2445"/>
      <c r="AX2" s="2445"/>
      <c r="AY2" s="2965" t="s">
        <v>535</v>
      </c>
      <c r="AZ2" s="2966" t="s">
        <v>536</v>
      </c>
      <c r="BA2" s="574" t="s">
        <v>537</v>
      </c>
      <c r="BB2" s="2445"/>
      <c r="BC2" s="2445"/>
      <c r="BD2" s="2445"/>
      <c r="BE2" s="2445"/>
      <c r="BF2" s="2445"/>
      <c r="BG2" s="2445"/>
      <c r="BH2" s="2445"/>
      <c r="BI2" s="2445"/>
      <c r="BJ2" s="2445"/>
      <c r="BK2" s="2445"/>
      <c r="BL2" s="2445"/>
      <c r="BM2" s="2445"/>
      <c r="BN2" s="2445"/>
      <c r="BO2" s="2445"/>
      <c r="BP2" s="2445"/>
      <c r="BQ2" s="2445"/>
      <c r="BR2" s="2445"/>
      <c r="BS2" s="2445"/>
      <c r="BT2" s="2445"/>
    </row>
    <row r="3" spans="1:72" s="2906" customFormat="1" ht="12.75">
      <c r="A3" s="3285">
        <v>175003.3</v>
      </c>
      <c r="B3" s="2911">
        <f>IF(C3="否",G5-AT5,G5)</f>
        <v>596993.59</v>
      </c>
      <c r="C3" s="2912" t="s">
        <v>538</v>
      </c>
      <c r="D3" s="2445"/>
      <c r="E3" s="2445"/>
      <c r="F3" s="2445"/>
      <c r="G3" s="2445"/>
      <c r="H3" s="2445"/>
      <c r="I3" s="2445"/>
      <c r="J3" s="2445"/>
      <c r="K3" s="2445"/>
      <c r="L3" s="2445"/>
      <c r="M3" s="2445"/>
      <c r="N3" s="2445"/>
      <c r="O3" s="2445"/>
      <c r="P3" s="2445"/>
      <c r="Q3" s="2445"/>
      <c r="R3" s="2445"/>
      <c r="S3" s="2445"/>
      <c r="T3" s="2445"/>
      <c r="U3" s="2445"/>
      <c r="V3" s="2445"/>
      <c r="W3" s="2445"/>
      <c r="X3" s="2445"/>
      <c r="Y3" s="2445"/>
      <c r="Z3" s="2445"/>
      <c r="AA3" s="2445"/>
      <c r="AB3" s="2445"/>
      <c r="AC3" s="2445"/>
      <c r="AD3" s="2445"/>
      <c r="AE3" s="2445"/>
      <c r="AF3" s="2445"/>
      <c r="AG3" s="2445"/>
      <c r="AH3" s="2445"/>
      <c r="AI3" s="2445"/>
      <c r="AJ3" s="2445"/>
      <c r="AK3" s="2445"/>
      <c r="AL3" s="2445"/>
      <c r="AM3" s="2445"/>
      <c r="AN3" s="2445"/>
      <c r="AO3" s="2445"/>
      <c r="AP3" s="2445"/>
      <c r="AQ3" s="2445"/>
      <c r="AR3" s="2445"/>
      <c r="AS3" s="2445"/>
      <c r="AT3" s="2445"/>
      <c r="AU3" s="2445"/>
      <c r="AV3" s="2445"/>
      <c r="AW3" s="2445"/>
      <c r="AX3" s="2445"/>
      <c r="AY3" s="2967"/>
      <c r="AZ3" s="527"/>
      <c r="BA3" s="2953"/>
      <c r="BB3" s="2445"/>
      <c r="BC3" s="2445"/>
      <c r="BD3" s="2445"/>
      <c r="BE3" s="2445"/>
      <c r="BF3" s="2445"/>
      <c r="BG3" s="2445"/>
      <c r="BH3" s="2445"/>
      <c r="BI3" s="2445"/>
      <c r="BJ3" s="2445"/>
      <c r="BK3" s="2445"/>
      <c r="BL3" s="2445"/>
      <c r="BM3" s="2445"/>
      <c r="BN3" s="2445"/>
      <c r="BO3" s="2445"/>
      <c r="BP3" s="2445"/>
      <c r="BQ3" s="2445"/>
      <c r="BR3" s="2445"/>
      <c r="BS3" s="2445"/>
      <c r="BT3" s="2445"/>
    </row>
    <row r="4" spans="1:72" s="2906" customFormat="1" ht="12.75">
      <c r="A4" s="1924"/>
      <c r="B4" s="2913"/>
      <c r="C4" s="2914"/>
      <c r="D4" s="2445"/>
      <c r="E4" s="2445"/>
      <c r="F4" s="2445"/>
      <c r="G4" s="2445"/>
      <c r="H4" s="2445"/>
      <c r="I4" s="2445"/>
      <c r="J4" s="2445"/>
      <c r="K4" s="2445"/>
      <c r="L4" s="2445"/>
      <c r="M4" s="2445"/>
      <c r="N4" s="2445"/>
      <c r="O4" s="2445"/>
      <c r="P4" s="2445"/>
      <c r="Q4" s="2445"/>
      <c r="R4" s="2445"/>
      <c r="S4" s="2445"/>
      <c r="T4" s="2445"/>
      <c r="U4" s="2445"/>
      <c r="V4" s="2445"/>
      <c r="W4" s="2445"/>
      <c r="X4" s="2445"/>
      <c r="Y4" s="2445"/>
      <c r="Z4" s="2445"/>
      <c r="AA4" s="2445"/>
      <c r="AB4" s="2445"/>
      <c r="AC4" s="2445"/>
      <c r="AD4" s="2445"/>
      <c r="AE4" s="2445"/>
      <c r="AF4" s="2445"/>
      <c r="AG4" s="2445"/>
      <c r="AH4" s="2445"/>
      <c r="AI4" s="2445"/>
      <c r="AJ4" s="2445"/>
      <c r="AK4" s="2445"/>
      <c r="AL4" s="2445"/>
      <c r="AM4" s="2445"/>
      <c r="AN4" s="2445"/>
      <c r="AO4" s="2445"/>
      <c r="AP4" s="2445"/>
      <c r="AQ4" s="2445"/>
      <c r="AR4" s="2445"/>
      <c r="AS4" s="2445"/>
      <c r="AT4" s="2445"/>
      <c r="AU4" s="2445"/>
      <c r="AV4" s="2445"/>
      <c r="AW4" s="2445"/>
      <c r="AX4" s="2445"/>
      <c r="AY4" s="2445"/>
      <c r="AZ4" s="2445"/>
      <c r="BA4" s="2968"/>
      <c r="BB4" s="2445"/>
      <c r="BC4" s="2445"/>
      <c r="BD4" s="2445"/>
      <c r="BE4" s="2445"/>
      <c r="BF4" s="2445"/>
      <c r="BG4" s="2445"/>
      <c r="BH4" s="2445"/>
      <c r="BI4" s="2445"/>
      <c r="BJ4" s="2445"/>
      <c r="BK4" s="2445"/>
      <c r="BL4" s="2445"/>
      <c r="BM4" s="2445"/>
      <c r="BN4" s="2445"/>
      <c r="BO4" s="2445"/>
      <c r="BP4" s="2445"/>
      <c r="BQ4" s="2445"/>
      <c r="BR4" s="2445"/>
      <c r="BS4" s="2445"/>
      <c r="BT4" s="2445"/>
    </row>
    <row r="5" spans="1:72" s="2906" customFormat="1" ht="12.75">
      <c r="A5" s="1647" t="s">
        <v>539</v>
      </c>
      <c r="B5" s="2332"/>
      <c r="C5" s="2332"/>
      <c r="D5" s="2455"/>
      <c r="E5" s="2915" t="s">
        <v>124</v>
      </c>
      <c r="F5" s="2915">
        <f>SUM(F13:F587)</f>
        <v>0</v>
      </c>
      <c r="G5" s="2915">
        <f>SUM(G13:G587)</f>
        <v>596993.59</v>
      </c>
      <c r="H5" s="2915">
        <f t="shared" ref="H5:AT5" si="0">SUM(H13:H656)</f>
        <v>587675.46</v>
      </c>
      <c r="I5" s="2915">
        <f t="shared" si="0"/>
        <v>100530.19</v>
      </c>
      <c r="J5" s="2915">
        <f t="shared" si="0"/>
        <v>0</v>
      </c>
      <c r="K5" s="2915">
        <f t="shared" si="0"/>
        <v>77062.61</v>
      </c>
      <c r="L5" s="2915">
        <f t="shared" si="0"/>
        <v>0</v>
      </c>
      <c r="M5" s="2915">
        <f t="shared" si="0"/>
        <v>88035.36</v>
      </c>
      <c r="N5" s="2915">
        <f t="shared" si="0"/>
        <v>0</v>
      </c>
      <c r="O5" s="2915">
        <f t="shared" si="0"/>
        <v>20691.32</v>
      </c>
      <c r="P5" s="2915">
        <f t="shared" si="0"/>
        <v>0</v>
      </c>
      <c r="Q5" s="2915">
        <f t="shared" si="0"/>
        <v>301355.98</v>
      </c>
      <c r="R5" s="2915">
        <f t="shared" si="0"/>
        <v>0</v>
      </c>
      <c r="S5" s="2915">
        <f t="shared" si="0"/>
        <v>0</v>
      </c>
      <c r="T5" s="2915">
        <f t="shared" si="0"/>
        <v>0</v>
      </c>
      <c r="U5" s="2915">
        <f t="shared" si="0"/>
        <v>0</v>
      </c>
      <c r="V5" s="2915">
        <f t="shared" si="0"/>
        <v>0</v>
      </c>
      <c r="W5" s="2915">
        <f t="shared" si="0"/>
        <v>0</v>
      </c>
      <c r="X5" s="2915">
        <f t="shared" si="0"/>
        <v>0</v>
      </c>
      <c r="Y5" s="2915">
        <f t="shared" si="0"/>
        <v>0</v>
      </c>
      <c r="Z5" s="2915">
        <f t="shared" si="0"/>
        <v>0</v>
      </c>
      <c r="AA5" s="2915">
        <f t="shared" si="0"/>
        <v>0</v>
      </c>
      <c r="AB5" s="2915">
        <f t="shared" si="0"/>
        <v>0</v>
      </c>
      <c r="AC5" s="2915">
        <f t="shared" si="0"/>
        <v>9318.1299999999756</v>
      </c>
      <c r="AD5" s="2915">
        <f t="shared" si="0"/>
        <v>0</v>
      </c>
      <c r="AE5" s="2915">
        <f t="shared" si="0"/>
        <v>0</v>
      </c>
      <c r="AF5" s="2915">
        <f t="shared" si="0"/>
        <v>0</v>
      </c>
      <c r="AG5" s="2915">
        <f t="shared" si="0"/>
        <v>0</v>
      </c>
      <c r="AH5" s="2915">
        <f t="shared" si="0"/>
        <v>0</v>
      </c>
      <c r="AI5" s="2915">
        <f t="shared" si="0"/>
        <v>0</v>
      </c>
      <c r="AJ5" s="2915">
        <f t="shared" si="0"/>
        <v>0</v>
      </c>
      <c r="AK5" s="2915">
        <f t="shared" si="0"/>
        <v>0</v>
      </c>
      <c r="AL5" s="2915">
        <f t="shared" si="0"/>
        <v>9318.1299999999756</v>
      </c>
      <c r="AM5" s="2915">
        <f t="shared" si="0"/>
        <v>0</v>
      </c>
      <c r="AN5" s="2915">
        <f t="shared" si="0"/>
        <v>0</v>
      </c>
      <c r="AO5" s="2915">
        <f t="shared" si="0"/>
        <v>0</v>
      </c>
      <c r="AP5" s="2915">
        <f t="shared" si="0"/>
        <v>0</v>
      </c>
      <c r="AQ5" s="2915">
        <f t="shared" si="0"/>
        <v>0</v>
      </c>
      <c r="AR5" s="2915">
        <f t="shared" si="0"/>
        <v>0</v>
      </c>
      <c r="AS5" s="2915">
        <f t="shared" si="0"/>
        <v>0</v>
      </c>
      <c r="AT5" s="2915">
        <f t="shared" si="0"/>
        <v>0</v>
      </c>
      <c r="AU5" s="2331"/>
      <c r="AV5" s="1647" t="s">
        <v>539</v>
      </c>
      <c r="AW5" s="2332"/>
      <c r="AX5" s="2332"/>
      <c r="AY5" s="522" t="s">
        <v>124</v>
      </c>
      <c r="AZ5" s="2969">
        <f t="shared" ref="AZ5:BT5" si="1">SUM(AZ13:AZ656)</f>
        <v>596993.59</v>
      </c>
      <c r="BA5" s="2969">
        <f t="shared" si="1"/>
        <v>587675.46</v>
      </c>
      <c r="BB5" s="2969">
        <f t="shared" si="1"/>
        <v>100530.19</v>
      </c>
      <c r="BC5" s="2969">
        <f t="shared" si="1"/>
        <v>77062.61</v>
      </c>
      <c r="BD5" s="2969">
        <f t="shared" si="1"/>
        <v>88035.36</v>
      </c>
      <c r="BE5" s="2969">
        <f t="shared" si="1"/>
        <v>20691.32</v>
      </c>
      <c r="BF5" s="2969">
        <f t="shared" si="1"/>
        <v>301355.98</v>
      </c>
      <c r="BG5" s="2969">
        <f t="shared" si="1"/>
        <v>0</v>
      </c>
      <c r="BH5" s="2969">
        <f t="shared" si="1"/>
        <v>0</v>
      </c>
      <c r="BI5" s="2969">
        <f t="shared" si="1"/>
        <v>0</v>
      </c>
      <c r="BJ5" s="2969">
        <f t="shared" si="1"/>
        <v>0</v>
      </c>
      <c r="BK5" s="2969">
        <f t="shared" si="1"/>
        <v>0</v>
      </c>
      <c r="BL5" s="2969">
        <f t="shared" si="1"/>
        <v>9318.1299999999756</v>
      </c>
      <c r="BM5" s="2969">
        <f t="shared" si="1"/>
        <v>0</v>
      </c>
      <c r="BN5" s="2969">
        <f t="shared" si="1"/>
        <v>0</v>
      </c>
      <c r="BO5" s="2969">
        <f t="shared" si="1"/>
        <v>0</v>
      </c>
      <c r="BP5" s="2969">
        <f t="shared" si="1"/>
        <v>0</v>
      </c>
      <c r="BQ5" s="2969">
        <f t="shared" si="1"/>
        <v>9318.1299999999756</v>
      </c>
      <c r="BR5" s="2969">
        <f t="shared" si="1"/>
        <v>0</v>
      </c>
      <c r="BS5" s="2969">
        <f t="shared" si="1"/>
        <v>0</v>
      </c>
      <c r="BT5" s="2977">
        <f t="shared" si="1"/>
        <v>0</v>
      </c>
    </row>
    <row r="6" spans="1:72" s="2907" customFormat="1" ht="12.75">
      <c r="A6" s="1647" t="s">
        <v>540</v>
      </c>
      <c r="B6" s="2916"/>
      <c r="C6" s="2916"/>
      <c r="D6" s="2917"/>
      <c r="E6" s="2915">
        <f>H6+AC6+AT6</f>
        <v>175003.29</v>
      </c>
      <c r="F6" s="2915" t="s">
        <v>124</v>
      </c>
      <c r="G6" s="2915" t="s">
        <v>124</v>
      </c>
      <c r="H6" s="2918">
        <f>SUMIF(I$12:AB$12,"总值",I6:AB6)</f>
        <v>172271.76</v>
      </c>
      <c r="I6" s="2915">
        <f t="shared" ref="I6:AB6" si="2">ROUND($A$3*I5/$B$3,2)</f>
        <v>29469.52</v>
      </c>
      <c r="J6" s="2915">
        <f t="shared" si="2"/>
        <v>0</v>
      </c>
      <c r="K6" s="2915">
        <f t="shared" si="2"/>
        <v>22590.21</v>
      </c>
      <c r="L6" s="2915">
        <f t="shared" si="2"/>
        <v>0</v>
      </c>
      <c r="M6" s="2915">
        <f t="shared" si="2"/>
        <v>25806.77</v>
      </c>
      <c r="N6" s="2915">
        <f t="shared" si="2"/>
        <v>0</v>
      </c>
      <c r="O6" s="2915">
        <f t="shared" si="2"/>
        <v>6065.47</v>
      </c>
      <c r="P6" s="2915">
        <f t="shared" si="2"/>
        <v>0</v>
      </c>
      <c r="Q6" s="2915">
        <f t="shared" si="2"/>
        <v>88339.79</v>
      </c>
      <c r="R6" s="2915">
        <f t="shared" si="2"/>
        <v>0</v>
      </c>
      <c r="S6" s="2915">
        <f t="shared" si="2"/>
        <v>0</v>
      </c>
      <c r="T6" s="2915">
        <f t="shared" si="2"/>
        <v>0</v>
      </c>
      <c r="U6" s="2915">
        <f t="shared" si="2"/>
        <v>0</v>
      </c>
      <c r="V6" s="2915">
        <f t="shared" si="2"/>
        <v>0</v>
      </c>
      <c r="W6" s="2915">
        <f t="shared" si="2"/>
        <v>0</v>
      </c>
      <c r="X6" s="2915">
        <f t="shared" si="2"/>
        <v>0</v>
      </c>
      <c r="Y6" s="2915">
        <f t="shared" si="2"/>
        <v>0</v>
      </c>
      <c r="Z6" s="2915">
        <f t="shared" si="2"/>
        <v>0</v>
      </c>
      <c r="AA6" s="2915">
        <f t="shared" si="2"/>
        <v>0</v>
      </c>
      <c r="AB6" s="2915">
        <f t="shared" si="2"/>
        <v>0</v>
      </c>
      <c r="AC6" s="2918">
        <f>SUMIF(AD$12:AS$12,"总值",AD6:AS6)</f>
        <v>2731.53</v>
      </c>
      <c r="AD6" s="2915">
        <f t="shared" ref="AD6:AS6" si="3">ROUND($A$3*AD5/$B$3,2)</f>
        <v>0</v>
      </c>
      <c r="AE6" s="2915">
        <f t="shared" si="3"/>
        <v>0</v>
      </c>
      <c r="AF6" s="2915">
        <f t="shared" si="3"/>
        <v>0</v>
      </c>
      <c r="AG6" s="2915">
        <f t="shared" si="3"/>
        <v>0</v>
      </c>
      <c r="AH6" s="2915">
        <f t="shared" si="3"/>
        <v>0</v>
      </c>
      <c r="AI6" s="2915">
        <f t="shared" si="3"/>
        <v>0</v>
      </c>
      <c r="AJ6" s="2915">
        <f t="shared" si="3"/>
        <v>0</v>
      </c>
      <c r="AK6" s="2915">
        <f t="shared" si="3"/>
        <v>0</v>
      </c>
      <c r="AL6" s="2915">
        <f t="shared" si="3"/>
        <v>2731.53</v>
      </c>
      <c r="AM6" s="2915">
        <f t="shared" si="3"/>
        <v>0</v>
      </c>
      <c r="AN6" s="2915">
        <f t="shared" si="3"/>
        <v>0</v>
      </c>
      <c r="AO6" s="2915">
        <f t="shared" si="3"/>
        <v>0</v>
      </c>
      <c r="AP6" s="2915">
        <f t="shared" si="3"/>
        <v>0</v>
      </c>
      <c r="AQ6" s="2915">
        <f t="shared" si="3"/>
        <v>0</v>
      </c>
      <c r="AR6" s="2915">
        <f t="shared" si="3"/>
        <v>0</v>
      </c>
      <c r="AS6" s="2915">
        <f t="shared" si="3"/>
        <v>0</v>
      </c>
      <c r="AT6" s="2918">
        <f>IF(C3="是",ROUND($A$3*AT5/$B$3,2),0)</f>
        <v>0</v>
      </c>
      <c r="AU6" s="2958"/>
      <c r="AV6" s="1647" t="s">
        <v>540</v>
      </c>
      <c r="AW6" s="2916"/>
      <c r="AX6" s="2916"/>
      <c r="AY6" s="2970">
        <f>IF(AY3&gt;0,AY3,ROUND($A$3*AZ5/$B$3,2))</f>
        <v>175003.3</v>
      </c>
      <c r="AZ6" s="2915" t="s">
        <v>124</v>
      </c>
      <c r="BA6" s="2915">
        <f>ROUND($AY$6*BA5/$AZ$5,2)</f>
        <v>172271.77</v>
      </c>
      <c r="BB6" s="2915">
        <f>ROUND($AY$6*BB5/$AZ$5,2)</f>
        <v>29469.52</v>
      </c>
      <c r="BC6" s="2915">
        <f t="shared" ref="BC6:BH6" si="4">ROUND($AY$6*BC5/$AZ$5,2)</f>
        <v>22590.21</v>
      </c>
      <c r="BD6" s="2915">
        <f t="shared" si="4"/>
        <v>25806.77</v>
      </c>
      <c r="BE6" s="2915">
        <f t="shared" si="4"/>
        <v>6065.47</v>
      </c>
      <c r="BF6" s="2915">
        <f t="shared" si="4"/>
        <v>88339.79</v>
      </c>
      <c r="BG6" s="2915">
        <f t="shared" si="4"/>
        <v>0</v>
      </c>
      <c r="BH6" s="2915">
        <f t="shared" si="4"/>
        <v>0</v>
      </c>
      <c r="BI6" s="2915">
        <f t="shared" ref="BI6:BT6" si="5">ROUND($AY$6*BI5/$AZ$5,2)</f>
        <v>0</v>
      </c>
      <c r="BJ6" s="2915">
        <f t="shared" si="5"/>
        <v>0</v>
      </c>
      <c r="BK6" s="2915">
        <f t="shared" si="5"/>
        <v>0</v>
      </c>
      <c r="BL6" s="2915">
        <f t="shared" si="5"/>
        <v>2731.53</v>
      </c>
      <c r="BM6" s="2915">
        <f t="shared" si="5"/>
        <v>0</v>
      </c>
      <c r="BN6" s="2915">
        <f t="shared" si="5"/>
        <v>0</v>
      </c>
      <c r="BO6" s="2915">
        <f t="shared" si="5"/>
        <v>0</v>
      </c>
      <c r="BP6" s="2915">
        <f t="shared" si="5"/>
        <v>0</v>
      </c>
      <c r="BQ6" s="2915">
        <f t="shared" si="5"/>
        <v>2731.53</v>
      </c>
      <c r="BR6" s="2915">
        <f t="shared" si="5"/>
        <v>0</v>
      </c>
      <c r="BS6" s="2915">
        <f t="shared" si="5"/>
        <v>0</v>
      </c>
      <c r="BT6" s="2978">
        <f t="shared" si="5"/>
        <v>0</v>
      </c>
    </row>
    <row r="7" spans="1:72" s="2906" customFormat="1" ht="24.75">
      <c r="A7" s="2919" t="s">
        <v>541</v>
      </c>
      <c r="B7" s="2919" t="s">
        <v>542</v>
      </c>
      <c r="C7" s="2919" t="s">
        <v>515</v>
      </c>
      <c r="D7" s="2919" t="s">
        <v>543</v>
      </c>
      <c r="E7" s="2919" t="s">
        <v>540</v>
      </c>
      <c r="F7" s="2919" t="s">
        <v>544</v>
      </c>
      <c r="G7" s="2425" t="s">
        <v>545</v>
      </c>
      <c r="H7" s="2920"/>
      <c r="I7" s="2920"/>
      <c r="J7" s="2920"/>
      <c r="K7" s="2920"/>
      <c r="L7" s="2920"/>
      <c r="M7" s="2920"/>
      <c r="N7" s="2920"/>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455"/>
      <c r="AU7" s="2920" t="s">
        <v>546</v>
      </c>
      <c r="AV7" s="2959" t="s">
        <v>541</v>
      </c>
      <c r="AW7" s="2445" t="s">
        <v>542</v>
      </c>
      <c r="AX7" s="2959" t="s">
        <v>515</v>
      </c>
      <c r="AY7" s="2332" t="s">
        <v>547</v>
      </c>
      <c r="AZ7" s="2949"/>
      <c r="BA7" s="2920"/>
      <c r="BB7" s="2920"/>
      <c r="BC7" s="2920"/>
      <c r="BD7" s="2920"/>
      <c r="BE7" s="2920"/>
      <c r="BF7" s="2920"/>
      <c r="BG7" s="2920"/>
      <c r="BH7" s="2920"/>
      <c r="BI7" s="2920"/>
      <c r="BJ7" s="2920"/>
      <c r="BK7" s="2920"/>
      <c r="BL7" s="2920"/>
      <c r="BM7" s="2920"/>
      <c r="BN7" s="2920"/>
      <c r="BO7" s="2920"/>
      <c r="BP7" s="2920"/>
      <c r="BQ7" s="2920"/>
      <c r="BR7" s="2920"/>
      <c r="BS7" s="2920"/>
      <c r="BT7" s="2979"/>
    </row>
    <row r="8" spans="1:72" s="2669" customFormat="1" ht="24">
      <c r="A8" s="2921"/>
      <c r="B8" s="2921"/>
      <c r="C8" s="2921"/>
      <c r="D8" s="2921"/>
      <c r="E8" s="2921"/>
      <c r="F8" s="2921"/>
      <c r="G8" s="2922" t="s">
        <v>548</v>
      </c>
      <c r="H8" s="2923" t="s">
        <v>549</v>
      </c>
      <c r="I8" s="2938"/>
      <c r="J8" s="573"/>
      <c r="K8" s="573"/>
      <c r="L8" s="573"/>
      <c r="M8" s="573"/>
      <c r="N8" s="573"/>
      <c r="O8" s="573"/>
      <c r="P8" s="573"/>
      <c r="Q8" s="573"/>
      <c r="R8" s="573"/>
      <c r="S8" s="573"/>
      <c r="T8" s="573"/>
      <c r="U8" s="573"/>
      <c r="V8" s="2945"/>
      <c r="W8" s="573"/>
      <c r="X8" s="573"/>
      <c r="Y8" s="573"/>
      <c r="Z8" s="573"/>
      <c r="AA8" s="2945"/>
      <c r="AB8" s="2947"/>
      <c r="AC8" s="2262" t="s">
        <v>550</v>
      </c>
      <c r="AD8" s="2948"/>
      <c r="AE8" s="2949"/>
      <c r="AF8" s="573"/>
      <c r="AG8" s="573"/>
      <c r="AH8" s="573"/>
      <c r="AI8" s="573"/>
      <c r="AJ8" s="573"/>
      <c r="AK8" s="573"/>
      <c r="AL8" s="573"/>
      <c r="AM8" s="573"/>
      <c r="AN8" s="573"/>
      <c r="AO8" s="573"/>
      <c r="AP8" s="573"/>
      <c r="AQ8" s="573"/>
      <c r="AR8" s="573"/>
      <c r="AS8" s="573"/>
      <c r="AT8" s="1490" t="s">
        <v>551</v>
      </c>
      <c r="AU8" s="2921" t="s">
        <v>552</v>
      </c>
      <c r="AV8" s="1490"/>
      <c r="AW8" s="2406"/>
      <c r="AX8" s="1490"/>
      <c r="AY8" s="2445" t="s">
        <v>540</v>
      </c>
      <c r="AZ8" s="572" t="s">
        <v>469</v>
      </c>
      <c r="BA8" s="573"/>
      <c r="BB8" s="573"/>
      <c r="BC8" s="573"/>
      <c r="BD8" s="573"/>
      <c r="BE8" s="573"/>
      <c r="BF8" s="573"/>
      <c r="BG8" s="573"/>
      <c r="BH8" s="573"/>
      <c r="BI8" s="573"/>
      <c r="BJ8" s="573"/>
      <c r="BK8" s="573"/>
      <c r="BL8" s="573"/>
      <c r="BM8" s="573"/>
      <c r="BN8" s="573"/>
      <c r="BO8" s="573"/>
      <c r="BP8" s="573"/>
      <c r="BQ8" s="573"/>
      <c r="BR8" s="573"/>
      <c r="BS8" s="573"/>
      <c r="BT8" s="1536"/>
    </row>
    <row r="9" spans="1:72" s="2669" customFormat="1" ht="12.75">
      <c r="A9" s="2921"/>
      <c r="B9" s="2921"/>
      <c r="C9" s="2921"/>
      <c r="D9" s="2921"/>
      <c r="E9" s="2921"/>
      <c r="F9" s="2921"/>
      <c r="G9" s="1490"/>
      <c r="H9" s="2924" t="s">
        <v>553</v>
      </c>
      <c r="I9" s="2939" t="s">
        <v>431</v>
      </c>
      <c r="J9" s="2262"/>
      <c r="K9" s="2939" t="s">
        <v>431</v>
      </c>
      <c r="L9" s="2262"/>
      <c r="M9" s="2939" t="s">
        <v>431</v>
      </c>
      <c r="N9" s="2262"/>
      <c r="O9" s="2939" t="s">
        <v>431</v>
      </c>
      <c r="P9" s="2262"/>
      <c r="Q9" s="2939" t="s">
        <v>432</v>
      </c>
      <c r="R9" s="2262"/>
      <c r="S9" s="2939"/>
      <c r="T9" s="2262"/>
      <c r="U9" s="2939"/>
      <c r="V9" s="2262"/>
      <c r="W9" s="2939"/>
      <c r="X9" s="2946"/>
      <c r="Y9" s="2939"/>
      <c r="Z9" s="2262"/>
      <c r="AA9" s="2939"/>
      <c r="AB9" s="2262"/>
      <c r="AC9" s="2922" t="s">
        <v>553</v>
      </c>
      <c r="AD9" s="1647" t="s">
        <v>554</v>
      </c>
      <c r="AE9" s="1502"/>
      <c r="AF9" s="1647" t="s">
        <v>555</v>
      </c>
      <c r="AG9" s="1502"/>
      <c r="AH9" s="1647" t="s">
        <v>554</v>
      </c>
      <c r="AI9" s="1502"/>
      <c r="AJ9" s="1647" t="s">
        <v>555</v>
      </c>
      <c r="AK9" s="1502"/>
      <c r="AL9" s="1647" t="s">
        <v>554</v>
      </c>
      <c r="AM9" s="1502"/>
      <c r="AN9" s="1647" t="s">
        <v>555</v>
      </c>
      <c r="AO9" s="1502"/>
      <c r="AP9" s="1647" t="s">
        <v>554</v>
      </c>
      <c r="AQ9" s="1502"/>
      <c r="AR9" s="1647" t="s">
        <v>555</v>
      </c>
      <c r="AS9" s="2960"/>
      <c r="AT9" s="2921"/>
      <c r="AU9" s="2921" t="s">
        <v>556</v>
      </c>
      <c r="AV9" s="1490"/>
      <c r="AW9" s="2406"/>
      <c r="AX9" s="1490"/>
      <c r="AY9" s="2925"/>
      <c r="AZ9" s="2925" t="s">
        <v>548</v>
      </c>
      <c r="BA9" s="2971" t="s">
        <v>557</v>
      </c>
      <c r="BB9" s="2972"/>
      <c r="BC9" s="1547"/>
      <c r="BD9" s="1547"/>
      <c r="BE9" s="1547"/>
      <c r="BF9" s="1547"/>
      <c r="BG9" s="1547"/>
      <c r="BH9" s="1547"/>
      <c r="BI9" s="1547"/>
      <c r="BJ9" s="1547"/>
      <c r="BK9" s="2976"/>
      <c r="BL9" s="1647" t="s">
        <v>558</v>
      </c>
      <c r="BM9" s="573"/>
      <c r="BN9" s="2938"/>
      <c r="BO9" s="573"/>
      <c r="BP9" s="573"/>
      <c r="BQ9" s="573"/>
      <c r="BR9" s="573"/>
      <c r="BS9" s="573"/>
      <c r="BT9" s="1536"/>
    </row>
    <row r="10" spans="1:72" s="2669" customFormat="1" ht="12.75">
      <c r="A10" s="2921"/>
      <c r="B10" s="2921"/>
      <c r="C10" s="2921"/>
      <c r="D10" s="2921"/>
      <c r="E10" s="2921"/>
      <c r="F10" s="2921"/>
      <c r="G10" s="1490"/>
      <c r="H10" s="2925"/>
      <c r="I10" s="2939" t="s">
        <v>559</v>
      </c>
      <c r="J10" s="2262"/>
      <c r="K10" s="2940" t="s">
        <v>559</v>
      </c>
      <c r="L10" s="2262"/>
      <c r="M10" s="2940" t="s">
        <v>559</v>
      </c>
      <c r="N10" s="2262"/>
      <c r="O10" s="2940" t="s">
        <v>559</v>
      </c>
      <c r="P10" s="2262"/>
      <c r="Q10" s="2940" t="s">
        <v>560</v>
      </c>
      <c r="R10" s="2262"/>
      <c r="S10" s="2940"/>
      <c r="T10" s="2262"/>
      <c r="U10" s="2940"/>
      <c r="V10" s="2262"/>
      <c r="W10" s="2940"/>
      <c r="X10" s="2262"/>
      <c r="Y10" s="2940"/>
      <c r="Z10" s="2262"/>
      <c r="AA10" s="2940"/>
      <c r="AB10" s="2262"/>
      <c r="AC10" s="1490"/>
      <c r="AD10" s="1647" t="s">
        <v>561</v>
      </c>
      <c r="AE10" s="2950"/>
      <c r="AF10" s="1647" t="s">
        <v>561</v>
      </c>
      <c r="AG10" s="2950"/>
      <c r="AH10" s="1647" t="s">
        <v>562</v>
      </c>
      <c r="AI10" s="2950"/>
      <c r="AJ10" s="1647" t="s">
        <v>562</v>
      </c>
      <c r="AK10" s="2950"/>
      <c r="AL10" s="1647" t="s">
        <v>563</v>
      </c>
      <c r="AM10" s="1502"/>
      <c r="AN10" s="1647" t="s">
        <v>563</v>
      </c>
      <c r="AO10" s="1502"/>
      <c r="AP10" s="1647" t="s">
        <v>564</v>
      </c>
      <c r="AQ10" s="1502"/>
      <c r="AR10" s="1647" t="s">
        <v>564</v>
      </c>
      <c r="AS10" s="1502"/>
      <c r="AT10" s="2921"/>
      <c r="AU10" s="2921"/>
      <c r="AV10" s="1490"/>
      <c r="AW10" s="2406"/>
      <c r="AX10" s="1490"/>
      <c r="AY10" s="2925"/>
      <c r="AZ10" s="2925"/>
      <c r="BA10" s="2926" t="s">
        <v>553</v>
      </c>
      <c r="BB10" s="2973" t="str">
        <f>I9</f>
        <v>地上</v>
      </c>
      <c r="BC10" s="1559" t="str">
        <f>K9</f>
        <v>地上</v>
      </c>
      <c r="BD10" s="1559" t="str">
        <f>M9</f>
        <v>地上</v>
      </c>
      <c r="BE10" s="1559" t="str">
        <f>O9</f>
        <v>地上</v>
      </c>
      <c r="BF10" s="1559" t="str">
        <f>Q9</f>
        <v>地下</v>
      </c>
      <c r="BG10" s="1559">
        <f>S9</f>
        <v>0</v>
      </c>
      <c r="BH10" s="1559">
        <f>U9</f>
        <v>0</v>
      </c>
      <c r="BI10" s="1559">
        <f>W9</f>
        <v>0</v>
      </c>
      <c r="BJ10" s="1559">
        <f>Y9</f>
        <v>0</v>
      </c>
      <c r="BK10" s="1559">
        <f>AA9</f>
        <v>0</v>
      </c>
      <c r="BL10" s="1555" t="s">
        <v>553</v>
      </c>
      <c r="BM10" s="572" t="str">
        <f>AD9</f>
        <v>地上</v>
      </c>
      <c r="BN10" s="1559" t="str">
        <f>AF9</f>
        <v>地下</v>
      </c>
      <c r="BO10" s="572" t="str">
        <f>AH9</f>
        <v>地上</v>
      </c>
      <c r="BP10" s="1559" t="str">
        <f>AJ9</f>
        <v>地下</v>
      </c>
      <c r="BQ10" s="572" t="str">
        <f>AL9</f>
        <v>地上</v>
      </c>
      <c r="BR10" s="1559" t="str">
        <f>AN9</f>
        <v>地下</v>
      </c>
      <c r="BS10" s="572" t="str">
        <f>AP9</f>
        <v>地上</v>
      </c>
      <c r="BT10" s="2980" t="str">
        <f>AR9</f>
        <v>地下</v>
      </c>
    </row>
    <row r="11" spans="1:72" s="2669" customFormat="1" ht="12.75">
      <c r="A11" s="2921"/>
      <c r="B11" s="2921"/>
      <c r="C11" s="2921"/>
      <c r="D11" s="2921"/>
      <c r="E11" s="2921"/>
      <c r="F11" s="2921"/>
      <c r="G11" s="1490"/>
      <c r="H11" s="2926"/>
      <c r="I11" s="2941"/>
      <c r="J11" s="2942"/>
      <c r="K11" s="2941"/>
      <c r="L11" s="2942"/>
      <c r="M11" s="2941"/>
      <c r="N11" s="2942"/>
      <c r="O11" s="2941"/>
      <c r="P11" s="2942"/>
      <c r="Q11" s="2941"/>
      <c r="R11" s="2942"/>
      <c r="S11" s="2941"/>
      <c r="T11" s="2942"/>
      <c r="U11" s="2941"/>
      <c r="V11" s="2942"/>
      <c r="W11" s="2941"/>
      <c r="X11" s="2942"/>
      <c r="Y11" s="2941"/>
      <c r="Z11" s="2942"/>
      <c r="AA11" s="2941"/>
      <c r="AB11" s="2942"/>
      <c r="AC11" s="1490"/>
      <c r="AD11" s="2951" t="s">
        <v>565</v>
      </c>
      <c r="AE11" s="626"/>
      <c r="AF11" s="2951" t="s">
        <v>565</v>
      </c>
      <c r="AG11" s="626"/>
      <c r="AH11" s="2951" t="s">
        <v>566</v>
      </c>
      <c r="AI11" s="2955"/>
      <c r="AJ11" s="2951" t="s">
        <v>566</v>
      </c>
      <c r="AK11" s="626"/>
      <c r="AL11" s="572"/>
      <c r="AM11" s="626"/>
      <c r="AN11" s="572"/>
      <c r="AO11" s="626"/>
      <c r="AP11" s="572"/>
      <c r="AQ11" s="626"/>
      <c r="AR11" s="572"/>
      <c r="AS11" s="626"/>
      <c r="AT11" s="2406"/>
      <c r="AU11" s="2921"/>
      <c r="AV11" s="1490"/>
      <c r="AW11" s="2406"/>
      <c r="AX11" s="1490"/>
      <c r="AY11" s="2925"/>
      <c r="AZ11" s="2925"/>
      <c r="BA11" s="2925"/>
      <c r="BB11" s="2947" t="str">
        <f>I10</f>
        <v>商业</v>
      </c>
      <c r="BC11" s="2947" t="str">
        <f>K10</f>
        <v>商业</v>
      </c>
      <c r="BD11" s="2947" t="str">
        <f>M10</f>
        <v>商业</v>
      </c>
      <c r="BE11" s="2947" t="str">
        <f>O10</f>
        <v>商业</v>
      </c>
      <c r="BF11" s="2947" t="str">
        <f>Q10</f>
        <v>车库—商业</v>
      </c>
      <c r="BG11" s="2947">
        <f>S10</f>
        <v>0</v>
      </c>
      <c r="BH11" s="2947">
        <f>U10</f>
        <v>0</v>
      </c>
      <c r="BI11" s="2947">
        <f>W10</f>
        <v>0</v>
      </c>
      <c r="BJ11" s="2947">
        <f>Y10</f>
        <v>0</v>
      </c>
      <c r="BK11" s="2947">
        <f>AA10</f>
        <v>0</v>
      </c>
      <c r="BL11" s="1490"/>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555" t="str">
        <f>AP10</f>
        <v>未注明</v>
      </c>
      <c r="BT11" s="2981" t="str">
        <f>AR10</f>
        <v>未注明</v>
      </c>
    </row>
    <row r="12" spans="1:72" s="2906" customFormat="1" ht="12.75">
      <c r="A12" s="2927"/>
      <c r="B12" s="2927"/>
      <c r="C12" s="2927"/>
      <c r="D12" s="2927"/>
      <c r="E12" s="2927"/>
      <c r="F12" s="2927"/>
      <c r="G12" s="1918"/>
      <c r="H12" s="2928"/>
      <c r="I12" s="2455" t="s">
        <v>567</v>
      </c>
      <c r="J12" s="574" t="s">
        <v>568</v>
      </c>
      <c r="K12" s="574" t="s">
        <v>567</v>
      </c>
      <c r="L12" s="574" t="s">
        <v>568</v>
      </c>
      <c r="M12" s="574" t="s">
        <v>567</v>
      </c>
      <c r="N12" s="574" t="s">
        <v>568</v>
      </c>
      <c r="O12" s="574" t="s">
        <v>567</v>
      </c>
      <c r="P12" s="574" t="s">
        <v>568</v>
      </c>
      <c r="Q12" s="574" t="s">
        <v>567</v>
      </c>
      <c r="R12" s="574" t="s">
        <v>568</v>
      </c>
      <c r="S12" s="574" t="s">
        <v>567</v>
      </c>
      <c r="T12" s="574" t="s">
        <v>568</v>
      </c>
      <c r="U12" s="574" t="s">
        <v>567</v>
      </c>
      <c r="V12" s="2331" t="s">
        <v>568</v>
      </c>
      <c r="W12" s="574" t="s">
        <v>567</v>
      </c>
      <c r="X12" s="574" t="s">
        <v>568</v>
      </c>
      <c r="Y12" s="574" t="s">
        <v>567</v>
      </c>
      <c r="Z12" s="574" t="s">
        <v>568</v>
      </c>
      <c r="AA12" s="574" t="s">
        <v>567</v>
      </c>
      <c r="AB12" s="574" t="s">
        <v>568</v>
      </c>
      <c r="AC12" s="2952"/>
      <c r="AD12" s="2455" t="s">
        <v>567</v>
      </c>
      <c r="AE12" s="574" t="s">
        <v>568</v>
      </c>
      <c r="AF12" s="574" t="s">
        <v>567</v>
      </c>
      <c r="AG12" s="574" t="s">
        <v>568</v>
      </c>
      <c r="AH12" s="574" t="s">
        <v>567</v>
      </c>
      <c r="AI12" s="574" t="s">
        <v>568</v>
      </c>
      <c r="AJ12" s="574" t="s">
        <v>567</v>
      </c>
      <c r="AK12" s="574" t="s">
        <v>568</v>
      </c>
      <c r="AL12" s="574" t="s">
        <v>567</v>
      </c>
      <c r="AM12" s="574" t="s">
        <v>568</v>
      </c>
      <c r="AN12" s="574" t="s">
        <v>567</v>
      </c>
      <c r="AO12" s="574" t="s">
        <v>568</v>
      </c>
      <c r="AP12" s="574" t="s">
        <v>567</v>
      </c>
      <c r="AQ12" s="574" t="s">
        <v>568</v>
      </c>
      <c r="AR12" s="1918" t="s">
        <v>567</v>
      </c>
      <c r="AS12" s="2927" t="s">
        <v>568</v>
      </c>
      <c r="AT12" s="2961"/>
      <c r="AU12" s="2927"/>
      <c r="AV12" s="2962"/>
      <c r="AW12" s="2445"/>
      <c r="AX12" s="2962"/>
      <c r="AY12" s="2974"/>
      <c r="AZ12" s="2925"/>
      <c r="BA12" s="2926"/>
      <c r="BB12" s="571">
        <f>I11</f>
        <v>0</v>
      </c>
      <c r="BC12" s="2975">
        <f>K11</f>
        <v>0</v>
      </c>
      <c r="BD12" s="2975">
        <f>M11</f>
        <v>0</v>
      </c>
      <c r="BE12" s="2947">
        <f>O11</f>
        <v>0</v>
      </c>
      <c r="BF12" s="2947">
        <f>Q11</f>
        <v>0</v>
      </c>
      <c r="BG12" s="2947">
        <f>S11</f>
        <v>0</v>
      </c>
      <c r="BH12" s="2947">
        <f>U11</f>
        <v>0</v>
      </c>
      <c r="BI12" s="2947">
        <f>W11</f>
        <v>0</v>
      </c>
      <c r="BJ12" s="2947">
        <f>Y11</f>
        <v>0</v>
      </c>
      <c r="BK12" s="2947">
        <f>AA11</f>
        <v>0</v>
      </c>
      <c r="BL12" s="1490"/>
      <c r="BM12" s="572" t="str">
        <f>AD11</f>
        <v>（住宅）</v>
      </c>
      <c r="BN12" s="572" t="str">
        <f>AF11</f>
        <v>（住宅）</v>
      </c>
      <c r="BO12" s="571" t="str">
        <f>AH11</f>
        <v>（住宅、计出让金）</v>
      </c>
      <c r="BP12" s="571" t="str">
        <f>AJ11</f>
        <v>（住宅、计出让金）</v>
      </c>
      <c r="BQ12" s="571">
        <f>AL11</f>
        <v>0</v>
      </c>
      <c r="BR12" s="571">
        <f>AN11</f>
        <v>0</v>
      </c>
      <c r="BS12" s="1555">
        <f>AP11</f>
        <v>0</v>
      </c>
      <c r="BT12" s="2981">
        <f>AR11</f>
        <v>0</v>
      </c>
    </row>
    <row r="13" spans="1:72" s="2906" customFormat="1" ht="12.75">
      <c r="A13" s="527"/>
      <c r="B13" s="527"/>
      <c r="C13" s="527" t="s">
        <v>569</v>
      </c>
      <c r="D13" s="2929" t="s">
        <v>570</v>
      </c>
      <c r="E13" s="2915">
        <f>IF($C$3="是",ROUND($A$3*G13/$B$3,2),ROUND($A$3*(G13-AT13)/$B$3,2))</f>
        <v>141742.51999999999</v>
      </c>
      <c r="F13" s="2930"/>
      <c r="G13" s="2931">
        <f>H13+AC13+AT13</f>
        <v>483530.16</v>
      </c>
      <c r="H13" s="2918">
        <f>SUMIF(I$12:AB$12,"总值",I13:AB13)</f>
        <v>474652.22</v>
      </c>
      <c r="I13" s="2943">
        <f>Sheet1!D4</f>
        <v>80406.63</v>
      </c>
      <c r="J13" s="2943"/>
      <c r="K13" s="2943">
        <f>Sheet1!D5</f>
        <v>71790.05</v>
      </c>
      <c r="L13" s="2943"/>
      <c r="M13" s="2943">
        <f>Sheet1!D6</f>
        <v>68146.350000000006</v>
      </c>
      <c r="N13" s="2943"/>
      <c r="O13" s="2943">
        <f>Sheet1!D7</f>
        <v>20691.32</v>
      </c>
      <c r="P13" s="2943"/>
      <c r="Q13" s="2943">
        <f>Sheet1!D8+Sheet1!D9+Sheet1!D10</f>
        <v>233617.87</v>
      </c>
      <c r="R13" s="2943"/>
      <c r="S13" s="2943"/>
      <c r="T13" s="2943"/>
      <c r="U13" s="2943"/>
      <c r="V13" s="2943"/>
      <c r="W13" s="2943"/>
      <c r="X13" s="2943"/>
      <c r="Y13" s="2943"/>
      <c r="Z13" s="2943"/>
      <c r="AA13" s="2943"/>
      <c r="AB13" s="2943"/>
      <c r="AC13" s="2915">
        <f>SUMIF(AD$12:AS$12,"总值",AD13:AS13)</f>
        <v>8877.939999999975</v>
      </c>
      <c r="AD13" s="2953"/>
      <c r="AE13" s="2953"/>
      <c r="AF13" s="2953"/>
      <c r="AG13" s="2953"/>
      <c r="AH13" s="2953"/>
      <c r="AI13" s="2953"/>
      <c r="AJ13" s="2953"/>
      <c r="AK13" s="2953"/>
      <c r="AL13" s="2956">
        <f>Sheet1!D11+Sheet1!D12+Sheet1!D13+Sheet1!D16</f>
        <v>8877.939999999975</v>
      </c>
      <c r="AM13" s="2953"/>
      <c r="AN13" s="2953"/>
      <c r="AO13" s="2953"/>
      <c r="AP13" s="2953"/>
      <c r="AQ13" s="2953"/>
      <c r="AR13" s="2953"/>
      <c r="AS13" s="2953"/>
      <c r="AT13" s="2930"/>
      <c r="AU13" s="2963"/>
      <c r="AV13" s="574">
        <f t="shared" ref="AV13:AX17" si="6">A13</f>
        <v>0</v>
      </c>
      <c r="AW13" s="574">
        <f t="shared" si="6"/>
        <v>0</v>
      </c>
      <c r="AX13" s="574" t="str">
        <f t="shared" si="6"/>
        <v>1号楼</v>
      </c>
      <c r="AY13" s="2455">
        <f>ROUND($AY$6*AZ13/$AZ$5,2)</f>
        <v>141742.51999999999</v>
      </c>
      <c r="AZ13" s="2915">
        <f>BA13+BL13</f>
        <v>483530.16</v>
      </c>
      <c r="BA13" s="2915">
        <f>SUM(BB13:BK13)</f>
        <v>474652.22</v>
      </c>
      <c r="BB13" s="2915">
        <f>IF($D13="是",I13-J13,0)</f>
        <v>80406.63</v>
      </c>
      <c r="BC13" s="2915">
        <f>IF($D13="是",K13-L13,0)</f>
        <v>71790.05</v>
      </c>
      <c r="BD13" s="2915">
        <f>IF($D13="是",M13-N13,0)</f>
        <v>68146.350000000006</v>
      </c>
      <c r="BE13" s="2915">
        <f>IF($D13="是",O13-P13,0)</f>
        <v>20691.32</v>
      </c>
      <c r="BF13" s="2915">
        <f>IF($D13="是",Q13-R13,0)</f>
        <v>233617.87</v>
      </c>
      <c r="BG13" s="2915">
        <f>IF($D13="是",S13-T13,0)</f>
        <v>0</v>
      </c>
      <c r="BH13" s="2915">
        <f>IF($D13="是",U13-V13,0)</f>
        <v>0</v>
      </c>
      <c r="BI13" s="2915">
        <f>IF($D13="是",W13-X13,0)</f>
        <v>0</v>
      </c>
      <c r="BJ13" s="2915">
        <f>IF($D13="是",Y13-Z13,0)</f>
        <v>0</v>
      </c>
      <c r="BK13" s="2915">
        <f>IF($D13="是",AA13-AB13,0)</f>
        <v>0</v>
      </c>
      <c r="BL13" s="2915">
        <f>SUM(BM13:BT13)</f>
        <v>8877.939999999975</v>
      </c>
      <c r="BM13" s="2915">
        <f>IF($D13="是",AD13-AE13,0)</f>
        <v>0</v>
      </c>
      <c r="BN13" s="2915">
        <f>IF($D13="是",AF13-AG13,0)</f>
        <v>0</v>
      </c>
      <c r="BO13" s="2915">
        <f>IF($D13="是",AH13-AI13,0)</f>
        <v>0</v>
      </c>
      <c r="BP13" s="2915">
        <f>IF($D13="是",AJ13-AK13,0)</f>
        <v>0</v>
      </c>
      <c r="BQ13" s="2915">
        <f>IF($D13="是",AL13-AM13,0)</f>
        <v>8877.939999999975</v>
      </c>
      <c r="BR13" s="2915">
        <f>IF($D13="是",AN13-AO13,0)</f>
        <v>0</v>
      </c>
      <c r="BS13" s="2915">
        <f>IF($D13="是",AP13-AQ13,0)</f>
        <v>0</v>
      </c>
      <c r="BT13" s="2978">
        <f>IF($D13="是",AR13-AS13,0)</f>
        <v>0</v>
      </c>
    </row>
    <row r="14" spans="1:72" s="2906" customFormat="1" ht="12.75">
      <c r="A14" s="527"/>
      <c r="B14" s="527"/>
      <c r="C14" s="2932" t="s">
        <v>571</v>
      </c>
      <c r="D14" s="2929" t="s">
        <v>570</v>
      </c>
      <c r="E14" s="2915">
        <f>IF($C$3="是",ROUND($A$3*G14/$B$3,2),ROUND($A$3*(G14-AT14)/$B$3,2))</f>
        <v>33260.78</v>
      </c>
      <c r="F14" s="2930"/>
      <c r="G14" s="2931">
        <f>H14+AC14+AT14</f>
        <v>113463.43000000001</v>
      </c>
      <c r="H14" s="2918">
        <f>SUMIF(I$12:AB$12,"总值",I14:AB14)</f>
        <v>113023.24</v>
      </c>
      <c r="I14" s="2943">
        <f>Sheet1!K4</f>
        <v>20123.560000000001</v>
      </c>
      <c r="J14" s="2943"/>
      <c r="K14" s="2943">
        <f>Sheet1!K5</f>
        <v>5272.56</v>
      </c>
      <c r="L14" s="2943"/>
      <c r="M14" s="2943">
        <f>Sheet1!K6</f>
        <v>19889.009999999998</v>
      </c>
      <c r="N14" s="2943"/>
      <c r="O14" s="2943"/>
      <c r="P14" s="2943"/>
      <c r="Q14" s="2943">
        <f>Sheet1!K7+Sheet1!K8+Sheet1!K9</f>
        <v>67738.11</v>
      </c>
      <c r="R14" s="2943"/>
      <c r="S14" s="2943"/>
      <c r="T14" s="2943"/>
      <c r="U14" s="2943"/>
      <c r="V14" s="2943"/>
      <c r="W14" s="2943"/>
      <c r="X14" s="2943"/>
      <c r="Y14" s="2943"/>
      <c r="Z14" s="2943"/>
      <c r="AA14" s="2943"/>
      <c r="AB14" s="2943"/>
      <c r="AC14" s="2915">
        <f>SUMIF(AD$12:AS$12,"总值",AD14:AS14)</f>
        <v>440.19</v>
      </c>
      <c r="AD14" s="2953"/>
      <c r="AE14" s="2953"/>
      <c r="AF14" s="2953"/>
      <c r="AG14" s="2953"/>
      <c r="AH14" s="2953"/>
      <c r="AI14" s="2953"/>
      <c r="AJ14" s="2953"/>
      <c r="AK14" s="2953"/>
      <c r="AL14" s="2953">
        <f>Sheet1!K12</f>
        <v>440.19</v>
      </c>
      <c r="AM14" s="2953"/>
      <c r="AN14" s="2953"/>
      <c r="AO14" s="2953"/>
      <c r="AP14" s="2953"/>
      <c r="AQ14" s="2953"/>
      <c r="AR14" s="2953"/>
      <c r="AS14" s="2953"/>
      <c r="AT14" s="2930"/>
      <c r="AU14" s="2963"/>
      <c r="AV14" s="574">
        <f t="shared" si="6"/>
        <v>0</v>
      </c>
      <c r="AW14" s="574">
        <f t="shared" si="6"/>
        <v>0</v>
      </c>
      <c r="AX14" s="574" t="str">
        <f t="shared" si="6"/>
        <v>2号楼</v>
      </c>
      <c r="AY14" s="2455">
        <f>ROUND($AY$6*AZ14/$AZ$5,2)</f>
        <v>33260.78</v>
      </c>
      <c r="AZ14" s="2915">
        <f>BA14+BL14</f>
        <v>113463.43000000001</v>
      </c>
      <c r="BA14" s="2915">
        <f>SUM(BB14:BK14)</f>
        <v>113023.24</v>
      </c>
      <c r="BB14" s="2915">
        <f>IF($D14="是",I14-J14,0)</f>
        <v>20123.560000000001</v>
      </c>
      <c r="BC14" s="2915">
        <f>IF($D14="是",K14-L14,0)</f>
        <v>5272.56</v>
      </c>
      <c r="BD14" s="2915">
        <f>IF($D14="是",M14-N14,0)</f>
        <v>19889.009999999998</v>
      </c>
      <c r="BE14" s="2915">
        <f>IF($D14="是",O14-P14,0)</f>
        <v>0</v>
      </c>
      <c r="BF14" s="2915">
        <f>IF($D14="是",Q14-R14,0)</f>
        <v>67738.11</v>
      </c>
      <c r="BG14" s="2915">
        <f>IF($D14="是",S14-T14,0)</f>
        <v>0</v>
      </c>
      <c r="BH14" s="2915">
        <f>IF($D14="是",U14-V14,0)</f>
        <v>0</v>
      </c>
      <c r="BI14" s="2915">
        <f>IF($D14="是",W14-X14,0)</f>
        <v>0</v>
      </c>
      <c r="BJ14" s="2915">
        <f>IF($D14="是",Y14-Z14,0)</f>
        <v>0</v>
      </c>
      <c r="BK14" s="2915">
        <f>IF($D14="是",AA14-AB14,0)</f>
        <v>0</v>
      </c>
      <c r="BL14" s="2915">
        <f>SUM(BM14:BT14)</f>
        <v>440.19</v>
      </c>
      <c r="BM14" s="2915">
        <f>IF($D14="是",AD14-AE14,0)</f>
        <v>0</v>
      </c>
      <c r="BN14" s="2915">
        <f>IF($D14="是",AF14-AG14,0)</f>
        <v>0</v>
      </c>
      <c r="BO14" s="2915">
        <f>IF($D14="是",AH14-AI14,0)</f>
        <v>0</v>
      </c>
      <c r="BP14" s="2915">
        <f>IF($D14="是",AJ14-AK14,0)</f>
        <v>0</v>
      </c>
      <c r="BQ14" s="2915">
        <f>IF($D14="是",AL14-AM14,0)</f>
        <v>440.19</v>
      </c>
      <c r="BR14" s="2915">
        <f>IF($D14="是",AN14-AO14,0)</f>
        <v>0</v>
      </c>
      <c r="BS14" s="2915">
        <f>IF($D14="是",AP14-AQ14,0)</f>
        <v>0</v>
      </c>
      <c r="BT14" s="2978">
        <f>IF($D14="是",AR14-AS14,0)</f>
        <v>0</v>
      </c>
    </row>
    <row r="15" spans="1:72" s="2906" customFormat="1" ht="12.75">
      <c r="A15" s="527"/>
      <c r="B15" s="527"/>
      <c r="C15" s="2932"/>
      <c r="D15" s="2929"/>
      <c r="E15" s="2915">
        <f>IF($C$3="是",ROUND($A$3*G15/$B$3,2),ROUND($A$3*(G15-AT15)/$B$3,2))</f>
        <v>0</v>
      </c>
      <c r="F15" s="2930"/>
      <c r="G15" s="2931">
        <f>H15+AC15+AT15</f>
        <v>0</v>
      </c>
      <c r="H15" s="2918">
        <f>SUMIF(I$12:AB$12,"总值",I15:AB15)</f>
        <v>0</v>
      </c>
      <c r="I15" s="2943"/>
      <c r="J15" s="2943"/>
      <c r="K15" s="2943"/>
      <c r="L15" s="2943"/>
      <c r="M15" s="2943"/>
      <c r="N15" s="2943"/>
      <c r="O15" s="2943"/>
      <c r="P15" s="2943"/>
      <c r="Q15" s="2943"/>
      <c r="R15" s="2943"/>
      <c r="S15" s="2943"/>
      <c r="T15" s="2943"/>
      <c r="U15" s="2943"/>
      <c r="V15" s="2943"/>
      <c r="W15" s="2943"/>
      <c r="X15" s="2943"/>
      <c r="Y15" s="2943"/>
      <c r="Z15" s="2943"/>
      <c r="AA15" s="2943"/>
      <c r="AB15" s="2943"/>
      <c r="AC15" s="2915">
        <f>SUMIF(AD$12:AS$12,"总值",AD15:AS15)</f>
        <v>0</v>
      </c>
      <c r="AD15" s="2953"/>
      <c r="AE15" s="2953"/>
      <c r="AF15" s="2953"/>
      <c r="AG15" s="2953"/>
      <c r="AH15" s="2953"/>
      <c r="AI15" s="2953"/>
      <c r="AJ15" s="2953"/>
      <c r="AK15" s="2953"/>
      <c r="AL15" s="2953"/>
      <c r="AM15" s="2953"/>
      <c r="AN15" s="2953"/>
      <c r="AO15" s="2953"/>
      <c r="AP15" s="2953"/>
      <c r="AQ15" s="2953"/>
      <c r="AR15" s="2953"/>
      <c r="AS15" s="2953"/>
      <c r="AT15" s="2930"/>
      <c r="AU15" s="2963"/>
      <c r="AV15" s="574">
        <f t="shared" si="6"/>
        <v>0</v>
      </c>
      <c r="AW15" s="574">
        <f t="shared" si="6"/>
        <v>0</v>
      </c>
      <c r="AX15" s="574">
        <f t="shared" si="6"/>
        <v>0</v>
      </c>
      <c r="AY15" s="2455">
        <f>ROUND($AY$6*AZ15/$AZ$5,2)</f>
        <v>0</v>
      </c>
      <c r="AZ15" s="2915">
        <f>BA15+BL15</f>
        <v>0</v>
      </c>
      <c r="BA15" s="2915">
        <f>SUM(BB15:BK15)</f>
        <v>0</v>
      </c>
      <c r="BB15" s="2915">
        <f>IF($D15="是",I15-J15,0)</f>
        <v>0</v>
      </c>
      <c r="BC15" s="2915">
        <f>IF($D15="是",K15-L15,0)</f>
        <v>0</v>
      </c>
      <c r="BD15" s="2915">
        <f>IF($D15="是",M15-N15,0)</f>
        <v>0</v>
      </c>
      <c r="BE15" s="2915">
        <f>IF($D15="是",O15-P15,0)</f>
        <v>0</v>
      </c>
      <c r="BF15" s="2915">
        <f>IF($D15="是",Q15-R15,0)</f>
        <v>0</v>
      </c>
      <c r="BG15" s="2915">
        <f>IF($D15="是",S15-T15,0)</f>
        <v>0</v>
      </c>
      <c r="BH15" s="2915">
        <f>IF($D15="是",U15-V15,0)</f>
        <v>0</v>
      </c>
      <c r="BI15" s="2915">
        <f>IF($D15="是",W15-X15,0)</f>
        <v>0</v>
      </c>
      <c r="BJ15" s="2915">
        <f>IF($D15="是",Y15-Z15,0)</f>
        <v>0</v>
      </c>
      <c r="BK15" s="2915">
        <f>IF($D15="是",AA15-AB15,0)</f>
        <v>0</v>
      </c>
      <c r="BL15" s="2915">
        <f>SUM(BM15:BT15)</f>
        <v>0</v>
      </c>
      <c r="BM15" s="2915">
        <f>IF($D15="是",AD15-AE15,0)</f>
        <v>0</v>
      </c>
      <c r="BN15" s="2915">
        <f>IF($D15="是",AF15-AG15,0)</f>
        <v>0</v>
      </c>
      <c r="BO15" s="2915">
        <f>IF($D15="是",AH15-AI15,0)</f>
        <v>0</v>
      </c>
      <c r="BP15" s="2915">
        <f>IF($D15="是",AJ15-AK15,0)</f>
        <v>0</v>
      </c>
      <c r="BQ15" s="2915">
        <f>IF($D15="是",AL15-AM15,0)</f>
        <v>0</v>
      </c>
      <c r="BR15" s="2915">
        <f>IF($D15="是",AN15-AO15,0)</f>
        <v>0</v>
      </c>
      <c r="BS15" s="2915">
        <f>IF($D15="是",AP15-AQ15,0)</f>
        <v>0</v>
      </c>
      <c r="BT15" s="2978">
        <f>IF($D15="是",AR15-AS15,0)</f>
        <v>0</v>
      </c>
    </row>
    <row r="16" spans="1:72" s="2906" customFormat="1" ht="12.75">
      <c r="A16" s="527"/>
      <c r="B16" s="527"/>
      <c r="C16" s="2932"/>
      <c r="D16" s="2929"/>
      <c r="E16" s="2915">
        <f>IF($C$3="是",ROUND($A$3*G16/$B$3,2),ROUND($A$3*(G16-AT16)/$B$3,2))</f>
        <v>0</v>
      </c>
      <c r="F16" s="2930"/>
      <c r="G16" s="2931">
        <f>H16+AC16+AT16</f>
        <v>0</v>
      </c>
      <c r="H16" s="2918">
        <f>SUMIF(I$12:AB$12,"总值",I16:AB16)</f>
        <v>0</v>
      </c>
      <c r="I16" s="2943"/>
      <c r="J16" s="2943"/>
      <c r="K16" s="2943"/>
      <c r="L16" s="2943"/>
      <c r="M16" s="2943"/>
      <c r="N16" s="2943"/>
      <c r="O16" s="2943"/>
      <c r="P16" s="2943"/>
      <c r="Q16" s="2943"/>
      <c r="R16" s="2943"/>
      <c r="S16" s="2943"/>
      <c r="T16" s="2943"/>
      <c r="U16" s="2943"/>
      <c r="V16" s="2943"/>
      <c r="W16" s="2943"/>
      <c r="X16" s="2943"/>
      <c r="Y16" s="2943"/>
      <c r="Z16" s="2943"/>
      <c r="AA16" s="2943"/>
      <c r="AB16" s="2943"/>
      <c r="AC16" s="2915">
        <f>SUMIF(AD$12:AS$12,"总值",AD16:AS16)</f>
        <v>0</v>
      </c>
      <c r="AD16" s="2953"/>
      <c r="AE16" s="2953"/>
      <c r="AF16" s="2953"/>
      <c r="AG16" s="2953"/>
      <c r="AH16" s="2953"/>
      <c r="AI16" s="2953"/>
      <c r="AJ16" s="2953"/>
      <c r="AK16" s="2953"/>
      <c r="AL16" s="2953"/>
      <c r="AM16" s="2953"/>
      <c r="AN16" s="2953"/>
      <c r="AO16" s="2953"/>
      <c r="AP16" s="2953"/>
      <c r="AQ16" s="2953"/>
      <c r="AR16" s="2953"/>
      <c r="AS16" s="2953"/>
      <c r="AT16" s="2930"/>
      <c r="AU16" s="2963"/>
      <c r="AV16" s="574">
        <f t="shared" si="6"/>
        <v>0</v>
      </c>
      <c r="AW16" s="574">
        <f t="shared" si="6"/>
        <v>0</v>
      </c>
      <c r="AX16" s="574">
        <f t="shared" si="6"/>
        <v>0</v>
      </c>
      <c r="AY16" s="2455">
        <f>ROUND($AY$6*AZ16/$AZ$5,2)</f>
        <v>0</v>
      </c>
      <c r="AZ16" s="2915">
        <f>BA16+BL16</f>
        <v>0</v>
      </c>
      <c r="BA16" s="2915">
        <f>SUM(BB16:BK16)</f>
        <v>0</v>
      </c>
      <c r="BB16" s="2915">
        <f>IF($D16="是",I16-J16,0)</f>
        <v>0</v>
      </c>
      <c r="BC16" s="2915">
        <f>IF($D16="是",K16-L16,0)</f>
        <v>0</v>
      </c>
      <c r="BD16" s="2915">
        <f>IF($D16="是",M16-N16,0)</f>
        <v>0</v>
      </c>
      <c r="BE16" s="2915">
        <f>IF($D16="是",O16-P16,0)</f>
        <v>0</v>
      </c>
      <c r="BF16" s="2915">
        <f>IF($D16="是",Q16-R16,0)</f>
        <v>0</v>
      </c>
      <c r="BG16" s="2915">
        <f>IF($D16="是",S16-T16,0)</f>
        <v>0</v>
      </c>
      <c r="BH16" s="2915">
        <f>IF($D16="是",U16-V16,0)</f>
        <v>0</v>
      </c>
      <c r="BI16" s="2915">
        <f>IF($D16="是",W16-X16,0)</f>
        <v>0</v>
      </c>
      <c r="BJ16" s="2915">
        <f>IF($D16="是",Y16-Z16,0)</f>
        <v>0</v>
      </c>
      <c r="BK16" s="2915">
        <f>IF($D16="是",AA16-AB16,0)</f>
        <v>0</v>
      </c>
      <c r="BL16" s="2915">
        <f>SUM(BM16:BT16)</f>
        <v>0</v>
      </c>
      <c r="BM16" s="2915">
        <f>IF($D16="是",AD16-AE16,0)</f>
        <v>0</v>
      </c>
      <c r="BN16" s="2915">
        <f>IF($D16="是",AF16-AG16,0)</f>
        <v>0</v>
      </c>
      <c r="BO16" s="2915">
        <f>IF($D16="是",AH16-AI16,0)</f>
        <v>0</v>
      </c>
      <c r="BP16" s="2915">
        <f>IF($D16="是",AJ16-AK16,0)</f>
        <v>0</v>
      </c>
      <c r="BQ16" s="2915">
        <f>IF($D16="是",AL16-AM16,0)</f>
        <v>0</v>
      </c>
      <c r="BR16" s="2915">
        <f>IF($D16="是",AN16-AO16,0)</f>
        <v>0</v>
      </c>
      <c r="BS16" s="2915">
        <f>IF($D16="是",AP16-AQ16,0)</f>
        <v>0</v>
      </c>
      <c r="BT16" s="2978">
        <f>IF($D16="是",AR16-AS16,0)</f>
        <v>0</v>
      </c>
    </row>
    <row r="17" spans="1:72" s="2906" customFormat="1" ht="12.75">
      <c r="A17" s="527"/>
      <c r="B17" s="527"/>
      <c r="C17" s="2932"/>
      <c r="D17" s="2929"/>
      <c r="E17" s="2915">
        <f>IF($C$3="是",ROUND($A$3*G17/$B$3,2),ROUND($A$3*(G17-AT17)/$B$3,2))</f>
        <v>0</v>
      </c>
      <c r="F17" s="2930"/>
      <c r="G17" s="2931">
        <f>H17+AC17+AT17</f>
        <v>0</v>
      </c>
      <c r="H17" s="2918">
        <f>SUMIF(I$12:AB$12,"总值",I17:AB17)</f>
        <v>0</v>
      </c>
      <c r="I17" s="2943"/>
      <c r="J17" s="2943"/>
      <c r="K17" s="2943"/>
      <c r="L17" s="2943"/>
      <c r="M17" s="2943"/>
      <c r="N17" s="2943"/>
      <c r="O17" s="2943"/>
      <c r="P17" s="2943"/>
      <c r="Q17" s="2943"/>
      <c r="R17" s="2943"/>
      <c r="S17" s="2943"/>
      <c r="T17" s="2943"/>
      <c r="U17" s="2943"/>
      <c r="V17" s="2943"/>
      <c r="W17" s="2943"/>
      <c r="X17" s="2943"/>
      <c r="Y17" s="2943"/>
      <c r="Z17" s="2943"/>
      <c r="AA17" s="2943"/>
      <c r="AB17" s="2943"/>
      <c r="AC17" s="2915">
        <f>SUMIF(AD$12:AS$12,"总值",AD17:AS17)</f>
        <v>0</v>
      </c>
      <c r="AD17" s="2953"/>
      <c r="AE17" s="2953"/>
      <c r="AF17" s="2953"/>
      <c r="AG17" s="2953"/>
      <c r="AH17" s="2953"/>
      <c r="AI17" s="2953"/>
      <c r="AJ17" s="2953"/>
      <c r="AK17" s="2953"/>
      <c r="AL17" s="2953"/>
      <c r="AM17" s="2953"/>
      <c r="AN17" s="2953"/>
      <c r="AO17" s="2953"/>
      <c r="AP17" s="2953"/>
      <c r="AQ17" s="2953"/>
      <c r="AR17" s="2953"/>
      <c r="AS17" s="2953"/>
      <c r="AT17" s="2930"/>
      <c r="AU17" s="2963"/>
      <c r="AV17" s="574">
        <f t="shared" si="6"/>
        <v>0</v>
      </c>
      <c r="AW17" s="574">
        <f t="shared" si="6"/>
        <v>0</v>
      </c>
      <c r="AX17" s="574">
        <f t="shared" si="6"/>
        <v>0</v>
      </c>
      <c r="AY17" s="2455">
        <f>ROUND($AY$6*AZ17/$AZ$5,2)</f>
        <v>0</v>
      </c>
      <c r="AZ17" s="2915">
        <f>BA17+BL17</f>
        <v>0</v>
      </c>
      <c r="BA17" s="2915">
        <f>SUM(BB17:BK17)</f>
        <v>0</v>
      </c>
      <c r="BB17" s="2915">
        <f>IF($D17="是",I17-J17,0)</f>
        <v>0</v>
      </c>
      <c r="BC17" s="2915">
        <f>IF($D17="是",K17-L17,0)</f>
        <v>0</v>
      </c>
      <c r="BD17" s="2915">
        <f>IF($D17="是",M17-N17,0)</f>
        <v>0</v>
      </c>
      <c r="BE17" s="2915">
        <f>IF($D17="是",O17-P17,0)</f>
        <v>0</v>
      </c>
      <c r="BF17" s="2915">
        <f>IF($D17="是",Q17-R17,0)</f>
        <v>0</v>
      </c>
      <c r="BG17" s="2915">
        <f>IF($D17="是",S17-T17,0)</f>
        <v>0</v>
      </c>
      <c r="BH17" s="2915">
        <f>IF($D17="是",U17-V17,0)</f>
        <v>0</v>
      </c>
      <c r="BI17" s="2915">
        <f>IF($D17="是",W17-X17,0)</f>
        <v>0</v>
      </c>
      <c r="BJ17" s="2915">
        <f>IF($D17="是",Y17-Z17,0)</f>
        <v>0</v>
      </c>
      <c r="BK17" s="2915">
        <f>IF($D17="是",AA17-AB17,0)</f>
        <v>0</v>
      </c>
      <c r="BL17" s="2915">
        <f>SUM(BM17:BT17)</f>
        <v>0</v>
      </c>
      <c r="BM17" s="2915">
        <f>IF($D17="是",AD17-AE17,0)</f>
        <v>0</v>
      </c>
      <c r="BN17" s="2915">
        <f>IF($D17="是",AF17-AG17,0)</f>
        <v>0</v>
      </c>
      <c r="BO17" s="2915">
        <f>IF($D17="是",AH17-AI17,0)</f>
        <v>0</v>
      </c>
      <c r="BP17" s="2915">
        <f>IF($D17="是",AJ17-AK17,0)</f>
        <v>0</v>
      </c>
      <c r="BQ17" s="2915">
        <f>IF($D17="是",AL17-AM17,0)</f>
        <v>0</v>
      </c>
      <c r="BR17" s="2915">
        <f>IF($D17="是",AN17-AO17,0)</f>
        <v>0</v>
      </c>
      <c r="BS17" s="2915">
        <f>IF($D17="是",AP17-AQ17,0)</f>
        <v>0</v>
      </c>
      <c r="BT17" s="2978">
        <f>IF($D17="是",AR17-AS17,0)</f>
        <v>0</v>
      </c>
    </row>
    <row r="18" spans="1:72">
      <c r="A18" s="874"/>
      <c r="B18" s="882"/>
      <c r="C18" s="882"/>
      <c r="D18" s="2933"/>
      <c r="E18" s="2934">
        <f t="shared" ref="E18:E112" si="7">IF($C$3="是",ROUND($A$3*G18/$B$3,2),ROUND($A$3*(G18-AT18)/$B$3,2))</f>
        <v>0</v>
      </c>
      <c r="F18" s="2935"/>
      <c r="G18" s="2936">
        <f t="shared" ref="G18:G109" si="8">H18+AC18+AT18</f>
        <v>0</v>
      </c>
      <c r="H18" s="2937">
        <f t="shared" ref="H18:H109" si="9">SUMIF(I$12:AB$12,"总值",I18:AB18)</f>
        <v>0</v>
      </c>
      <c r="I18" s="2944"/>
      <c r="J18" s="2944"/>
      <c r="K18" s="2944"/>
      <c r="L18" s="2944"/>
      <c r="M18" s="2944"/>
      <c r="N18" s="2944"/>
      <c r="O18" s="2944"/>
      <c r="P18" s="2944"/>
      <c r="Q18" s="2944"/>
      <c r="R18" s="2944"/>
      <c r="S18" s="2944"/>
      <c r="T18" s="2944"/>
      <c r="U18" s="2944"/>
      <c r="V18" s="2944"/>
      <c r="W18" s="2944"/>
      <c r="X18" s="2944"/>
      <c r="Y18" s="2944"/>
      <c r="Z18" s="2944"/>
      <c r="AA18" s="2944"/>
      <c r="AB18" s="2944"/>
      <c r="AC18" s="2934">
        <f t="shared" ref="AC18:AC109" si="10">SUMIF(AD$12:AS$12,"总值",AD18:AS18)</f>
        <v>0</v>
      </c>
      <c r="AD18" s="2954"/>
      <c r="AE18" s="2954"/>
      <c r="AF18" s="2954"/>
      <c r="AG18" s="2954"/>
      <c r="AH18" s="2954"/>
      <c r="AI18" s="2954"/>
      <c r="AJ18" s="2954"/>
      <c r="AK18" s="2954"/>
      <c r="AL18" s="2954"/>
      <c r="AM18" s="2954"/>
      <c r="AN18" s="2954"/>
      <c r="AO18" s="2954"/>
      <c r="AP18" s="2954"/>
      <c r="AQ18" s="2954"/>
      <c r="AR18" s="2954"/>
      <c r="AS18" s="2954"/>
      <c r="AT18" s="2935"/>
      <c r="AU18" s="2964"/>
      <c r="AV18" s="857">
        <f t="shared" ref="AV18:AV112" si="11">A18</f>
        <v>0</v>
      </c>
      <c r="AW18" s="857">
        <f t="shared" ref="AW18:AW112" si="12">B18</f>
        <v>0</v>
      </c>
      <c r="AX18" s="857">
        <f t="shared" ref="AX18:AX112" si="13">C18</f>
        <v>0</v>
      </c>
      <c r="AY18" s="807">
        <f t="shared" ref="AY18:AY109" si="14">ROUND($AY$6*AZ18/$AZ$5,2)</f>
        <v>0</v>
      </c>
      <c r="AZ18" s="2934">
        <f t="shared" ref="AZ18:AZ109" si="15">BA18+BL18</f>
        <v>0</v>
      </c>
      <c r="BA18" s="2934">
        <f t="shared" ref="BA18:BA109" si="16">SUM(BB18:BK18)</f>
        <v>0</v>
      </c>
      <c r="BB18" s="2934">
        <f t="shared" ref="BB18:BB109" si="17">IF($D18="是",I18-J18,0)</f>
        <v>0</v>
      </c>
      <c r="BC18" s="2934">
        <f t="shared" ref="BC18:BC109" si="18">IF($D18="是",K18-L18,0)</f>
        <v>0</v>
      </c>
      <c r="BD18" s="2934">
        <f t="shared" ref="BD18:BD109" si="19">IF($D18="是",M18-N18,0)</f>
        <v>0</v>
      </c>
      <c r="BE18" s="2934">
        <f t="shared" ref="BE18:BE109" si="20">IF($D18="是",O18-P18,0)</f>
        <v>0</v>
      </c>
      <c r="BF18" s="2934">
        <f t="shared" ref="BF18:BF109" si="21">IF($D18="是",Q18-R18,0)</f>
        <v>0</v>
      </c>
      <c r="BG18" s="2934">
        <f t="shared" ref="BG18:BG109" si="22">IF($D18="是",S18-T18,0)</f>
        <v>0</v>
      </c>
      <c r="BH18" s="2934">
        <f t="shared" ref="BH18:BH109" si="23">IF($D18="是",U18-V18,0)</f>
        <v>0</v>
      </c>
      <c r="BI18" s="2934">
        <f t="shared" ref="BI18:BI109" si="24">IF($D18="是",W18-X18,0)</f>
        <v>0</v>
      </c>
      <c r="BJ18" s="2934">
        <f t="shared" ref="BJ18:BJ109" si="25">IF($D18="是",Y18-Z18,0)</f>
        <v>0</v>
      </c>
      <c r="BK18" s="2934">
        <f t="shared" ref="BK18:BK109" si="26">IF($D18="是",AA18-AB18,0)</f>
        <v>0</v>
      </c>
      <c r="BL18" s="2934">
        <f t="shared" ref="BL18:BL109" si="27">SUM(BM18:BT18)</f>
        <v>0</v>
      </c>
      <c r="BM18" s="2934">
        <f t="shared" ref="BM18:BM109" si="28">IF($D18="是",AD18-AE18,0)</f>
        <v>0</v>
      </c>
      <c r="BN18" s="2934">
        <f t="shared" ref="BN18:BN109" si="29">IF($D18="是",AF18-AG18,0)</f>
        <v>0</v>
      </c>
      <c r="BO18" s="2934">
        <f t="shared" ref="BO18:BO109" si="30">IF($D18="是",AH18-AI18,0)</f>
        <v>0</v>
      </c>
      <c r="BP18" s="2934">
        <f t="shared" ref="BP18:BP109" si="31">IF($D18="是",AJ18-AK18,0)</f>
        <v>0</v>
      </c>
      <c r="BQ18" s="2934">
        <f t="shared" ref="BQ18:BQ109" si="32">IF($D18="是",AL18-AM18,0)</f>
        <v>0</v>
      </c>
      <c r="BR18" s="2934">
        <f t="shared" ref="BR18:BR109" si="33">IF($D18="是",AN18-AO18,0)</f>
        <v>0</v>
      </c>
      <c r="BS18" s="2934">
        <f t="shared" ref="BS18:BS109" si="34">IF($D18="是",AP18-AQ18,0)</f>
        <v>0</v>
      </c>
      <c r="BT18" s="2982">
        <f t="shared" ref="BT18:BT109" si="35">IF($D18="是",AR18-AS18,0)</f>
        <v>0</v>
      </c>
    </row>
    <row r="19" spans="1:72">
      <c r="A19" s="874"/>
      <c r="B19" s="882"/>
      <c r="C19" s="882"/>
      <c r="D19" s="2933"/>
      <c r="E19" s="2934">
        <f t="shared" si="7"/>
        <v>0</v>
      </c>
      <c r="F19" s="2935"/>
      <c r="G19" s="2936">
        <f t="shared" si="8"/>
        <v>0</v>
      </c>
      <c r="H19" s="2937">
        <f t="shared" si="9"/>
        <v>0</v>
      </c>
      <c r="I19" s="2944"/>
      <c r="J19" s="2944"/>
      <c r="K19" s="2944"/>
      <c r="L19" s="2944"/>
      <c r="M19" s="2944"/>
      <c r="N19" s="2944"/>
      <c r="O19" s="2944"/>
      <c r="P19" s="2944"/>
      <c r="Q19" s="2944"/>
      <c r="R19" s="2944"/>
      <c r="S19" s="2944"/>
      <c r="T19" s="2944"/>
      <c r="U19" s="2944"/>
      <c r="V19" s="2944"/>
      <c r="W19" s="2944"/>
      <c r="X19" s="2944"/>
      <c r="Y19" s="2944"/>
      <c r="Z19" s="2944"/>
      <c r="AA19" s="2944"/>
      <c r="AB19" s="2944"/>
      <c r="AC19" s="2934">
        <f t="shared" si="10"/>
        <v>0</v>
      </c>
      <c r="AD19" s="2954"/>
      <c r="AE19" s="2954"/>
      <c r="AF19" s="2954"/>
      <c r="AG19" s="2954"/>
      <c r="AH19" s="2954"/>
      <c r="AI19" s="2954"/>
      <c r="AJ19" s="2954"/>
      <c r="AK19" s="2954"/>
      <c r="AL19" s="2954"/>
      <c r="AM19" s="2954"/>
      <c r="AN19" s="2954"/>
      <c r="AO19" s="2954"/>
      <c r="AP19" s="2954"/>
      <c r="AQ19" s="2954"/>
      <c r="AR19" s="2954"/>
      <c r="AS19" s="2954"/>
      <c r="AT19" s="2935"/>
      <c r="AU19" s="2964"/>
      <c r="AV19" s="857">
        <f t="shared" si="11"/>
        <v>0</v>
      </c>
      <c r="AW19" s="857">
        <f t="shared" si="12"/>
        <v>0</v>
      </c>
      <c r="AX19" s="857">
        <f t="shared" si="13"/>
        <v>0</v>
      </c>
      <c r="AY19" s="807">
        <f t="shared" si="14"/>
        <v>0</v>
      </c>
      <c r="AZ19" s="2934">
        <f t="shared" si="15"/>
        <v>0</v>
      </c>
      <c r="BA19" s="2934">
        <f t="shared" si="16"/>
        <v>0</v>
      </c>
      <c r="BB19" s="2934">
        <f t="shared" si="17"/>
        <v>0</v>
      </c>
      <c r="BC19" s="2934">
        <f t="shared" si="18"/>
        <v>0</v>
      </c>
      <c r="BD19" s="2934">
        <f t="shared" si="19"/>
        <v>0</v>
      </c>
      <c r="BE19" s="2934">
        <f t="shared" si="20"/>
        <v>0</v>
      </c>
      <c r="BF19" s="2934">
        <f t="shared" si="21"/>
        <v>0</v>
      </c>
      <c r="BG19" s="2934">
        <f t="shared" si="22"/>
        <v>0</v>
      </c>
      <c r="BH19" s="2934">
        <f t="shared" si="23"/>
        <v>0</v>
      </c>
      <c r="BI19" s="2934">
        <f t="shared" si="24"/>
        <v>0</v>
      </c>
      <c r="BJ19" s="2934">
        <f t="shared" si="25"/>
        <v>0</v>
      </c>
      <c r="BK19" s="2934">
        <f t="shared" si="26"/>
        <v>0</v>
      </c>
      <c r="BL19" s="2934">
        <f t="shared" si="27"/>
        <v>0</v>
      </c>
      <c r="BM19" s="2934">
        <f t="shared" si="28"/>
        <v>0</v>
      </c>
      <c r="BN19" s="2934">
        <f t="shared" si="29"/>
        <v>0</v>
      </c>
      <c r="BO19" s="2934">
        <f t="shared" si="30"/>
        <v>0</v>
      </c>
      <c r="BP19" s="2934">
        <f t="shared" si="31"/>
        <v>0</v>
      </c>
      <c r="BQ19" s="2934">
        <f t="shared" si="32"/>
        <v>0</v>
      </c>
      <c r="BR19" s="2934">
        <f t="shared" si="33"/>
        <v>0</v>
      </c>
      <c r="BS19" s="2934">
        <f t="shared" si="34"/>
        <v>0</v>
      </c>
      <c r="BT19" s="2982">
        <f t="shared" si="35"/>
        <v>0</v>
      </c>
    </row>
    <row r="20" spans="1:72">
      <c r="A20" s="874"/>
      <c r="B20" s="882"/>
      <c r="C20" s="882"/>
      <c r="D20" s="2933"/>
      <c r="E20" s="2934">
        <f t="shared" si="7"/>
        <v>0</v>
      </c>
      <c r="F20" s="2935"/>
      <c r="G20" s="2936">
        <f t="shared" si="8"/>
        <v>0</v>
      </c>
      <c r="H20" s="2937">
        <f t="shared" si="9"/>
        <v>0</v>
      </c>
      <c r="I20" s="2944"/>
      <c r="J20" s="2944"/>
      <c r="K20" s="2944"/>
      <c r="L20" s="2944"/>
      <c r="M20" s="2944"/>
      <c r="N20" s="2944"/>
      <c r="O20" s="2944"/>
      <c r="P20" s="2944"/>
      <c r="Q20" s="2944"/>
      <c r="R20" s="2944"/>
      <c r="S20" s="2944"/>
      <c r="T20" s="2944"/>
      <c r="U20" s="2944"/>
      <c r="V20" s="2944"/>
      <c r="W20" s="2944"/>
      <c r="X20" s="2944"/>
      <c r="Y20" s="2944"/>
      <c r="Z20" s="2944"/>
      <c r="AA20" s="2944"/>
      <c r="AB20" s="2944"/>
      <c r="AC20" s="2934">
        <f t="shared" si="10"/>
        <v>0</v>
      </c>
      <c r="AD20" s="2954"/>
      <c r="AE20" s="2954"/>
      <c r="AF20" s="2954"/>
      <c r="AG20" s="2954"/>
      <c r="AH20" s="2954"/>
      <c r="AI20" s="2954"/>
      <c r="AJ20" s="2954"/>
      <c r="AK20" s="2954"/>
      <c r="AL20" s="2954"/>
      <c r="AM20" s="2954"/>
      <c r="AN20" s="2954"/>
      <c r="AO20" s="2954"/>
      <c r="AP20" s="2954"/>
      <c r="AQ20" s="2954"/>
      <c r="AR20" s="2954"/>
      <c r="AS20" s="2954"/>
      <c r="AT20" s="2935"/>
      <c r="AU20" s="2964"/>
      <c r="AV20" s="857">
        <f t="shared" si="11"/>
        <v>0</v>
      </c>
      <c r="AW20" s="857">
        <f t="shared" si="12"/>
        <v>0</v>
      </c>
      <c r="AX20" s="857">
        <f t="shared" si="13"/>
        <v>0</v>
      </c>
      <c r="AY20" s="807">
        <f t="shared" si="14"/>
        <v>0</v>
      </c>
      <c r="AZ20" s="2934">
        <f t="shared" si="15"/>
        <v>0</v>
      </c>
      <c r="BA20" s="2934">
        <f t="shared" si="16"/>
        <v>0</v>
      </c>
      <c r="BB20" s="2934">
        <f t="shared" si="17"/>
        <v>0</v>
      </c>
      <c r="BC20" s="2934">
        <f t="shared" si="18"/>
        <v>0</v>
      </c>
      <c r="BD20" s="2934">
        <f t="shared" si="19"/>
        <v>0</v>
      </c>
      <c r="BE20" s="2934">
        <f t="shared" si="20"/>
        <v>0</v>
      </c>
      <c r="BF20" s="2934">
        <f t="shared" si="21"/>
        <v>0</v>
      </c>
      <c r="BG20" s="2934">
        <f t="shared" si="22"/>
        <v>0</v>
      </c>
      <c r="BH20" s="2934">
        <f t="shared" si="23"/>
        <v>0</v>
      </c>
      <c r="BI20" s="2934">
        <f t="shared" si="24"/>
        <v>0</v>
      </c>
      <c r="BJ20" s="2934">
        <f t="shared" si="25"/>
        <v>0</v>
      </c>
      <c r="BK20" s="2934">
        <f t="shared" si="26"/>
        <v>0</v>
      </c>
      <c r="BL20" s="2934">
        <f t="shared" si="27"/>
        <v>0</v>
      </c>
      <c r="BM20" s="2934">
        <f t="shared" si="28"/>
        <v>0</v>
      </c>
      <c r="BN20" s="2934">
        <f t="shared" si="29"/>
        <v>0</v>
      </c>
      <c r="BO20" s="2934">
        <f t="shared" si="30"/>
        <v>0</v>
      </c>
      <c r="BP20" s="2934">
        <f t="shared" si="31"/>
        <v>0</v>
      </c>
      <c r="BQ20" s="2934">
        <f t="shared" si="32"/>
        <v>0</v>
      </c>
      <c r="BR20" s="2934">
        <f t="shared" si="33"/>
        <v>0</v>
      </c>
      <c r="BS20" s="2934">
        <f t="shared" si="34"/>
        <v>0</v>
      </c>
      <c r="BT20" s="2982">
        <f t="shared" si="35"/>
        <v>0</v>
      </c>
    </row>
    <row r="21" spans="1:72">
      <c r="A21" s="874"/>
      <c r="B21" s="882"/>
      <c r="C21" s="882"/>
      <c r="D21" s="2933"/>
      <c r="E21" s="2934">
        <f t="shared" si="7"/>
        <v>0</v>
      </c>
      <c r="F21" s="2935"/>
      <c r="G21" s="2936">
        <f t="shared" si="8"/>
        <v>0</v>
      </c>
      <c r="H21" s="2937">
        <f t="shared" si="9"/>
        <v>0</v>
      </c>
      <c r="I21" s="2944"/>
      <c r="J21" s="2944"/>
      <c r="K21" s="2944"/>
      <c r="L21" s="2944"/>
      <c r="M21" s="2944"/>
      <c r="N21" s="2944"/>
      <c r="O21" s="2944"/>
      <c r="P21" s="2944"/>
      <c r="Q21" s="2944"/>
      <c r="R21" s="2944"/>
      <c r="S21" s="2944"/>
      <c r="T21" s="2944"/>
      <c r="U21" s="2944"/>
      <c r="V21" s="2944"/>
      <c r="W21" s="2944"/>
      <c r="X21" s="2944"/>
      <c r="Y21" s="2944"/>
      <c r="Z21" s="2944"/>
      <c r="AA21" s="2944"/>
      <c r="AB21" s="2944"/>
      <c r="AC21" s="2934">
        <f t="shared" si="10"/>
        <v>0</v>
      </c>
      <c r="AD21" s="2954"/>
      <c r="AE21" s="2954"/>
      <c r="AF21" s="2954"/>
      <c r="AG21" s="2954"/>
      <c r="AH21" s="2954"/>
      <c r="AI21" s="2954"/>
      <c r="AJ21" s="2954"/>
      <c r="AK21" s="2954"/>
      <c r="AL21" s="2954"/>
      <c r="AM21" s="2954"/>
      <c r="AN21" s="2954"/>
      <c r="AO21" s="2954"/>
      <c r="AP21" s="2954"/>
      <c r="AQ21" s="2954"/>
      <c r="AR21" s="2954"/>
      <c r="AS21" s="2954"/>
      <c r="AT21" s="2935"/>
      <c r="AU21" s="2964"/>
      <c r="AV21" s="857">
        <f t="shared" si="11"/>
        <v>0</v>
      </c>
      <c r="AW21" s="857">
        <f t="shared" si="12"/>
        <v>0</v>
      </c>
      <c r="AX21" s="857">
        <f t="shared" si="13"/>
        <v>0</v>
      </c>
      <c r="AY21" s="807">
        <f t="shared" si="14"/>
        <v>0</v>
      </c>
      <c r="AZ21" s="2934">
        <f t="shared" si="15"/>
        <v>0</v>
      </c>
      <c r="BA21" s="2934">
        <f t="shared" si="16"/>
        <v>0</v>
      </c>
      <c r="BB21" s="2934">
        <f t="shared" si="17"/>
        <v>0</v>
      </c>
      <c r="BC21" s="2934">
        <f t="shared" si="18"/>
        <v>0</v>
      </c>
      <c r="BD21" s="2934">
        <f t="shared" si="19"/>
        <v>0</v>
      </c>
      <c r="BE21" s="2934">
        <f t="shared" si="20"/>
        <v>0</v>
      </c>
      <c r="BF21" s="2934">
        <f t="shared" si="21"/>
        <v>0</v>
      </c>
      <c r="BG21" s="2934">
        <f t="shared" si="22"/>
        <v>0</v>
      </c>
      <c r="BH21" s="2934">
        <f t="shared" si="23"/>
        <v>0</v>
      </c>
      <c r="BI21" s="2934">
        <f t="shared" si="24"/>
        <v>0</v>
      </c>
      <c r="BJ21" s="2934">
        <f t="shared" si="25"/>
        <v>0</v>
      </c>
      <c r="BK21" s="2934">
        <f t="shared" si="26"/>
        <v>0</v>
      </c>
      <c r="BL21" s="2934">
        <f t="shared" si="27"/>
        <v>0</v>
      </c>
      <c r="BM21" s="2934">
        <f t="shared" si="28"/>
        <v>0</v>
      </c>
      <c r="BN21" s="2934">
        <f t="shared" si="29"/>
        <v>0</v>
      </c>
      <c r="BO21" s="2934">
        <f t="shared" si="30"/>
        <v>0</v>
      </c>
      <c r="BP21" s="2934">
        <f t="shared" si="31"/>
        <v>0</v>
      </c>
      <c r="BQ21" s="2934">
        <f t="shared" si="32"/>
        <v>0</v>
      </c>
      <c r="BR21" s="2934">
        <f t="shared" si="33"/>
        <v>0</v>
      </c>
      <c r="BS21" s="2934">
        <f t="shared" si="34"/>
        <v>0</v>
      </c>
      <c r="BT21" s="2982">
        <f t="shared" si="35"/>
        <v>0</v>
      </c>
    </row>
    <row r="22" spans="1:72">
      <c r="A22" s="874"/>
      <c r="B22" s="882"/>
      <c r="C22" s="882"/>
      <c r="D22" s="2933"/>
      <c r="E22" s="2934">
        <f t="shared" si="7"/>
        <v>0</v>
      </c>
      <c r="F22" s="2935"/>
      <c r="G22" s="2936">
        <f t="shared" si="8"/>
        <v>0</v>
      </c>
      <c r="H22" s="2937">
        <f t="shared" si="9"/>
        <v>0</v>
      </c>
      <c r="I22" s="2944"/>
      <c r="J22" s="2944"/>
      <c r="K22" s="2944"/>
      <c r="L22" s="2944"/>
      <c r="M22" s="2944"/>
      <c r="N22" s="2944"/>
      <c r="O22" s="2944"/>
      <c r="P22" s="2944"/>
      <c r="Q22" s="2944"/>
      <c r="R22" s="2944"/>
      <c r="S22" s="2944"/>
      <c r="T22" s="2944"/>
      <c r="U22" s="2944"/>
      <c r="V22" s="2944"/>
      <c r="W22" s="2944"/>
      <c r="X22" s="2944"/>
      <c r="Y22" s="2944"/>
      <c r="Z22" s="2944"/>
      <c r="AA22" s="2944"/>
      <c r="AB22" s="2944"/>
      <c r="AC22" s="2934">
        <f t="shared" si="10"/>
        <v>0</v>
      </c>
      <c r="AD22" s="2954"/>
      <c r="AE22" s="2954"/>
      <c r="AF22" s="2954"/>
      <c r="AG22" s="2954"/>
      <c r="AH22" s="2954"/>
      <c r="AI22" s="2954"/>
      <c r="AJ22" s="2954"/>
      <c r="AK22" s="2954"/>
      <c r="AL22" s="2954"/>
      <c r="AM22" s="2954"/>
      <c r="AN22" s="2954"/>
      <c r="AO22" s="2954"/>
      <c r="AP22" s="2954"/>
      <c r="AQ22" s="2954"/>
      <c r="AR22" s="2954"/>
      <c r="AS22" s="2954"/>
      <c r="AT22" s="2935"/>
      <c r="AU22" s="2964"/>
      <c r="AV22" s="857">
        <f t="shared" si="11"/>
        <v>0</v>
      </c>
      <c r="AW22" s="857">
        <f t="shared" si="12"/>
        <v>0</v>
      </c>
      <c r="AX22" s="857">
        <f t="shared" si="13"/>
        <v>0</v>
      </c>
      <c r="AY22" s="807">
        <f t="shared" si="14"/>
        <v>0</v>
      </c>
      <c r="AZ22" s="2934">
        <f t="shared" si="15"/>
        <v>0</v>
      </c>
      <c r="BA22" s="2934">
        <f t="shared" si="16"/>
        <v>0</v>
      </c>
      <c r="BB22" s="2934">
        <f t="shared" si="17"/>
        <v>0</v>
      </c>
      <c r="BC22" s="2934">
        <f t="shared" si="18"/>
        <v>0</v>
      </c>
      <c r="BD22" s="2934">
        <f t="shared" si="19"/>
        <v>0</v>
      </c>
      <c r="BE22" s="2934">
        <f t="shared" si="20"/>
        <v>0</v>
      </c>
      <c r="BF22" s="2934">
        <f t="shared" si="21"/>
        <v>0</v>
      </c>
      <c r="BG22" s="2934">
        <f t="shared" si="22"/>
        <v>0</v>
      </c>
      <c r="BH22" s="2934">
        <f t="shared" si="23"/>
        <v>0</v>
      </c>
      <c r="BI22" s="2934">
        <f t="shared" si="24"/>
        <v>0</v>
      </c>
      <c r="BJ22" s="2934">
        <f t="shared" si="25"/>
        <v>0</v>
      </c>
      <c r="BK22" s="2934">
        <f t="shared" si="26"/>
        <v>0</v>
      </c>
      <c r="BL22" s="2934">
        <f t="shared" si="27"/>
        <v>0</v>
      </c>
      <c r="BM22" s="2934">
        <f t="shared" si="28"/>
        <v>0</v>
      </c>
      <c r="BN22" s="2934">
        <f t="shared" si="29"/>
        <v>0</v>
      </c>
      <c r="BO22" s="2934">
        <f t="shared" si="30"/>
        <v>0</v>
      </c>
      <c r="BP22" s="2934">
        <f t="shared" si="31"/>
        <v>0</v>
      </c>
      <c r="BQ22" s="2934">
        <f t="shared" si="32"/>
        <v>0</v>
      </c>
      <c r="BR22" s="2934">
        <f t="shared" si="33"/>
        <v>0</v>
      </c>
      <c r="BS22" s="2934">
        <f t="shared" si="34"/>
        <v>0</v>
      </c>
      <c r="BT22" s="2982">
        <f t="shared" si="35"/>
        <v>0</v>
      </c>
    </row>
    <row r="23" spans="1:72">
      <c r="A23" s="874"/>
      <c r="B23" s="882"/>
      <c r="C23" s="882"/>
      <c r="D23" s="2933"/>
      <c r="E23" s="2934">
        <f t="shared" si="7"/>
        <v>0</v>
      </c>
      <c r="F23" s="2935"/>
      <c r="G23" s="2936">
        <f t="shared" si="8"/>
        <v>0</v>
      </c>
      <c r="H23" s="2937">
        <f t="shared" si="9"/>
        <v>0</v>
      </c>
      <c r="I23" s="2944"/>
      <c r="J23" s="2944"/>
      <c r="K23" s="2944"/>
      <c r="L23" s="2944"/>
      <c r="M23" s="2944"/>
      <c r="N23" s="2944"/>
      <c r="O23" s="2944"/>
      <c r="P23" s="2944"/>
      <c r="Q23" s="2944"/>
      <c r="R23" s="2944"/>
      <c r="S23" s="2944"/>
      <c r="T23" s="2944"/>
      <c r="U23" s="2944"/>
      <c r="V23" s="2944"/>
      <c r="W23" s="2944"/>
      <c r="X23" s="2944"/>
      <c r="Y23" s="2944"/>
      <c r="Z23" s="2944"/>
      <c r="AA23" s="2944"/>
      <c r="AB23" s="2944"/>
      <c r="AC23" s="2934">
        <f t="shared" si="10"/>
        <v>0</v>
      </c>
      <c r="AD23" s="2954"/>
      <c r="AE23" s="2954"/>
      <c r="AF23" s="2954"/>
      <c r="AG23" s="2954"/>
      <c r="AH23" s="2954"/>
      <c r="AI23" s="2954"/>
      <c r="AJ23" s="2954"/>
      <c r="AK23" s="2954"/>
      <c r="AL23" s="2954"/>
      <c r="AM23" s="2954"/>
      <c r="AN23" s="2954"/>
      <c r="AO23" s="2954"/>
      <c r="AP23" s="2954"/>
      <c r="AQ23" s="2954"/>
      <c r="AR23" s="2954"/>
      <c r="AS23" s="2954"/>
      <c r="AT23" s="2935"/>
      <c r="AU23" s="2964"/>
      <c r="AV23" s="857">
        <f t="shared" si="11"/>
        <v>0</v>
      </c>
      <c r="AW23" s="857">
        <f t="shared" si="12"/>
        <v>0</v>
      </c>
      <c r="AX23" s="857">
        <f t="shared" si="13"/>
        <v>0</v>
      </c>
      <c r="AY23" s="807">
        <f t="shared" si="14"/>
        <v>0</v>
      </c>
      <c r="AZ23" s="2934">
        <f t="shared" si="15"/>
        <v>0</v>
      </c>
      <c r="BA23" s="2934">
        <f t="shared" si="16"/>
        <v>0</v>
      </c>
      <c r="BB23" s="2934">
        <f t="shared" si="17"/>
        <v>0</v>
      </c>
      <c r="BC23" s="2934">
        <f t="shared" si="18"/>
        <v>0</v>
      </c>
      <c r="BD23" s="2934">
        <f t="shared" si="19"/>
        <v>0</v>
      </c>
      <c r="BE23" s="2934">
        <f t="shared" si="20"/>
        <v>0</v>
      </c>
      <c r="BF23" s="2934">
        <f t="shared" si="21"/>
        <v>0</v>
      </c>
      <c r="BG23" s="2934">
        <f t="shared" si="22"/>
        <v>0</v>
      </c>
      <c r="BH23" s="2934">
        <f t="shared" si="23"/>
        <v>0</v>
      </c>
      <c r="BI23" s="2934">
        <f t="shared" si="24"/>
        <v>0</v>
      </c>
      <c r="BJ23" s="2934">
        <f t="shared" si="25"/>
        <v>0</v>
      </c>
      <c r="BK23" s="2934">
        <f t="shared" si="26"/>
        <v>0</v>
      </c>
      <c r="BL23" s="2934">
        <f t="shared" si="27"/>
        <v>0</v>
      </c>
      <c r="BM23" s="2934">
        <f t="shared" si="28"/>
        <v>0</v>
      </c>
      <c r="BN23" s="2934">
        <f t="shared" si="29"/>
        <v>0</v>
      </c>
      <c r="BO23" s="2934">
        <f t="shared" si="30"/>
        <v>0</v>
      </c>
      <c r="BP23" s="2934">
        <f t="shared" si="31"/>
        <v>0</v>
      </c>
      <c r="BQ23" s="2934">
        <f t="shared" si="32"/>
        <v>0</v>
      </c>
      <c r="BR23" s="2934">
        <f t="shared" si="33"/>
        <v>0</v>
      </c>
      <c r="BS23" s="2934">
        <f t="shared" si="34"/>
        <v>0</v>
      </c>
      <c r="BT23" s="2982">
        <f t="shared" si="35"/>
        <v>0</v>
      </c>
    </row>
    <row r="24" spans="1:72">
      <c r="A24" s="874"/>
      <c r="B24" s="882"/>
      <c r="C24" s="882"/>
      <c r="D24" s="2933"/>
      <c r="E24" s="2934">
        <f t="shared" si="7"/>
        <v>0</v>
      </c>
      <c r="F24" s="2935"/>
      <c r="G24" s="2936">
        <f t="shared" si="8"/>
        <v>0</v>
      </c>
      <c r="H24" s="2937">
        <f t="shared" si="9"/>
        <v>0</v>
      </c>
      <c r="I24" s="2944"/>
      <c r="J24" s="2944"/>
      <c r="K24" s="2944"/>
      <c r="L24" s="2944"/>
      <c r="M24" s="2944"/>
      <c r="N24" s="2944"/>
      <c r="O24" s="2944"/>
      <c r="P24" s="2944"/>
      <c r="Q24" s="2944"/>
      <c r="R24" s="2944"/>
      <c r="S24" s="2944"/>
      <c r="T24" s="2944"/>
      <c r="U24" s="2944"/>
      <c r="V24" s="2944"/>
      <c r="W24" s="2944"/>
      <c r="X24" s="2944"/>
      <c r="Y24" s="2944"/>
      <c r="Z24" s="2944"/>
      <c r="AA24" s="2944"/>
      <c r="AB24" s="2944"/>
      <c r="AC24" s="2934">
        <f t="shared" si="10"/>
        <v>0</v>
      </c>
      <c r="AD24" s="2954"/>
      <c r="AE24" s="2954"/>
      <c r="AF24" s="2954"/>
      <c r="AG24" s="2954"/>
      <c r="AH24" s="2954"/>
      <c r="AI24" s="2954"/>
      <c r="AJ24" s="2954"/>
      <c r="AK24" s="2954"/>
      <c r="AL24" s="2954"/>
      <c r="AM24" s="2954"/>
      <c r="AN24" s="2954"/>
      <c r="AO24" s="2954"/>
      <c r="AP24" s="2954"/>
      <c r="AQ24" s="2954"/>
      <c r="AR24" s="2954"/>
      <c r="AS24" s="2954"/>
      <c r="AT24" s="2935"/>
      <c r="AU24" s="2964"/>
      <c r="AV24" s="857">
        <f t="shared" si="11"/>
        <v>0</v>
      </c>
      <c r="AW24" s="857">
        <f t="shared" si="12"/>
        <v>0</v>
      </c>
      <c r="AX24" s="857">
        <f t="shared" si="13"/>
        <v>0</v>
      </c>
      <c r="AY24" s="807">
        <f t="shared" si="14"/>
        <v>0</v>
      </c>
      <c r="AZ24" s="2934">
        <f t="shared" si="15"/>
        <v>0</v>
      </c>
      <c r="BA24" s="2934">
        <f t="shared" si="16"/>
        <v>0</v>
      </c>
      <c r="BB24" s="2934">
        <f t="shared" si="17"/>
        <v>0</v>
      </c>
      <c r="BC24" s="2934">
        <f t="shared" si="18"/>
        <v>0</v>
      </c>
      <c r="BD24" s="2934">
        <f t="shared" si="19"/>
        <v>0</v>
      </c>
      <c r="BE24" s="2934">
        <f t="shared" si="20"/>
        <v>0</v>
      </c>
      <c r="BF24" s="2934">
        <f t="shared" si="21"/>
        <v>0</v>
      </c>
      <c r="BG24" s="2934">
        <f t="shared" si="22"/>
        <v>0</v>
      </c>
      <c r="BH24" s="2934">
        <f t="shared" si="23"/>
        <v>0</v>
      </c>
      <c r="BI24" s="2934">
        <f t="shared" si="24"/>
        <v>0</v>
      </c>
      <c r="BJ24" s="2934">
        <f t="shared" si="25"/>
        <v>0</v>
      </c>
      <c r="BK24" s="2934">
        <f t="shared" si="26"/>
        <v>0</v>
      </c>
      <c r="BL24" s="2934">
        <f t="shared" si="27"/>
        <v>0</v>
      </c>
      <c r="BM24" s="2934">
        <f t="shared" si="28"/>
        <v>0</v>
      </c>
      <c r="BN24" s="2934">
        <f t="shared" si="29"/>
        <v>0</v>
      </c>
      <c r="BO24" s="2934">
        <f t="shared" si="30"/>
        <v>0</v>
      </c>
      <c r="BP24" s="2934">
        <f t="shared" si="31"/>
        <v>0</v>
      </c>
      <c r="BQ24" s="2934">
        <f t="shared" si="32"/>
        <v>0</v>
      </c>
      <c r="BR24" s="2934">
        <f t="shared" si="33"/>
        <v>0</v>
      </c>
      <c r="BS24" s="2934">
        <f t="shared" si="34"/>
        <v>0</v>
      </c>
      <c r="BT24" s="2982">
        <f t="shared" si="35"/>
        <v>0</v>
      </c>
    </row>
    <row r="25" spans="1:72">
      <c r="A25" s="874"/>
      <c r="B25" s="882"/>
      <c r="C25" s="882"/>
      <c r="D25" s="2933"/>
      <c r="E25" s="2934">
        <f t="shared" si="7"/>
        <v>0</v>
      </c>
      <c r="F25" s="2935"/>
      <c r="G25" s="2936">
        <f t="shared" si="8"/>
        <v>0</v>
      </c>
      <c r="H25" s="2937">
        <f t="shared" si="9"/>
        <v>0</v>
      </c>
      <c r="I25" s="2944"/>
      <c r="J25" s="2944"/>
      <c r="K25" s="2944"/>
      <c r="L25" s="2944"/>
      <c r="M25" s="2944"/>
      <c r="N25" s="2944"/>
      <c r="O25" s="2944"/>
      <c r="P25" s="2944"/>
      <c r="Q25" s="2944"/>
      <c r="R25" s="2944"/>
      <c r="S25" s="2944"/>
      <c r="T25" s="2944"/>
      <c r="U25" s="2944"/>
      <c r="V25" s="2944"/>
      <c r="W25" s="2944"/>
      <c r="X25" s="2944"/>
      <c r="Y25" s="2944"/>
      <c r="Z25" s="2944"/>
      <c r="AA25" s="2944"/>
      <c r="AB25" s="2944"/>
      <c r="AC25" s="2934">
        <f t="shared" si="10"/>
        <v>0</v>
      </c>
      <c r="AD25" s="2954"/>
      <c r="AE25" s="2954"/>
      <c r="AF25" s="2954"/>
      <c r="AG25" s="2954"/>
      <c r="AH25" s="2954"/>
      <c r="AI25" s="2954"/>
      <c r="AJ25" s="2954"/>
      <c r="AK25" s="2954"/>
      <c r="AL25" s="2954"/>
      <c r="AM25" s="2954"/>
      <c r="AN25" s="2954"/>
      <c r="AO25" s="2954"/>
      <c r="AP25" s="2954"/>
      <c r="AQ25" s="2954"/>
      <c r="AR25" s="2954"/>
      <c r="AS25" s="2954"/>
      <c r="AT25" s="2935"/>
      <c r="AU25" s="2964"/>
      <c r="AV25" s="857">
        <f t="shared" si="11"/>
        <v>0</v>
      </c>
      <c r="AW25" s="857">
        <f t="shared" si="12"/>
        <v>0</v>
      </c>
      <c r="AX25" s="857">
        <f t="shared" si="13"/>
        <v>0</v>
      </c>
      <c r="AY25" s="807">
        <f t="shared" si="14"/>
        <v>0</v>
      </c>
      <c r="AZ25" s="2934">
        <f t="shared" si="15"/>
        <v>0</v>
      </c>
      <c r="BA25" s="2934">
        <f t="shared" si="16"/>
        <v>0</v>
      </c>
      <c r="BB25" s="2934">
        <f t="shared" si="17"/>
        <v>0</v>
      </c>
      <c r="BC25" s="2934">
        <f t="shared" si="18"/>
        <v>0</v>
      </c>
      <c r="BD25" s="2934">
        <f t="shared" si="19"/>
        <v>0</v>
      </c>
      <c r="BE25" s="2934">
        <f t="shared" si="20"/>
        <v>0</v>
      </c>
      <c r="BF25" s="2934">
        <f t="shared" si="21"/>
        <v>0</v>
      </c>
      <c r="BG25" s="2934">
        <f t="shared" si="22"/>
        <v>0</v>
      </c>
      <c r="BH25" s="2934">
        <f t="shared" si="23"/>
        <v>0</v>
      </c>
      <c r="BI25" s="2934">
        <f t="shared" si="24"/>
        <v>0</v>
      </c>
      <c r="BJ25" s="2934">
        <f t="shared" si="25"/>
        <v>0</v>
      </c>
      <c r="BK25" s="2934">
        <f t="shared" si="26"/>
        <v>0</v>
      </c>
      <c r="BL25" s="2934">
        <f t="shared" si="27"/>
        <v>0</v>
      </c>
      <c r="BM25" s="2934">
        <f t="shared" si="28"/>
        <v>0</v>
      </c>
      <c r="BN25" s="2934">
        <f t="shared" si="29"/>
        <v>0</v>
      </c>
      <c r="BO25" s="2934">
        <f t="shared" si="30"/>
        <v>0</v>
      </c>
      <c r="BP25" s="2934">
        <f t="shared" si="31"/>
        <v>0</v>
      </c>
      <c r="BQ25" s="2934">
        <f t="shared" si="32"/>
        <v>0</v>
      </c>
      <c r="BR25" s="2934">
        <f t="shared" si="33"/>
        <v>0</v>
      </c>
      <c r="BS25" s="2934">
        <f t="shared" si="34"/>
        <v>0</v>
      </c>
      <c r="BT25" s="2982">
        <f t="shared" si="35"/>
        <v>0</v>
      </c>
    </row>
    <row r="26" spans="1:72">
      <c r="A26" s="874"/>
      <c r="B26" s="882"/>
      <c r="C26" s="882"/>
      <c r="D26" s="2933"/>
      <c r="E26" s="2934">
        <f t="shared" si="7"/>
        <v>0</v>
      </c>
      <c r="F26" s="2935"/>
      <c r="G26" s="2936">
        <f t="shared" si="8"/>
        <v>0</v>
      </c>
      <c r="H26" s="2937">
        <f t="shared" si="9"/>
        <v>0</v>
      </c>
      <c r="I26" s="2944"/>
      <c r="J26" s="2944"/>
      <c r="K26" s="2944"/>
      <c r="L26" s="2944"/>
      <c r="M26" s="2944"/>
      <c r="N26" s="2944"/>
      <c r="O26" s="2944"/>
      <c r="P26" s="2944"/>
      <c r="Q26" s="2944"/>
      <c r="R26" s="2944"/>
      <c r="S26" s="2944"/>
      <c r="T26" s="2944"/>
      <c r="U26" s="2944"/>
      <c r="V26" s="2944"/>
      <c r="W26" s="2944"/>
      <c r="X26" s="2944"/>
      <c r="Y26" s="2944"/>
      <c r="Z26" s="2944"/>
      <c r="AA26" s="2944"/>
      <c r="AB26" s="2944"/>
      <c r="AC26" s="2934">
        <f t="shared" si="10"/>
        <v>0</v>
      </c>
      <c r="AD26" s="2954"/>
      <c r="AE26" s="2954"/>
      <c r="AF26" s="2954"/>
      <c r="AG26" s="2954"/>
      <c r="AH26" s="2954"/>
      <c r="AI26" s="2954"/>
      <c r="AJ26" s="2954"/>
      <c r="AK26" s="2954"/>
      <c r="AL26" s="2954"/>
      <c r="AM26" s="2954"/>
      <c r="AN26" s="2954"/>
      <c r="AO26" s="2954"/>
      <c r="AP26" s="2954"/>
      <c r="AQ26" s="2954"/>
      <c r="AR26" s="2954"/>
      <c r="AS26" s="2954"/>
      <c r="AT26" s="2935"/>
      <c r="AU26" s="2964"/>
      <c r="AV26" s="857">
        <f t="shared" si="11"/>
        <v>0</v>
      </c>
      <c r="AW26" s="857">
        <f t="shared" si="12"/>
        <v>0</v>
      </c>
      <c r="AX26" s="857">
        <f t="shared" si="13"/>
        <v>0</v>
      </c>
      <c r="AY26" s="807">
        <f t="shared" si="14"/>
        <v>0</v>
      </c>
      <c r="AZ26" s="2934">
        <f t="shared" si="15"/>
        <v>0</v>
      </c>
      <c r="BA26" s="2934">
        <f t="shared" si="16"/>
        <v>0</v>
      </c>
      <c r="BB26" s="2934">
        <f t="shared" si="17"/>
        <v>0</v>
      </c>
      <c r="BC26" s="2934">
        <f t="shared" si="18"/>
        <v>0</v>
      </c>
      <c r="BD26" s="2934">
        <f t="shared" si="19"/>
        <v>0</v>
      </c>
      <c r="BE26" s="2934">
        <f t="shared" si="20"/>
        <v>0</v>
      </c>
      <c r="BF26" s="2934">
        <f t="shared" si="21"/>
        <v>0</v>
      </c>
      <c r="BG26" s="2934">
        <f t="shared" si="22"/>
        <v>0</v>
      </c>
      <c r="BH26" s="2934">
        <f t="shared" si="23"/>
        <v>0</v>
      </c>
      <c r="BI26" s="2934">
        <f t="shared" si="24"/>
        <v>0</v>
      </c>
      <c r="BJ26" s="2934">
        <f t="shared" si="25"/>
        <v>0</v>
      </c>
      <c r="BK26" s="2934">
        <f t="shared" si="26"/>
        <v>0</v>
      </c>
      <c r="BL26" s="2934">
        <f t="shared" si="27"/>
        <v>0</v>
      </c>
      <c r="BM26" s="2934">
        <f t="shared" si="28"/>
        <v>0</v>
      </c>
      <c r="BN26" s="2934">
        <f t="shared" si="29"/>
        <v>0</v>
      </c>
      <c r="BO26" s="2934">
        <f t="shared" si="30"/>
        <v>0</v>
      </c>
      <c r="BP26" s="2934">
        <f t="shared" si="31"/>
        <v>0</v>
      </c>
      <c r="BQ26" s="2934">
        <f t="shared" si="32"/>
        <v>0</v>
      </c>
      <c r="BR26" s="2934">
        <f t="shared" si="33"/>
        <v>0</v>
      </c>
      <c r="BS26" s="2934">
        <f t="shared" si="34"/>
        <v>0</v>
      </c>
      <c r="BT26" s="2982">
        <f t="shared" si="35"/>
        <v>0</v>
      </c>
    </row>
    <row r="27" spans="1:72">
      <c r="A27" s="874"/>
      <c r="B27" s="882"/>
      <c r="C27" s="882"/>
      <c r="D27" s="2933"/>
      <c r="E27" s="2934">
        <f t="shared" si="7"/>
        <v>0</v>
      </c>
      <c r="F27" s="2935"/>
      <c r="G27" s="2936">
        <f t="shared" si="8"/>
        <v>0</v>
      </c>
      <c r="H27" s="2937">
        <f t="shared" si="9"/>
        <v>0</v>
      </c>
      <c r="I27" s="2944"/>
      <c r="J27" s="2944"/>
      <c r="K27" s="2944"/>
      <c r="L27" s="2944"/>
      <c r="M27" s="2944"/>
      <c r="N27" s="2944"/>
      <c r="O27" s="2944"/>
      <c r="P27" s="2944"/>
      <c r="Q27" s="2944"/>
      <c r="R27" s="2944"/>
      <c r="S27" s="2944"/>
      <c r="T27" s="2944"/>
      <c r="U27" s="2944"/>
      <c r="V27" s="2944"/>
      <c r="W27" s="2944"/>
      <c r="X27" s="2944"/>
      <c r="Y27" s="2944"/>
      <c r="Z27" s="2944"/>
      <c r="AA27" s="2944"/>
      <c r="AB27" s="2944"/>
      <c r="AC27" s="2934">
        <f t="shared" si="10"/>
        <v>0</v>
      </c>
      <c r="AD27" s="2954"/>
      <c r="AE27" s="2954"/>
      <c r="AF27" s="2954"/>
      <c r="AG27" s="2954"/>
      <c r="AH27" s="2954"/>
      <c r="AI27" s="2954"/>
      <c r="AJ27" s="2954"/>
      <c r="AK27" s="2954"/>
      <c r="AL27" s="2954"/>
      <c r="AM27" s="2954"/>
      <c r="AN27" s="2954"/>
      <c r="AO27" s="2954"/>
      <c r="AP27" s="2954"/>
      <c r="AQ27" s="2954"/>
      <c r="AR27" s="2954"/>
      <c r="AS27" s="2954"/>
      <c r="AT27" s="2935"/>
      <c r="AU27" s="2964"/>
      <c r="AV27" s="857">
        <f t="shared" si="11"/>
        <v>0</v>
      </c>
      <c r="AW27" s="857">
        <f t="shared" si="12"/>
        <v>0</v>
      </c>
      <c r="AX27" s="857">
        <f t="shared" si="13"/>
        <v>0</v>
      </c>
      <c r="AY27" s="807">
        <f t="shared" si="14"/>
        <v>0</v>
      </c>
      <c r="AZ27" s="2934">
        <f t="shared" si="15"/>
        <v>0</v>
      </c>
      <c r="BA27" s="2934">
        <f t="shared" si="16"/>
        <v>0</v>
      </c>
      <c r="BB27" s="2934">
        <f t="shared" si="17"/>
        <v>0</v>
      </c>
      <c r="BC27" s="2934">
        <f t="shared" si="18"/>
        <v>0</v>
      </c>
      <c r="BD27" s="2934">
        <f t="shared" si="19"/>
        <v>0</v>
      </c>
      <c r="BE27" s="2934">
        <f t="shared" si="20"/>
        <v>0</v>
      </c>
      <c r="BF27" s="2934">
        <f t="shared" si="21"/>
        <v>0</v>
      </c>
      <c r="BG27" s="2934">
        <f t="shared" si="22"/>
        <v>0</v>
      </c>
      <c r="BH27" s="2934">
        <f t="shared" si="23"/>
        <v>0</v>
      </c>
      <c r="BI27" s="2934">
        <f t="shared" si="24"/>
        <v>0</v>
      </c>
      <c r="BJ27" s="2934">
        <f t="shared" si="25"/>
        <v>0</v>
      </c>
      <c r="BK27" s="2934">
        <f t="shared" si="26"/>
        <v>0</v>
      </c>
      <c r="BL27" s="2934">
        <f t="shared" si="27"/>
        <v>0</v>
      </c>
      <c r="BM27" s="2934">
        <f t="shared" si="28"/>
        <v>0</v>
      </c>
      <c r="BN27" s="2934">
        <f t="shared" si="29"/>
        <v>0</v>
      </c>
      <c r="BO27" s="2934">
        <f t="shared" si="30"/>
        <v>0</v>
      </c>
      <c r="BP27" s="2934">
        <f t="shared" si="31"/>
        <v>0</v>
      </c>
      <c r="BQ27" s="2934">
        <f t="shared" si="32"/>
        <v>0</v>
      </c>
      <c r="BR27" s="2934">
        <f t="shared" si="33"/>
        <v>0</v>
      </c>
      <c r="BS27" s="2934">
        <f t="shared" si="34"/>
        <v>0</v>
      </c>
      <c r="BT27" s="2982">
        <f t="shared" si="35"/>
        <v>0</v>
      </c>
    </row>
    <row r="28" spans="1:72">
      <c r="A28" s="874"/>
      <c r="B28" s="882"/>
      <c r="C28" s="882"/>
      <c r="D28" s="2933"/>
      <c r="E28" s="2934">
        <f t="shared" si="7"/>
        <v>0</v>
      </c>
      <c r="F28" s="2935"/>
      <c r="G28" s="2936">
        <f t="shared" si="8"/>
        <v>0</v>
      </c>
      <c r="H28" s="2937">
        <f t="shared" si="9"/>
        <v>0</v>
      </c>
      <c r="I28" s="2944"/>
      <c r="J28" s="2944"/>
      <c r="K28" s="2944"/>
      <c r="L28" s="2944"/>
      <c r="M28" s="2944"/>
      <c r="N28" s="2944"/>
      <c r="O28" s="2944"/>
      <c r="P28" s="2944"/>
      <c r="Q28" s="2944"/>
      <c r="R28" s="2944"/>
      <c r="S28" s="2944"/>
      <c r="T28" s="2944"/>
      <c r="U28" s="2944"/>
      <c r="V28" s="2944"/>
      <c r="W28" s="2944"/>
      <c r="X28" s="2944"/>
      <c r="Y28" s="2944"/>
      <c r="Z28" s="2944"/>
      <c r="AA28" s="2944"/>
      <c r="AB28" s="2944"/>
      <c r="AC28" s="2934">
        <f t="shared" si="10"/>
        <v>0</v>
      </c>
      <c r="AD28" s="2954"/>
      <c r="AE28" s="2954"/>
      <c r="AF28" s="2954"/>
      <c r="AG28" s="2954"/>
      <c r="AH28" s="2954"/>
      <c r="AI28" s="2954"/>
      <c r="AJ28" s="2954"/>
      <c r="AK28" s="2954"/>
      <c r="AL28" s="2954"/>
      <c r="AM28" s="2954"/>
      <c r="AN28" s="2954"/>
      <c r="AO28" s="2954"/>
      <c r="AP28" s="2954"/>
      <c r="AQ28" s="2954"/>
      <c r="AR28" s="2954"/>
      <c r="AS28" s="2954"/>
      <c r="AT28" s="2935"/>
      <c r="AU28" s="2964"/>
      <c r="AV28" s="857">
        <f t="shared" si="11"/>
        <v>0</v>
      </c>
      <c r="AW28" s="857">
        <f t="shared" si="12"/>
        <v>0</v>
      </c>
      <c r="AX28" s="857">
        <f t="shared" si="13"/>
        <v>0</v>
      </c>
      <c r="AY28" s="807">
        <f t="shared" si="14"/>
        <v>0</v>
      </c>
      <c r="AZ28" s="2934">
        <f t="shared" si="15"/>
        <v>0</v>
      </c>
      <c r="BA28" s="2934">
        <f t="shared" si="16"/>
        <v>0</v>
      </c>
      <c r="BB28" s="2934">
        <f t="shared" si="17"/>
        <v>0</v>
      </c>
      <c r="BC28" s="2934">
        <f t="shared" si="18"/>
        <v>0</v>
      </c>
      <c r="BD28" s="2934">
        <f t="shared" si="19"/>
        <v>0</v>
      </c>
      <c r="BE28" s="2934">
        <f t="shared" si="20"/>
        <v>0</v>
      </c>
      <c r="BF28" s="2934">
        <f t="shared" si="21"/>
        <v>0</v>
      </c>
      <c r="BG28" s="2934">
        <f t="shared" si="22"/>
        <v>0</v>
      </c>
      <c r="BH28" s="2934">
        <f t="shared" si="23"/>
        <v>0</v>
      </c>
      <c r="BI28" s="2934">
        <f t="shared" si="24"/>
        <v>0</v>
      </c>
      <c r="BJ28" s="2934">
        <f t="shared" si="25"/>
        <v>0</v>
      </c>
      <c r="BK28" s="2934">
        <f t="shared" si="26"/>
        <v>0</v>
      </c>
      <c r="BL28" s="2934">
        <f t="shared" si="27"/>
        <v>0</v>
      </c>
      <c r="BM28" s="2934">
        <f t="shared" si="28"/>
        <v>0</v>
      </c>
      <c r="BN28" s="2934">
        <f t="shared" si="29"/>
        <v>0</v>
      </c>
      <c r="BO28" s="2934">
        <f t="shared" si="30"/>
        <v>0</v>
      </c>
      <c r="BP28" s="2934">
        <f t="shared" si="31"/>
        <v>0</v>
      </c>
      <c r="BQ28" s="2934">
        <f t="shared" si="32"/>
        <v>0</v>
      </c>
      <c r="BR28" s="2934">
        <f t="shared" si="33"/>
        <v>0</v>
      </c>
      <c r="BS28" s="2934">
        <f t="shared" si="34"/>
        <v>0</v>
      </c>
      <c r="BT28" s="2982">
        <f t="shared" si="35"/>
        <v>0</v>
      </c>
    </row>
    <row r="29" spans="1:72">
      <c r="A29" s="874"/>
      <c r="B29" s="882"/>
      <c r="C29" s="882"/>
      <c r="D29" s="2933"/>
      <c r="E29" s="2934">
        <f t="shared" si="7"/>
        <v>0</v>
      </c>
      <c r="F29" s="2935"/>
      <c r="G29" s="2936">
        <f t="shared" si="8"/>
        <v>0</v>
      </c>
      <c r="H29" s="2937">
        <f t="shared" si="9"/>
        <v>0</v>
      </c>
      <c r="I29" s="2944"/>
      <c r="J29" s="2944"/>
      <c r="K29" s="2944"/>
      <c r="L29" s="2944"/>
      <c r="M29" s="2944"/>
      <c r="N29" s="2944"/>
      <c r="O29" s="2944"/>
      <c r="P29" s="2944"/>
      <c r="Q29" s="2944"/>
      <c r="R29" s="2944"/>
      <c r="S29" s="2944"/>
      <c r="T29" s="2944"/>
      <c r="U29" s="2944"/>
      <c r="V29" s="2944"/>
      <c r="W29" s="2944"/>
      <c r="X29" s="2944"/>
      <c r="Y29" s="2944"/>
      <c r="Z29" s="2944"/>
      <c r="AA29" s="2944"/>
      <c r="AB29" s="2944"/>
      <c r="AC29" s="2934">
        <f t="shared" si="10"/>
        <v>0</v>
      </c>
      <c r="AD29" s="2954"/>
      <c r="AE29" s="2954"/>
      <c r="AF29" s="2954"/>
      <c r="AG29" s="2954"/>
      <c r="AH29" s="2954"/>
      <c r="AI29" s="2954"/>
      <c r="AJ29" s="2954"/>
      <c r="AK29" s="2954"/>
      <c r="AL29" s="2954"/>
      <c r="AM29" s="2954"/>
      <c r="AN29" s="2954"/>
      <c r="AO29" s="2954"/>
      <c r="AP29" s="2954"/>
      <c r="AQ29" s="2954"/>
      <c r="AR29" s="2954"/>
      <c r="AS29" s="2954"/>
      <c r="AT29" s="2935"/>
      <c r="AU29" s="2964"/>
      <c r="AV29" s="857">
        <f t="shared" si="11"/>
        <v>0</v>
      </c>
      <c r="AW29" s="857">
        <f t="shared" si="12"/>
        <v>0</v>
      </c>
      <c r="AX29" s="857">
        <f t="shared" si="13"/>
        <v>0</v>
      </c>
      <c r="AY29" s="807">
        <f t="shared" si="14"/>
        <v>0</v>
      </c>
      <c r="AZ29" s="2934">
        <f t="shared" si="15"/>
        <v>0</v>
      </c>
      <c r="BA29" s="2934">
        <f t="shared" si="16"/>
        <v>0</v>
      </c>
      <c r="BB29" s="2934">
        <f t="shared" si="17"/>
        <v>0</v>
      </c>
      <c r="BC29" s="2934">
        <f t="shared" si="18"/>
        <v>0</v>
      </c>
      <c r="BD29" s="2934">
        <f t="shared" si="19"/>
        <v>0</v>
      </c>
      <c r="BE29" s="2934">
        <f t="shared" si="20"/>
        <v>0</v>
      </c>
      <c r="BF29" s="2934">
        <f t="shared" si="21"/>
        <v>0</v>
      </c>
      <c r="BG29" s="2934">
        <f t="shared" si="22"/>
        <v>0</v>
      </c>
      <c r="BH29" s="2934">
        <f t="shared" si="23"/>
        <v>0</v>
      </c>
      <c r="BI29" s="2934">
        <f t="shared" si="24"/>
        <v>0</v>
      </c>
      <c r="BJ29" s="2934">
        <f t="shared" si="25"/>
        <v>0</v>
      </c>
      <c r="BK29" s="2934">
        <f t="shared" si="26"/>
        <v>0</v>
      </c>
      <c r="BL29" s="2934">
        <f t="shared" si="27"/>
        <v>0</v>
      </c>
      <c r="BM29" s="2934">
        <f t="shared" si="28"/>
        <v>0</v>
      </c>
      <c r="BN29" s="2934">
        <f t="shared" si="29"/>
        <v>0</v>
      </c>
      <c r="BO29" s="2934">
        <f t="shared" si="30"/>
        <v>0</v>
      </c>
      <c r="BP29" s="2934">
        <f t="shared" si="31"/>
        <v>0</v>
      </c>
      <c r="BQ29" s="2934">
        <f t="shared" si="32"/>
        <v>0</v>
      </c>
      <c r="BR29" s="2934">
        <f t="shared" si="33"/>
        <v>0</v>
      </c>
      <c r="BS29" s="2934">
        <f t="shared" si="34"/>
        <v>0</v>
      </c>
      <c r="BT29" s="2982">
        <f t="shared" si="35"/>
        <v>0</v>
      </c>
    </row>
    <row r="30" spans="1:72">
      <c r="A30" s="874"/>
      <c r="B30" s="882"/>
      <c r="C30" s="882"/>
      <c r="D30" s="2933"/>
      <c r="E30" s="2934">
        <f t="shared" si="7"/>
        <v>0</v>
      </c>
      <c r="F30" s="2935"/>
      <c r="G30" s="2936">
        <f t="shared" si="8"/>
        <v>0</v>
      </c>
      <c r="H30" s="2937">
        <f t="shared" si="9"/>
        <v>0</v>
      </c>
      <c r="I30" s="2944"/>
      <c r="J30" s="2944"/>
      <c r="K30" s="2944"/>
      <c r="L30" s="2944"/>
      <c r="M30" s="2944"/>
      <c r="N30" s="2944"/>
      <c r="O30" s="2944"/>
      <c r="P30" s="2944"/>
      <c r="Q30" s="2944"/>
      <c r="R30" s="2944"/>
      <c r="S30" s="2944"/>
      <c r="T30" s="2944"/>
      <c r="U30" s="2944"/>
      <c r="V30" s="2944"/>
      <c r="W30" s="2944"/>
      <c r="X30" s="2944"/>
      <c r="Y30" s="2944"/>
      <c r="Z30" s="2944"/>
      <c r="AA30" s="2944"/>
      <c r="AB30" s="2944"/>
      <c r="AC30" s="2934">
        <f t="shared" si="10"/>
        <v>0</v>
      </c>
      <c r="AD30" s="2954"/>
      <c r="AE30" s="2954"/>
      <c r="AF30" s="2954"/>
      <c r="AG30" s="2954"/>
      <c r="AH30" s="2954"/>
      <c r="AI30" s="2954"/>
      <c r="AJ30" s="2954"/>
      <c r="AK30" s="2954"/>
      <c r="AL30" s="2954"/>
      <c r="AM30" s="2954"/>
      <c r="AN30" s="2954"/>
      <c r="AO30" s="2954"/>
      <c r="AP30" s="2954"/>
      <c r="AQ30" s="2954"/>
      <c r="AR30" s="2954"/>
      <c r="AS30" s="2954"/>
      <c r="AT30" s="2935"/>
      <c r="AU30" s="2964"/>
      <c r="AV30" s="857">
        <f t="shared" si="11"/>
        <v>0</v>
      </c>
      <c r="AW30" s="857">
        <f t="shared" si="12"/>
        <v>0</v>
      </c>
      <c r="AX30" s="857">
        <f t="shared" si="13"/>
        <v>0</v>
      </c>
      <c r="AY30" s="807">
        <f t="shared" si="14"/>
        <v>0</v>
      </c>
      <c r="AZ30" s="2934">
        <f t="shared" si="15"/>
        <v>0</v>
      </c>
      <c r="BA30" s="2934">
        <f t="shared" si="16"/>
        <v>0</v>
      </c>
      <c r="BB30" s="2934">
        <f t="shared" si="17"/>
        <v>0</v>
      </c>
      <c r="BC30" s="2934">
        <f t="shared" si="18"/>
        <v>0</v>
      </c>
      <c r="BD30" s="2934">
        <f t="shared" si="19"/>
        <v>0</v>
      </c>
      <c r="BE30" s="2934">
        <f t="shared" si="20"/>
        <v>0</v>
      </c>
      <c r="BF30" s="2934">
        <f t="shared" si="21"/>
        <v>0</v>
      </c>
      <c r="BG30" s="2934">
        <f t="shared" si="22"/>
        <v>0</v>
      </c>
      <c r="BH30" s="2934">
        <f t="shared" si="23"/>
        <v>0</v>
      </c>
      <c r="BI30" s="2934">
        <f t="shared" si="24"/>
        <v>0</v>
      </c>
      <c r="BJ30" s="2934">
        <f t="shared" si="25"/>
        <v>0</v>
      </c>
      <c r="BK30" s="2934">
        <f t="shared" si="26"/>
        <v>0</v>
      </c>
      <c r="BL30" s="2934">
        <f t="shared" si="27"/>
        <v>0</v>
      </c>
      <c r="BM30" s="2934">
        <f t="shared" si="28"/>
        <v>0</v>
      </c>
      <c r="BN30" s="2934">
        <f t="shared" si="29"/>
        <v>0</v>
      </c>
      <c r="BO30" s="2934">
        <f t="shared" si="30"/>
        <v>0</v>
      </c>
      <c r="BP30" s="2934">
        <f t="shared" si="31"/>
        <v>0</v>
      </c>
      <c r="BQ30" s="2934">
        <f t="shared" si="32"/>
        <v>0</v>
      </c>
      <c r="BR30" s="2934">
        <f t="shared" si="33"/>
        <v>0</v>
      </c>
      <c r="BS30" s="2934">
        <f t="shared" si="34"/>
        <v>0</v>
      </c>
      <c r="BT30" s="2982">
        <f t="shared" si="35"/>
        <v>0</v>
      </c>
    </row>
    <row r="31" spans="1:72">
      <c r="A31" s="874"/>
      <c r="B31" s="882"/>
      <c r="C31" s="882"/>
      <c r="D31" s="2933"/>
      <c r="E31" s="2934">
        <f t="shared" si="7"/>
        <v>0</v>
      </c>
      <c r="F31" s="2935"/>
      <c r="G31" s="2936">
        <f t="shared" si="8"/>
        <v>0</v>
      </c>
      <c r="H31" s="2937">
        <f t="shared" si="9"/>
        <v>0</v>
      </c>
      <c r="I31" s="2944"/>
      <c r="J31" s="2944"/>
      <c r="K31" s="2944"/>
      <c r="L31" s="2944"/>
      <c r="M31" s="2944"/>
      <c r="N31" s="2944"/>
      <c r="O31" s="2944"/>
      <c r="P31" s="2944"/>
      <c r="Q31" s="2944"/>
      <c r="R31" s="2944"/>
      <c r="S31" s="2944"/>
      <c r="T31" s="2944"/>
      <c r="U31" s="2944"/>
      <c r="V31" s="2944"/>
      <c r="W31" s="2944"/>
      <c r="X31" s="2944"/>
      <c r="Y31" s="2944"/>
      <c r="Z31" s="2944"/>
      <c r="AA31" s="2944"/>
      <c r="AB31" s="2944"/>
      <c r="AC31" s="2934">
        <f t="shared" si="10"/>
        <v>0</v>
      </c>
      <c r="AD31" s="2954"/>
      <c r="AE31" s="2954"/>
      <c r="AF31" s="2954"/>
      <c r="AG31" s="2954"/>
      <c r="AH31" s="2954"/>
      <c r="AI31" s="2954"/>
      <c r="AJ31" s="2954"/>
      <c r="AK31" s="2954"/>
      <c r="AL31" s="2954"/>
      <c r="AM31" s="2954"/>
      <c r="AN31" s="2954"/>
      <c r="AO31" s="2954"/>
      <c r="AP31" s="2954"/>
      <c r="AQ31" s="2954"/>
      <c r="AR31" s="2954"/>
      <c r="AS31" s="2954"/>
      <c r="AT31" s="2935"/>
      <c r="AU31" s="2964"/>
      <c r="AV31" s="857">
        <f t="shared" si="11"/>
        <v>0</v>
      </c>
      <c r="AW31" s="857">
        <f t="shared" si="12"/>
        <v>0</v>
      </c>
      <c r="AX31" s="857">
        <f t="shared" si="13"/>
        <v>0</v>
      </c>
      <c r="AY31" s="807">
        <f t="shared" si="14"/>
        <v>0</v>
      </c>
      <c r="AZ31" s="2934">
        <f t="shared" si="15"/>
        <v>0</v>
      </c>
      <c r="BA31" s="2934">
        <f t="shared" si="16"/>
        <v>0</v>
      </c>
      <c r="BB31" s="2934">
        <f t="shared" si="17"/>
        <v>0</v>
      </c>
      <c r="BC31" s="2934">
        <f t="shared" si="18"/>
        <v>0</v>
      </c>
      <c r="BD31" s="2934">
        <f t="shared" si="19"/>
        <v>0</v>
      </c>
      <c r="BE31" s="2934">
        <f t="shared" si="20"/>
        <v>0</v>
      </c>
      <c r="BF31" s="2934">
        <f t="shared" si="21"/>
        <v>0</v>
      </c>
      <c r="BG31" s="2934">
        <f t="shared" si="22"/>
        <v>0</v>
      </c>
      <c r="BH31" s="2934">
        <f t="shared" si="23"/>
        <v>0</v>
      </c>
      <c r="BI31" s="2934">
        <f t="shared" si="24"/>
        <v>0</v>
      </c>
      <c r="BJ31" s="2934">
        <f t="shared" si="25"/>
        <v>0</v>
      </c>
      <c r="BK31" s="2934">
        <f t="shared" si="26"/>
        <v>0</v>
      </c>
      <c r="BL31" s="2934">
        <f t="shared" si="27"/>
        <v>0</v>
      </c>
      <c r="BM31" s="2934">
        <f t="shared" si="28"/>
        <v>0</v>
      </c>
      <c r="BN31" s="2934">
        <f t="shared" si="29"/>
        <v>0</v>
      </c>
      <c r="BO31" s="2934">
        <f t="shared" si="30"/>
        <v>0</v>
      </c>
      <c r="BP31" s="2934">
        <f t="shared" si="31"/>
        <v>0</v>
      </c>
      <c r="BQ31" s="2934">
        <f t="shared" si="32"/>
        <v>0</v>
      </c>
      <c r="BR31" s="2934">
        <f t="shared" si="33"/>
        <v>0</v>
      </c>
      <c r="BS31" s="2934">
        <f t="shared" si="34"/>
        <v>0</v>
      </c>
      <c r="BT31" s="2982">
        <f t="shared" si="35"/>
        <v>0</v>
      </c>
    </row>
    <row r="32" spans="1:72">
      <c r="A32" s="874"/>
      <c r="B32" s="882"/>
      <c r="C32" s="882"/>
      <c r="D32" s="2933"/>
      <c r="E32" s="2934">
        <f t="shared" si="7"/>
        <v>0</v>
      </c>
      <c r="F32" s="2935"/>
      <c r="G32" s="2936">
        <f t="shared" si="8"/>
        <v>0</v>
      </c>
      <c r="H32" s="2937">
        <f t="shared" si="9"/>
        <v>0</v>
      </c>
      <c r="I32" s="2944"/>
      <c r="J32" s="2944"/>
      <c r="K32" s="2944"/>
      <c r="L32" s="2944"/>
      <c r="M32" s="2944"/>
      <c r="N32" s="2944"/>
      <c r="O32" s="2944"/>
      <c r="P32" s="2944"/>
      <c r="Q32" s="2944"/>
      <c r="R32" s="2944"/>
      <c r="S32" s="2944"/>
      <c r="T32" s="2944"/>
      <c r="U32" s="2944"/>
      <c r="V32" s="2944"/>
      <c r="W32" s="2944"/>
      <c r="X32" s="2944"/>
      <c r="Y32" s="2944"/>
      <c r="Z32" s="2944"/>
      <c r="AA32" s="2944"/>
      <c r="AB32" s="2944"/>
      <c r="AC32" s="2934">
        <f t="shared" si="10"/>
        <v>0</v>
      </c>
      <c r="AD32" s="2954"/>
      <c r="AE32" s="2954"/>
      <c r="AF32" s="2954"/>
      <c r="AG32" s="2954"/>
      <c r="AH32" s="2954"/>
      <c r="AI32" s="2954"/>
      <c r="AJ32" s="2954"/>
      <c r="AK32" s="2954"/>
      <c r="AL32" s="2954"/>
      <c r="AM32" s="2954"/>
      <c r="AN32" s="2954"/>
      <c r="AO32" s="2954"/>
      <c r="AP32" s="2954"/>
      <c r="AQ32" s="2954"/>
      <c r="AR32" s="2954"/>
      <c r="AS32" s="2954"/>
      <c r="AT32" s="2935"/>
      <c r="AU32" s="2964"/>
      <c r="AV32" s="857">
        <f t="shared" si="11"/>
        <v>0</v>
      </c>
      <c r="AW32" s="857">
        <f t="shared" si="12"/>
        <v>0</v>
      </c>
      <c r="AX32" s="857">
        <f t="shared" si="13"/>
        <v>0</v>
      </c>
      <c r="AY32" s="807">
        <f t="shared" si="14"/>
        <v>0</v>
      </c>
      <c r="AZ32" s="2934">
        <f t="shared" si="15"/>
        <v>0</v>
      </c>
      <c r="BA32" s="2934">
        <f t="shared" si="16"/>
        <v>0</v>
      </c>
      <c r="BB32" s="2934">
        <f t="shared" si="17"/>
        <v>0</v>
      </c>
      <c r="BC32" s="2934">
        <f t="shared" si="18"/>
        <v>0</v>
      </c>
      <c r="BD32" s="2934">
        <f t="shared" si="19"/>
        <v>0</v>
      </c>
      <c r="BE32" s="2934">
        <f t="shared" si="20"/>
        <v>0</v>
      </c>
      <c r="BF32" s="2934">
        <f t="shared" si="21"/>
        <v>0</v>
      </c>
      <c r="BG32" s="2934">
        <f t="shared" si="22"/>
        <v>0</v>
      </c>
      <c r="BH32" s="2934">
        <f t="shared" si="23"/>
        <v>0</v>
      </c>
      <c r="BI32" s="2934">
        <f t="shared" si="24"/>
        <v>0</v>
      </c>
      <c r="BJ32" s="2934">
        <f t="shared" si="25"/>
        <v>0</v>
      </c>
      <c r="BK32" s="2934">
        <f t="shared" si="26"/>
        <v>0</v>
      </c>
      <c r="BL32" s="2934">
        <f t="shared" si="27"/>
        <v>0</v>
      </c>
      <c r="BM32" s="2934">
        <f t="shared" si="28"/>
        <v>0</v>
      </c>
      <c r="BN32" s="2934">
        <f t="shared" si="29"/>
        <v>0</v>
      </c>
      <c r="BO32" s="2934">
        <f t="shared" si="30"/>
        <v>0</v>
      </c>
      <c r="BP32" s="2934">
        <f t="shared" si="31"/>
        <v>0</v>
      </c>
      <c r="BQ32" s="2934">
        <f t="shared" si="32"/>
        <v>0</v>
      </c>
      <c r="BR32" s="2934">
        <f t="shared" si="33"/>
        <v>0</v>
      </c>
      <c r="BS32" s="2934">
        <f t="shared" si="34"/>
        <v>0</v>
      </c>
      <c r="BT32" s="2982">
        <f t="shared" si="35"/>
        <v>0</v>
      </c>
    </row>
    <row r="33" spans="1:72">
      <c r="A33" s="874"/>
      <c r="B33" s="882"/>
      <c r="C33" s="882"/>
      <c r="D33" s="2933"/>
      <c r="E33" s="2934">
        <f t="shared" si="7"/>
        <v>0</v>
      </c>
      <c r="F33" s="2935"/>
      <c r="G33" s="2936">
        <f t="shared" si="8"/>
        <v>0</v>
      </c>
      <c r="H33" s="2937">
        <f t="shared" si="9"/>
        <v>0</v>
      </c>
      <c r="I33" s="2944"/>
      <c r="J33" s="2944"/>
      <c r="K33" s="2944"/>
      <c r="L33" s="2944"/>
      <c r="M33" s="2944"/>
      <c r="N33" s="2944"/>
      <c r="O33" s="2944"/>
      <c r="P33" s="2944"/>
      <c r="Q33" s="2944"/>
      <c r="R33" s="2944"/>
      <c r="S33" s="2944"/>
      <c r="T33" s="2944"/>
      <c r="U33" s="2944"/>
      <c r="V33" s="2944"/>
      <c r="W33" s="2944"/>
      <c r="X33" s="2944"/>
      <c r="Y33" s="2944"/>
      <c r="Z33" s="2944"/>
      <c r="AA33" s="2944"/>
      <c r="AB33" s="2944"/>
      <c r="AC33" s="2934">
        <f t="shared" si="10"/>
        <v>0</v>
      </c>
      <c r="AD33" s="2954"/>
      <c r="AE33" s="2954"/>
      <c r="AF33" s="2954"/>
      <c r="AG33" s="2954"/>
      <c r="AH33" s="2954"/>
      <c r="AI33" s="2954"/>
      <c r="AJ33" s="2954"/>
      <c r="AK33" s="2954"/>
      <c r="AL33" s="2954"/>
      <c r="AM33" s="2954"/>
      <c r="AN33" s="2954"/>
      <c r="AO33" s="2954"/>
      <c r="AP33" s="2954"/>
      <c r="AQ33" s="2954"/>
      <c r="AR33" s="2954"/>
      <c r="AS33" s="2954"/>
      <c r="AT33" s="2935"/>
      <c r="AU33" s="2964"/>
      <c r="AV33" s="857">
        <f t="shared" si="11"/>
        <v>0</v>
      </c>
      <c r="AW33" s="857">
        <f t="shared" si="12"/>
        <v>0</v>
      </c>
      <c r="AX33" s="857">
        <f t="shared" si="13"/>
        <v>0</v>
      </c>
      <c r="AY33" s="807">
        <f t="shared" si="14"/>
        <v>0</v>
      </c>
      <c r="AZ33" s="2934">
        <f t="shared" si="15"/>
        <v>0</v>
      </c>
      <c r="BA33" s="2934">
        <f t="shared" si="16"/>
        <v>0</v>
      </c>
      <c r="BB33" s="2934">
        <f t="shared" si="17"/>
        <v>0</v>
      </c>
      <c r="BC33" s="2934">
        <f t="shared" si="18"/>
        <v>0</v>
      </c>
      <c r="BD33" s="2934">
        <f t="shared" si="19"/>
        <v>0</v>
      </c>
      <c r="BE33" s="2934">
        <f t="shared" si="20"/>
        <v>0</v>
      </c>
      <c r="BF33" s="2934">
        <f t="shared" si="21"/>
        <v>0</v>
      </c>
      <c r="BG33" s="2934">
        <f t="shared" si="22"/>
        <v>0</v>
      </c>
      <c r="BH33" s="2934">
        <f t="shared" si="23"/>
        <v>0</v>
      </c>
      <c r="BI33" s="2934">
        <f t="shared" si="24"/>
        <v>0</v>
      </c>
      <c r="BJ33" s="2934">
        <f t="shared" si="25"/>
        <v>0</v>
      </c>
      <c r="BK33" s="2934">
        <f t="shared" si="26"/>
        <v>0</v>
      </c>
      <c r="BL33" s="2934">
        <f t="shared" si="27"/>
        <v>0</v>
      </c>
      <c r="BM33" s="2934">
        <f t="shared" si="28"/>
        <v>0</v>
      </c>
      <c r="BN33" s="2934">
        <f t="shared" si="29"/>
        <v>0</v>
      </c>
      <c r="BO33" s="2934">
        <f t="shared" si="30"/>
        <v>0</v>
      </c>
      <c r="BP33" s="2934">
        <f t="shared" si="31"/>
        <v>0</v>
      </c>
      <c r="BQ33" s="2934">
        <f t="shared" si="32"/>
        <v>0</v>
      </c>
      <c r="BR33" s="2934">
        <f t="shared" si="33"/>
        <v>0</v>
      </c>
      <c r="BS33" s="2934">
        <f t="shared" si="34"/>
        <v>0</v>
      </c>
      <c r="BT33" s="2982">
        <f t="shared" si="35"/>
        <v>0</v>
      </c>
    </row>
    <row r="34" spans="1:72">
      <c r="A34" s="874"/>
      <c r="B34" s="882"/>
      <c r="C34" s="882"/>
      <c r="D34" s="2933"/>
      <c r="E34" s="2934">
        <f t="shared" si="7"/>
        <v>0</v>
      </c>
      <c r="F34" s="2935"/>
      <c r="G34" s="2936">
        <f t="shared" si="8"/>
        <v>0</v>
      </c>
      <c r="H34" s="2937">
        <f t="shared" si="9"/>
        <v>0</v>
      </c>
      <c r="I34" s="2944"/>
      <c r="J34" s="2944"/>
      <c r="K34" s="2944"/>
      <c r="L34" s="2944"/>
      <c r="M34" s="2944"/>
      <c r="N34" s="2944"/>
      <c r="O34" s="2944"/>
      <c r="P34" s="2944"/>
      <c r="Q34" s="2944"/>
      <c r="R34" s="2944"/>
      <c r="S34" s="2944"/>
      <c r="T34" s="2944"/>
      <c r="U34" s="2944"/>
      <c r="V34" s="2944"/>
      <c r="W34" s="2944"/>
      <c r="X34" s="2944"/>
      <c r="Y34" s="2944"/>
      <c r="Z34" s="2944"/>
      <c r="AA34" s="2944"/>
      <c r="AB34" s="2944"/>
      <c r="AC34" s="2934">
        <f t="shared" si="10"/>
        <v>0</v>
      </c>
      <c r="AD34" s="2954"/>
      <c r="AE34" s="2954"/>
      <c r="AF34" s="2954"/>
      <c r="AG34" s="2954"/>
      <c r="AH34" s="2954"/>
      <c r="AI34" s="2954"/>
      <c r="AJ34" s="2954"/>
      <c r="AK34" s="2954"/>
      <c r="AL34" s="2954"/>
      <c r="AM34" s="2954"/>
      <c r="AN34" s="2954"/>
      <c r="AO34" s="2954"/>
      <c r="AP34" s="2954"/>
      <c r="AQ34" s="2954"/>
      <c r="AR34" s="2954"/>
      <c r="AS34" s="2954"/>
      <c r="AT34" s="2935"/>
      <c r="AU34" s="2964"/>
      <c r="AV34" s="857">
        <f t="shared" si="11"/>
        <v>0</v>
      </c>
      <c r="AW34" s="857">
        <f t="shared" si="12"/>
        <v>0</v>
      </c>
      <c r="AX34" s="857">
        <f t="shared" si="13"/>
        <v>0</v>
      </c>
      <c r="AY34" s="807">
        <f t="shared" si="14"/>
        <v>0</v>
      </c>
      <c r="AZ34" s="2934">
        <f t="shared" si="15"/>
        <v>0</v>
      </c>
      <c r="BA34" s="2934">
        <f t="shared" si="16"/>
        <v>0</v>
      </c>
      <c r="BB34" s="2934">
        <f t="shared" si="17"/>
        <v>0</v>
      </c>
      <c r="BC34" s="2934">
        <f t="shared" si="18"/>
        <v>0</v>
      </c>
      <c r="BD34" s="2934">
        <f t="shared" si="19"/>
        <v>0</v>
      </c>
      <c r="BE34" s="2934">
        <f t="shared" si="20"/>
        <v>0</v>
      </c>
      <c r="BF34" s="2934">
        <f t="shared" si="21"/>
        <v>0</v>
      </c>
      <c r="BG34" s="2934">
        <f t="shared" si="22"/>
        <v>0</v>
      </c>
      <c r="BH34" s="2934">
        <f t="shared" si="23"/>
        <v>0</v>
      </c>
      <c r="BI34" s="2934">
        <f t="shared" si="24"/>
        <v>0</v>
      </c>
      <c r="BJ34" s="2934">
        <f t="shared" si="25"/>
        <v>0</v>
      </c>
      <c r="BK34" s="2934">
        <f t="shared" si="26"/>
        <v>0</v>
      </c>
      <c r="BL34" s="2934">
        <f t="shared" si="27"/>
        <v>0</v>
      </c>
      <c r="BM34" s="2934">
        <f t="shared" si="28"/>
        <v>0</v>
      </c>
      <c r="BN34" s="2934">
        <f t="shared" si="29"/>
        <v>0</v>
      </c>
      <c r="BO34" s="2934">
        <f t="shared" si="30"/>
        <v>0</v>
      </c>
      <c r="BP34" s="2934">
        <f t="shared" si="31"/>
        <v>0</v>
      </c>
      <c r="BQ34" s="2934">
        <f t="shared" si="32"/>
        <v>0</v>
      </c>
      <c r="BR34" s="2934">
        <f t="shared" si="33"/>
        <v>0</v>
      </c>
      <c r="BS34" s="2934">
        <f t="shared" si="34"/>
        <v>0</v>
      </c>
      <c r="BT34" s="2982">
        <f t="shared" si="35"/>
        <v>0</v>
      </c>
    </row>
    <row r="35" spans="1:72">
      <c r="A35" s="874"/>
      <c r="B35" s="882"/>
      <c r="C35" s="882"/>
      <c r="D35" s="2933"/>
      <c r="E35" s="2934">
        <f t="shared" si="7"/>
        <v>0</v>
      </c>
      <c r="F35" s="2935"/>
      <c r="G35" s="2936">
        <f t="shared" si="8"/>
        <v>0</v>
      </c>
      <c r="H35" s="2937">
        <f t="shared" si="9"/>
        <v>0</v>
      </c>
      <c r="I35" s="2944"/>
      <c r="J35" s="2944"/>
      <c r="K35" s="2944"/>
      <c r="L35" s="2944"/>
      <c r="M35" s="2944"/>
      <c r="N35" s="2944"/>
      <c r="O35" s="2944"/>
      <c r="P35" s="2944"/>
      <c r="Q35" s="2944"/>
      <c r="R35" s="2944"/>
      <c r="S35" s="2944"/>
      <c r="T35" s="2944"/>
      <c r="U35" s="2944"/>
      <c r="V35" s="2944"/>
      <c r="W35" s="2944"/>
      <c r="X35" s="2944"/>
      <c r="Y35" s="2944"/>
      <c r="Z35" s="2944"/>
      <c r="AA35" s="2944"/>
      <c r="AB35" s="2944"/>
      <c r="AC35" s="2934">
        <f t="shared" si="10"/>
        <v>0</v>
      </c>
      <c r="AD35" s="2954"/>
      <c r="AE35" s="2954"/>
      <c r="AF35" s="2954"/>
      <c r="AG35" s="2954"/>
      <c r="AH35" s="2954"/>
      <c r="AI35" s="2954"/>
      <c r="AJ35" s="2954"/>
      <c r="AK35" s="2954"/>
      <c r="AL35" s="2954"/>
      <c r="AM35" s="2954"/>
      <c r="AN35" s="2954"/>
      <c r="AO35" s="2954"/>
      <c r="AP35" s="2954"/>
      <c r="AQ35" s="2954"/>
      <c r="AR35" s="2954"/>
      <c r="AS35" s="2954"/>
      <c r="AT35" s="2935"/>
      <c r="AU35" s="2964"/>
      <c r="AV35" s="857">
        <f t="shared" si="11"/>
        <v>0</v>
      </c>
      <c r="AW35" s="857">
        <f t="shared" si="12"/>
        <v>0</v>
      </c>
      <c r="AX35" s="857">
        <f t="shared" si="13"/>
        <v>0</v>
      </c>
      <c r="AY35" s="807">
        <f t="shared" si="14"/>
        <v>0</v>
      </c>
      <c r="AZ35" s="2934">
        <f t="shared" si="15"/>
        <v>0</v>
      </c>
      <c r="BA35" s="2934">
        <f t="shared" si="16"/>
        <v>0</v>
      </c>
      <c r="BB35" s="2934">
        <f t="shared" si="17"/>
        <v>0</v>
      </c>
      <c r="BC35" s="2934">
        <f t="shared" si="18"/>
        <v>0</v>
      </c>
      <c r="BD35" s="2934">
        <f t="shared" si="19"/>
        <v>0</v>
      </c>
      <c r="BE35" s="2934">
        <f t="shared" si="20"/>
        <v>0</v>
      </c>
      <c r="BF35" s="2934">
        <f t="shared" si="21"/>
        <v>0</v>
      </c>
      <c r="BG35" s="2934">
        <f t="shared" si="22"/>
        <v>0</v>
      </c>
      <c r="BH35" s="2934">
        <f t="shared" si="23"/>
        <v>0</v>
      </c>
      <c r="BI35" s="2934">
        <f t="shared" si="24"/>
        <v>0</v>
      </c>
      <c r="BJ35" s="2934">
        <f t="shared" si="25"/>
        <v>0</v>
      </c>
      <c r="BK35" s="2934">
        <f t="shared" si="26"/>
        <v>0</v>
      </c>
      <c r="BL35" s="2934">
        <f t="shared" si="27"/>
        <v>0</v>
      </c>
      <c r="BM35" s="2934">
        <f t="shared" si="28"/>
        <v>0</v>
      </c>
      <c r="BN35" s="2934">
        <f t="shared" si="29"/>
        <v>0</v>
      </c>
      <c r="BO35" s="2934">
        <f t="shared" si="30"/>
        <v>0</v>
      </c>
      <c r="BP35" s="2934">
        <f t="shared" si="31"/>
        <v>0</v>
      </c>
      <c r="BQ35" s="2934">
        <f t="shared" si="32"/>
        <v>0</v>
      </c>
      <c r="BR35" s="2934">
        <f t="shared" si="33"/>
        <v>0</v>
      </c>
      <c r="BS35" s="2934">
        <f t="shared" si="34"/>
        <v>0</v>
      </c>
      <c r="BT35" s="2982">
        <f t="shared" si="35"/>
        <v>0</v>
      </c>
    </row>
    <row r="36" spans="1:72">
      <c r="A36" s="874"/>
      <c r="B36" s="882"/>
      <c r="C36" s="882"/>
      <c r="D36" s="2933"/>
      <c r="E36" s="2934">
        <f t="shared" si="7"/>
        <v>0</v>
      </c>
      <c r="F36" s="2935"/>
      <c r="G36" s="2936">
        <f t="shared" si="8"/>
        <v>0</v>
      </c>
      <c r="H36" s="2937">
        <f t="shared" si="9"/>
        <v>0</v>
      </c>
      <c r="I36" s="2944"/>
      <c r="J36" s="2944"/>
      <c r="K36" s="2944"/>
      <c r="L36" s="2944"/>
      <c r="M36" s="2944"/>
      <c r="N36" s="2944"/>
      <c r="O36" s="2944"/>
      <c r="P36" s="2944"/>
      <c r="Q36" s="2944"/>
      <c r="R36" s="2944"/>
      <c r="S36" s="2944"/>
      <c r="T36" s="2944"/>
      <c r="U36" s="2944"/>
      <c r="V36" s="2944"/>
      <c r="W36" s="2944"/>
      <c r="X36" s="2944"/>
      <c r="Y36" s="2944"/>
      <c r="Z36" s="2944"/>
      <c r="AA36" s="2944"/>
      <c r="AB36" s="2944"/>
      <c r="AC36" s="2934">
        <f t="shared" si="10"/>
        <v>0</v>
      </c>
      <c r="AD36" s="2954"/>
      <c r="AE36" s="2954"/>
      <c r="AF36" s="2954"/>
      <c r="AG36" s="2954"/>
      <c r="AH36" s="2954"/>
      <c r="AI36" s="2954"/>
      <c r="AJ36" s="2954"/>
      <c r="AK36" s="2954"/>
      <c r="AL36" s="2954"/>
      <c r="AM36" s="2954"/>
      <c r="AN36" s="2954"/>
      <c r="AO36" s="2954"/>
      <c r="AP36" s="2954"/>
      <c r="AQ36" s="2954"/>
      <c r="AR36" s="2954"/>
      <c r="AS36" s="2954"/>
      <c r="AT36" s="2935"/>
      <c r="AU36" s="2964"/>
      <c r="AV36" s="857">
        <f t="shared" si="11"/>
        <v>0</v>
      </c>
      <c r="AW36" s="857">
        <f t="shared" si="12"/>
        <v>0</v>
      </c>
      <c r="AX36" s="857">
        <f t="shared" si="13"/>
        <v>0</v>
      </c>
      <c r="AY36" s="807">
        <f t="shared" si="14"/>
        <v>0</v>
      </c>
      <c r="AZ36" s="2934">
        <f t="shared" si="15"/>
        <v>0</v>
      </c>
      <c r="BA36" s="2934">
        <f t="shared" si="16"/>
        <v>0</v>
      </c>
      <c r="BB36" s="2934">
        <f t="shared" si="17"/>
        <v>0</v>
      </c>
      <c r="BC36" s="2934">
        <f t="shared" si="18"/>
        <v>0</v>
      </c>
      <c r="BD36" s="2934">
        <f t="shared" si="19"/>
        <v>0</v>
      </c>
      <c r="BE36" s="2934">
        <f t="shared" si="20"/>
        <v>0</v>
      </c>
      <c r="BF36" s="2934">
        <f t="shared" si="21"/>
        <v>0</v>
      </c>
      <c r="BG36" s="2934">
        <f t="shared" si="22"/>
        <v>0</v>
      </c>
      <c r="BH36" s="2934">
        <f t="shared" si="23"/>
        <v>0</v>
      </c>
      <c r="BI36" s="2934">
        <f t="shared" si="24"/>
        <v>0</v>
      </c>
      <c r="BJ36" s="2934">
        <f t="shared" si="25"/>
        <v>0</v>
      </c>
      <c r="BK36" s="2934">
        <f t="shared" si="26"/>
        <v>0</v>
      </c>
      <c r="BL36" s="2934">
        <f t="shared" si="27"/>
        <v>0</v>
      </c>
      <c r="BM36" s="2934">
        <f t="shared" si="28"/>
        <v>0</v>
      </c>
      <c r="BN36" s="2934">
        <f t="shared" si="29"/>
        <v>0</v>
      </c>
      <c r="BO36" s="2934">
        <f t="shared" si="30"/>
        <v>0</v>
      </c>
      <c r="BP36" s="2934">
        <f t="shared" si="31"/>
        <v>0</v>
      </c>
      <c r="BQ36" s="2934">
        <f t="shared" si="32"/>
        <v>0</v>
      </c>
      <c r="BR36" s="2934">
        <f t="shared" si="33"/>
        <v>0</v>
      </c>
      <c r="BS36" s="2934">
        <f t="shared" si="34"/>
        <v>0</v>
      </c>
      <c r="BT36" s="2982">
        <f t="shared" si="35"/>
        <v>0</v>
      </c>
    </row>
    <row r="37" spans="1:72">
      <c r="A37" s="874"/>
      <c r="B37" s="882"/>
      <c r="C37" s="882"/>
      <c r="D37" s="2933"/>
      <c r="E37" s="2934">
        <f t="shared" si="7"/>
        <v>0</v>
      </c>
      <c r="F37" s="2935"/>
      <c r="G37" s="2936">
        <f t="shared" si="8"/>
        <v>0</v>
      </c>
      <c r="H37" s="2937">
        <f t="shared" si="9"/>
        <v>0</v>
      </c>
      <c r="I37" s="2944"/>
      <c r="J37" s="2944"/>
      <c r="K37" s="2944"/>
      <c r="L37" s="2944"/>
      <c r="M37" s="2944"/>
      <c r="N37" s="2944"/>
      <c r="O37" s="2944"/>
      <c r="P37" s="2944"/>
      <c r="Q37" s="2944"/>
      <c r="R37" s="2944"/>
      <c r="S37" s="2944"/>
      <c r="T37" s="2944"/>
      <c r="U37" s="2944"/>
      <c r="V37" s="2944"/>
      <c r="W37" s="2944"/>
      <c r="X37" s="2944"/>
      <c r="Y37" s="2944"/>
      <c r="Z37" s="2944"/>
      <c r="AA37" s="2944"/>
      <c r="AB37" s="2944"/>
      <c r="AC37" s="2934">
        <f t="shared" si="10"/>
        <v>0</v>
      </c>
      <c r="AD37" s="2954"/>
      <c r="AE37" s="2954"/>
      <c r="AF37" s="2954"/>
      <c r="AG37" s="2954"/>
      <c r="AH37" s="2954"/>
      <c r="AI37" s="2954"/>
      <c r="AJ37" s="2954"/>
      <c r="AK37" s="2954"/>
      <c r="AL37" s="2954"/>
      <c r="AM37" s="2954"/>
      <c r="AN37" s="2954"/>
      <c r="AO37" s="2954"/>
      <c r="AP37" s="2954"/>
      <c r="AQ37" s="2954"/>
      <c r="AR37" s="2954"/>
      <c r="AS37" s="2954"/>
      <c r="AT37" s="2935"/>
      <c r="AU37" s="2964"/>
      <c r="AV37" s="857">
        <f t="shared" si="11"/>
        <v>0</v>
      </c>
      <c r="AW37" s="857">
        <f t="shared" si="12"/>
        <v>0</v>
      </c>
      <c r="AX37" s="857">
        <f t="shared" si="13"/>
        <v>0</v>
      </c>
      <c r="AY37" s="807">
        <f t="shared" si="14"/>
        <v>0</v>
      </c>
      <c r="AZ37" s="2934">
        <f t="shared" si="15"/>
        <v>0</v>
      </c>
      <c r="BA37" s="2934">
        <f t="shared" si="16"/>
        <v>0</v>
      </c>
      <c r="BB37" s="2934">
        <f t="shared" si="17"/>
        <v>0</v>
      </c>
      <c r="BC37" s="2934">
        <f t="shared" si="18"/>
        <v>0</v>
      </c>
      <c r="BD37" s="2934">
        <f t="shared" si="19"/>
        <v>0</v>
      </c>
      <c r="BE37" s="2934">
        <f t="shared" si="20"/>
        <v>0</v>
      </c>
      <c r="BF37" s="2934">
        <f t="shared" si="21"/>
        <v>0</v>
      </c>
      <c r="BG37" s="2934">
        <f t="shared" si="22"/>
        <v>0</v>
      </c>
      <c r="BH37" s="2934">
        <f t="shared" si="23"/>
        <v>0</v>
      </c>
      <c r="BI37" s="2934">
        <f t="shared" si="24"/>
        <v>0</v>
      </c>
      <c r="BJ37" s="2934">
        <f t="shared" si="25"/>
        <v>0</v>
      </c>
      <c r="BK37" s="2934">
        <f t="shared" si="26"/>
        <v>0</v>
      </c>
      <c r="BL37" s="2934">
        <f t="shared" si="27"/>
        <v>0</v>
      </c>
      <c r="BM37" s="2934">
        <f t="shared" si="28"/>
        <v>0</v>
      </c>
      <c r="BN37" s="2934">
        <f t="shared" si="29"/>
        <v>0</v>
      </c>
      <c r="BO37" s="2934">
        <f t="shared" si="30"/>
        <v>0</v>
      </c>
      <c r="BP37" s="2934">
        <f t="shared" si="31"/>
        <v>0</v>
      </c>
      <c r="BQ37" s="2934">
        <f t="shared" si="32"/>
        <v>0</v>
      </c>
      <c r="BR37" s="2934">
        <f t="shared" si="33"/>
        <v>0</v>
      </c>
      <c r="BS37" s="2934">
        <f t="shared" si="34"/>
        <v>0</v>
      </c>
      <c r="BT37" s="2982">
        <f t="shared" si="35"/>
        <v>0</v>
      </c>
    </row>
    <row r="38" spans="1:72">
      <c r="A38" s="874"/>
      <c r="B38" s="882"/>
      <c r="C38" s="882"/>
      <c r="D38" s="2933"/>
      <c r="E38" s="2934">
        <f t="shared" si="7"/>
        <v>0</v>
      </c>
      <c r="F38" s="2935"/>
      <c r="G38" s="2936">
        <f t="shared" si="8"/>
        <v>0</v>
      </c>
      <c r="H38" s="2937">
        <f t="shared" si="9"/>
        <v>0</v>
      </c>
      <c r="I38" s="2944"/>
      <c r="J38" s="2944"/>
      <c r="K38" s="2944"/>
      <c r="L38" s="2944"/>
      <c r="M38" s="2944"/>
      <c r="N38" s="2944"/>
      <c r="O38" s="2944"/>
      <c r="P38" s="2944"/>
      <c r="Q38" s="2944"/>
      <c r="R38" s="2944"/>
      <c r="S38" s="2944"/>
      <c r="T38" s="2944"/>
      <c r="U38" s="2944"/>
      <c r="V38" s="2944"/>
      <c r="W38" s="2944"/>
      <c r="X38" s="2944"/>
      <c r="Y38" s="2944"/>
      <c r="Z38" s="2944"/>
      <c r="AA38" s="2944"/>
      <c r="AB38" s="2944"/>
      <c r="AC38" s="2934">
        <f t="shared" si="10"/>
        <v>0</v>
      </c>
      <c r="AD38" s="2954"/>
      <c r="AE38" s="2954"/>
      <c r="AF38" s="2954"/>
      <c r="AG38" s="2954"/>
      <c r="AH38" s="2954"/>
      <c r="AI38" s="2954"/>
      <c r="AJ38" s="2954"/>
      <c r="AK38" s="2954"/>
      <c r="AL38" s="2954"/>
      <c r="AM38" s="2954"/>
      <c r="AN38" s="2954"/>
      <c r="AO38" s="2954"/>
      <c r="AP38" s="2954"/>
      <c r="AQ38" s="2954"/>
      <c r="AR38" s="2954"/>
      <c r="AS38" s="2954"/>
      <c r="AT38" s="2935"/>
      <c r="AU38" s="2964"/>
      <c r="AV38" s="857">
        <f t="shared" si="11"/>
        <v>0</v>
      </c>
      <c r="AW38" s="857">
        <f t="shared" si="12"/>
        <v>0</v>
      </c>
      <c r="AX38" s="857">
        <f t="shared" si="13"/>
        <v>0</v>
      </c>
      <c r="AY38" s="807">
        <f t="shared" si="14"/>
        <v>0</v>
      </c>
      <c r="AZ38" s="2934">
        <f t="shared" si="15"/>
        <v>0</v>
      </c>
      <c r="BA38" s="2934">
        <f t="shared" si="16"/>
        <v>0</v>
      </c>
      <c r="BB38" s="2934">
        <f t="shared" si="17"/>
        <v>0</v>
      </c>
      <c r="BC38" s="2934">
        <f t="shared" si="18"/>
        <v>0</v>
      </c>
      <c r="BD38" s="2934">
        <f t="shared" si="19"/>
        <v>0</v>
      </c>
      <c r="BE38" s="2934">
        <f t="shared" si="20"/>
        <v>0</v>
      </c>
      <c r="BF38" s="2934">
        <f t="shared" si="21"/>
        <v>0</v>
      </c>
      <c r="BG38" s="2934">
        <f t="shared" si="22"/>
        <v>0</v>
      </c>
      <c r="BH38" s="2934">
        <f t="shared" si="23"/>
        <v>0</v>
      </c>
      <c r="BI38" s="2934">
        <f t="shared" si="24"/>
        <v>0</v>
      </c>
      <c r="BJ38" s="2934">
        <f t="shared" si="25"/>
        <v>0</v>
      </c>
      <c r="BK38" s="2934">
        <f t="shared" si="26"/>
        <v>0</v>
      </c>
      <c r="BL38" s="2934">
        <f t="shared" si="27"/>
        <v>0</v>
      </c>
      <c r="BM38" s="2934">
        <f t="shared" si="28"/>
        <v>0</v>
      </c>
      <c r="BN38" s="2934">
        <f t="shared" si="29"/>
        <v>0</v>
      </c>
      <c r="BO38" s="2934">
        <f t="shared" si="30"/>
        <v>0</v>
      </c>
      <c r="BP38" s="2934">
        <f t="shared" si="31"/>
        <v>0</v>
      </c>
      <c r="BQ38" s="2934">
        <f t="shared" si="32"/>
        <v>0</v>
      </c>
      <c r="BR38" s="2934">
        <f t="shared" si="33"/>
        <v>0</v>
      </c>
      <c r="BS38" s="2934">
        <f t="shared" si="34"/>
        <v>0</v>
      </c>
      <c r="BT38" s="2982">
        <f t="shared" si="35"/>
        <v>0</v>
      </c>
    </row>
    <row r="39" spans="1:72">
      <c r="A39" s="874"/>
      <c r="B39" s="882"/>
      <c r="C39" s="882"/>
      <c r="D39" s="2933"/>
      <c r="E39" s="2934">
        <f t="shared" si="7"/>
        <v>0</v>
      </c>
      <c r="F39" s="2935"/>
      <c r="G39" s="2936">
        <f t="shared" si="8"/>
        <v>0</v>
      </c>
      <c r="H39" s="2937">
        <f t="shared" si="9"/>
        <v>0</v>
      </c>
      <c r="I39" s="2944"/>
      <c r="J39" s="2944"/>
      <c r="K39" s="2944"/>
      <c r="L39" s="2944"/>
      <c r="M39" s="2944"/>
      <c r="N39" s="2944"/>
      <c r="O39" s="2944"/>
      <c r="P39" s="2944"/>
      <c r="Q39" s="2944"/>
      <c r="R39" s="2944"/>
      <c r="S39" s="2944"/>
      <c r="T39" s="2944"/>
      <c r="U39" s="2944"/>
      <c r="V39" s="2944"/>
      <c r="W39" s="2944"/>
      <c r="X39" s="2944"/>
      <c r="Y39" s="2944"/>
      <c r="Z39" s="2944"/>
      <c r="AA39" s="2944"/>
      <c r="AB39" s="2944"/>
      <c r="AC39" s="2934">
        <f t="shared" si="10"/>
        <v>0</v>
      </c>
      <c r="AD39" s="2954"/>
      <c r="AE39" s="2954"/>
      <c r="AF39" s="2954"/>
      <c r="AG39" s="2954"/>
      <c r="AH39" s="2954"/>
      <c r="AI39" s="2954"/>
      <c r="AJ39" s="2954"/>
      <c r="AK39" s="2954"/>
      <c r="AL39" s="2954"/>
      <c r="AM39" s="2954"/>
      <c r="AN39" s="2954"/>
      <c r="AO39" s="2954"/>
      <c r="AP39" s="2954"/>
      <c r="AQ39" s="2954"/>
      <c r="AR39" s="2954"/>
      <c r="AS39" s="2954"/>
      <c r="AT39" s="2935"/>
      <c r="AU39" s="2964"/>
      <c r="AV39" s="857">
        <f t="shared" si="11"/>
        <v>0</v>
      </c>
      <c r="AW39" s="857">
        <f t="shared" si="12"/>
        <v>0</v>
      </c>
      <c r="AX39" s="857">
        <f t="shared" si="13"/>
        <v>0</v>
      </c>
      <c r="AY39" s="807">
        <f t="shared" si="14"/>
        <v>0</v>
      </c>
      <c r="AZ39" s="2934">
        <f t="shared" si="15"/>
        <v>0</v>
      </c>
      <c r="BA39" s="2934">
        <f t="shared" si="16"/>
        <v>0</v>
      </c>
      <c r="BB39" s="2934">
        <f t="shared" si="17"/>
        <v>0</v>
      </c>
      <c r="BC39" s="2934">
        <f t="shared" si="18"/>
        <v>0</v>
      </c>
      <c r="BD39" s="2934">
        <f t="shared" si="19"/>
        <v>0</v>
      </c>
      <c r="BE39" s="2934">
        <f t="shared" si="20"/>
        <v>0</v>
      </c>
      <c r="BF39" s="2934">
        <f t="shared" si="21"/>
        <v>0</v>
      </c>
      <c r="BG39" s="2934">
        <f t="shared" si="22"/>
        <v>0</v>
      </c>
      <c r="BH39" s="2934">
        <f t="shared" si="23"/>
        <v>0</v>
      </c>
      <c r="BI39" s="2934">
        <f t="shared" si="24"/>
        <v>0</v>
      </c>
      <c r="BJ39" s="2934">
        <f t="shared" si="25"/>
        <v>0</v>
      </c>
      <c r="BK39" s="2934">
        <f t="shared" si="26"/>
        <v>0</v>
      </c>
      <c r="BL39" s="2934">
        <f t="shared" si="27"/>
        <v>0</v>
      </c>
      <c r="BM39" s="2934">
        <f t="shared" si="28"/>
        <v>0</v>
      </c>
      <c r="BN39" s="2934">
        <f t="shared" si="29"/>
        <v>0</v>
      </c>
      <c r="BO39" s="2934">
        <f t="shared" si="30"/>
        <v>0</v>
      </c>
      <c r="BP39" s="2934">
        <f t="shared" si="31"/>
        <v>0</v>
      </c>
      <c r="BQ39" s="2934">
        <f t="shared" si="32"/>
        <v>0</v>
      </c>
      <c r="BR39" s="2934">
        <f t="shared" si="33"/>
        <v>0</v>
      </c>
      <c r="BS39" s="2934">
        <f t="shared" si="34"/>
        <v>0</v>
      </c>
      <c r="BT39" s="2982">
        <f t="shared" si="35"/>
        <v>0</v>
      </c>
    </row>
    <row r="40" spans="1:72">
      <c r="A40" s="874"/>
      <c r="B40" s="882"/>
      <c r="C40" s="882"/>
      <c r="D40" s="2933"/>
      <c r="E40" s="2934">
        <f t="shared" si="7"/>
        <v>0</v>
      </c>
      <c r="F40" s="2935"/>
      <c r="G40" s="2936">
        <f t="shared" si="8"/>
        <v>0</v>
      </c>
      <c r="H40" s="2937">
        <f t="shared" si="9"/>
        <v>0</v>
      </c>
      <c r="I40" s="2944"/>
      <c r="J40" s="2944"/>
      <c r="K40" s="2944"/>
      <c r="L40" s="2944"/>
      <c r="M40" s="2944"/>
      <c r="N40" s="2944"/>
      <c r="O40" s="2944"/>
      <c r="P40" s="2944"/>
      <c r="Q40" s="2944"/>
      <c r="R40" s="2944"/>
      <c r="S40" s="2944"/>
      <c r="T40" s="2944"/>
      <c r="U40" s="2944"/>
      <c r="V40" s="2944"/>
      <c r="W40" s="2944"/>
      <c r="X40" s="2944"/>
      <c r="Y40" s="2944"/>
      <c r="Z40" s="2944"/>
      <c r="AA40" s="2944"/>
      <c r="AB40" s="2944"/>
      <c r="AC40" s="2934">
        <f t="shared" si="10"/>
        <v>0</v>
      </c>
      <c r="AD40" s="2954"/>
      <c r="AE40" s="2954"/>
      <c r="AF40" s="2954"/>
      <c r="AG40" s="2954"/>
      <c r="AH40" s="2954"/>
      <c r="AI40" s="2954"/>
      <c r="AJ40" s="2954"/>
      <c r="AK40" s="2954"/>
      <c r="AL40" s="2954"/>
      <c r="AM40" s="2954"/>
      <c r="AN40" s="2954"/>
      <c r="AO40" s="2954"/>
      <c r="AP40" s="2954"/>
      <c r="AQ40" s="2954"/>
      <c r="AR40" s="2954"/>
      <c r="AS40" s="2954"/>
      <c r="AT40" s="2935"/>
      <c r="AU40" s="2964"/>
      <c r="AV40" s="857">
        <f t="shared" si="11"/>
        <v>0</v>
      </c>
      <c r="AW40" s="857">
        <f t="shared" si="12"/>
        <v>0</v>
      </c>
      <c r="AX40" s="857">
        <f t="shared" si="13"/>
        <v>0</v>
      </c>
      <c r="AY40" s="807">
        <f t="shared" si="14"/>
        <v>0</v>
      </c>
      <c r="AZ40" s="2934">
        <f t="shared" si="15"/>
        <v>0</v>
      </c>
      <c r="BA40" s="2934">
        <f t="shared" si="16"/>
        <v>0</v>
      </c>
      <c r="BB40" s="2934">
        <f t="shared" si="17"/>
        <v>0</v>
      </c>
      <c r="BC40" s="2934">
        <f t="shared" si="18"/>
        <v>0</v>
      </c>
      <c r="BD40" s="2934">
        <f t="shared" si="19"/>
        <v>0</v>
      </c>
      <c r="BE40" s="2934">
        <f t="shared" si="20"/>
        <v>0</v>
      </c>
      <c r="BF40" s="2934">
        <f t="shared" si="21"/>
        <v>0</v>
      </c>
      <c r="BG40" s="2934">
        <f t="shared" si="22"/>
        <v>0</v>
      </c>
      <c r="BH40" s="2934">
        <f t="shared" si="23"/>
        <v>0</v>
      </c>
      <c r="BI40" s="2934">
        <f t="shared" si="24"/>
        <v>0</v>
      </c>
      <c r="BJ40" s="2934">
        <f t="shared" si="25"/>
        <v>0</v>
      </c>
      <c r="BK40" s="2934">
        <f t="shared" si="26"/>
        <v>0</v>
      </c>
      <c r="BL40" s="2934">
        <f t="shared" si="27"/>
        <v>0</v>
      </c>
      <c r="BM40" s="2934">
        <f t="shared" si="28"/>
        <v>0</v>
      </c>
      <c r="BN40" s="2934">
        <f t="shared" si="29"/>
        <v>0</v>
      </c>
      <c r="BO40" s="2934">
        <f t="shared" si="30"/>
        <v>0</v>
      </c>
      <c r="BP40" s="2934">
        <f t="shared" si="31"/>
        <v>0</v>
      </c>
      <c r="BQ40" s="2934">
        <f t="shared" si="32"/>
        <v>0</v>
      </c>
      <c r="BR40" s="2934">
        <f t="shared" si="33"/>
        <v>0</v>
      </c>
      <c r="BS40" s="2934">
        <f t="shared" si="34"/>
        <v>0</v>
      </c>
      <c r="BT40" s="2982">
        <f t="shared" si="35"/>
        <v>0</v>
      </c>
    </row>
    <row r="41" spans="1:72">
      <c r="A41" s="874"/>
      <c r="B41" s="882"/>
      <c r="C41" s="882"/>
      <c r="D41" s="2933"/>
      <c r="E41" s="2934">
        <f t="shared" si="7"/>
        <v>0</v>
      </c>
      <c r="F41" s="2935"/>
      <c r="G41" s="2936">
        <f t="shared" si="8"/>
        <v>0</v>
      </c>
      <c r="H41" s="2937">
        <f t="shared" si="9"/>
        <v>0</v>
      </c>
      <c r="I41" s="2944"/>
      <c r="J41" s="2944"/>
      <c r="K41" s="2944"/>
      <c r="L41" s="2944"/>
      <c r="M41" s="2944"/>
      <c r="N41" s="2944"/>
      <c r="O41" s="2944"/>
      <c r="P41" s="2944"/>
      <c r="Q41" s="2944"/>
      <c r="R41" s="2944"/>
      <c r="S41" s="2944"/>
      <c r="T41" s="2944"/>
      <c r="U41" s="2944"/>
      <c r="V41" s="2944"/>
      <c r="W41" s="2944"/>
      <c r="X41" s="2944"/>
      <c r="Y41" s="2944"/>
      <c r="Z41" s="2944"/>
      <c r="AA41" s="2944"/>
      <c r="AB41" s="2944"/>
      <c r="AC41" s="2934">
        <f t="shared" si="10"/>
        <v>0</v>
      </c>
      <c r="AD41" s="2954"/>
      <c r="AE41" s="2954"/>
      <c r="AF41" s="2954"/>
      <c r="AG41" s="2954"/>
      <c r="AH41" s="2954"/>
      <c r="AI41" s="2954"/>
      <c r="AJ41" s="2954"/>
      <c r="AK41" s="2954"/>
      <c r="AL41" s="2954"/>
      <c r="AM41" s="2954"/>
      <c r="AN41" s="2954"/>
      <c r="AO41" s="2954"/>
      <c r="AP41" s="2954"/>
      <c r="AQ41" s="2954"/>
      <c r="AR41" s="2954"/>
      <c r="AS41" s="2954"/>
      <c r="AT41" s="2935"/>
      <c r="AU41" s="2964"/>
      <c r="AV41" s="857">
        <f t="shared" si="11"/>
        <v>0</v>
      </c>
      <c r="AW41" s="857">
        <f t="shared" si="12"/>
        <v>0</v>
      </c>
      <c r="AX41" s="857">
        <f t="shared" si="13"/>
        <v>0</v>
      </c>
      <c r="AY41" s="807">
        <f t="shared" si="14"/>
        <v>0</v>
      </c>
      <c r="AZ41" s="2934">
        <f t="shared" si="15"/>
        <v>0</v>
      </c>
      <c r="BA41" s="2934">
        <f t="shared" si="16"/>
        <v>0</v>
      </c>
      <c r="BB41" s="2934">
        <f t="shared" si="17"/>
        <v>0</v>
      </c>
      <c r="BC41" s="2934">
        <f t="shared" si="18"/>
        <v>0</v>
      </c>
      <c r="BD41" s="2934">
        <f t="shared" si="19"/>
        <v>0</v>
      </c>
      <c r="BE41" s="2934">
        <f t="shared" si="20"/>
        <v>0</v>
      </c>
      <c r="BF41" s="2934">
        <f t="shared" si="21"/>
        <v>0</v>
      </c>
      <c r="BG41" s="2934">
        <f t="shared" si="22"/>
        <v>0</v>
      </c>
      <c r="BH41" s="2934">
        <f t="shared" si="23"/>
        <v>0</v>
      </c>
      <c r="BI41" s="2934">
        <f t="shared" si="24"/>
        <v>0</v>
      </c>
      <c r="BJ41" s="2934">
        <f t="shared" si="25"/>
        <v>0</v>
      </c>
      <c r="BK41" s="2934">
        <f t="shared" si="26"/>
        <v>0</v>
      </c>
      <c r="BL41" s="2934">
        <f t="shared" si="27"/>
        <v>0</v>
      </c>
      <c r="BM41" s="2934">
        <f t="shared" si="28"/>
        <v>0</v>
      </c>
      <c r="BN41" s="2934">
        <f t="shared" si="29"/>
        <v>0</v>
      </c>
      <c r="BO41" s="2934">
        <f t="shared" si="30"/>
        <v>0</v>
      </c>
      <c r="BP41" s="2934">
        <f t="shared" si="31"/>
        <v>0</v>
      </c>
      <c r="BQ41" s="2934">
        <f t="shared" si="32"/>
        <v>0</v>
      </c>
      <c r="BR41" s="2934">
        <f t="shared" si="33"/>
        <v>0</v>
      </c>
      <c r="BS41" s="2934">
        <f t="shared" si="34"/>
        <v>0</v>
      </c>
      <c r="BT41" s="2982">
        <f t="shared" si="35"/>
        <v>0</v>
      </c>
    </row>
    <row r="42" spans="1:72">
      <c r="A42" s="874"/>
      <c r="B42" s="882"/>
      <c r="C42" s="882"/>
      <c r="D42" s="2933"/>
      <c r="E42" s="2934">
        <f t="shared" si="7"/>
        <v>0</v>
      </c>
      <c r="F42" s="2935"/>
      <c r="G42" s="2936">
        <f t="shared" si="8"/>
        <v>0</v>
      </c>
      <c r="H42" s="2937">
        <f t="shared" si="9"/>
        <v>0</v>
      </c>
      <c r="I42" s="2944"/>
      <c r="J42" s="2944"/>
      <c r="K42" s="2944"/>
      <c r="L42" s="2944"/>
      <c r="M42" s="2944"/>
      <c r="N42" s="2944"/>
      <c r="O42" s="2944"/>
      <c r="P42" s="2944"/>
      <c r="Q42" s="2944"/>
      <c r="R42" s="2944"/>
      <c r="S42" s="2944"/>
      <c r="T42" s="2944"/>
      <c r="U42" s="2944"/>
      <c r="V42" s="2944"/>
      <c r="W42" s="2944"/>
      <c r="X42" s="2944"/>
      <c r="Y42" s="2944"/>
      <c r="Z42" s="2944"/>
      <c r="AA42" s="2944"/>
      <c r="AB42" s="2944"/>
      <c r="AC42" s="2934">
        <f t="shared" si="10"/>
        <v>0</v>
      </c>
      <c r="AD42" s="2954"/>
      <c r="AE42" s="2954"/>
      <c r="AF42" s="2954"/>
      <c r="AG42" s="2954"/>
      <c r="AH42" s="2954"/>
      <c r="AI42" s="2954"/>
      <c r="AJ42" s="2954"/>
      <c r="AK42" s="2954"/>
      <c r="AL42" s="2954"/>
      <c r="AM42" s="2954"/>
      <c r="AN42" s="2954"/>
      <c r="AO42" s="2954"/>
      <c r="AP42" s="2954"/>
      <c r="AQ42" s="2954"/>
      <c r="AR42" s="2954"/>
      <c r="AS42" s="2954"/>
      <c r="AT42" s="2935"/>
      <c r="AU42" s="2964"/>
      <c r="AV42" s="857">
        <f t="shared" si="11"/>
        <v>0</v>
      </c>
      <c r="AW42" s="857">
        <f t="shared" si="12"/>
        <v>0</v>
      </c>
      <c r="AX42" s="857">
        <f t="shared" si="13"/>
        <v>0</v>
      </c>
      <c r="AY42" s="807">
        <f t="shared" si="14"/>
        <v>0</v>
      </c>
      <c r="AZ42" s="2934">
        <f t="shared" si="15"/>
        <v>0</v>
      </c>
      <c r="BA42" s="2934">
        <f t="shared" si="16"/>
        <v>0</v>
      </c>
      <c r="BB42" s="2934">
        <f t="shared" si="17"/>
        <v>0</v>
      </c>
      <c r="BC42" s="2934">
        <f t="shared" si="18"/>
        <v>0</v>
      </c>
      <c r="BD42" s="2934">
        <f t="shared" si="19"/>
        <v>0</v>
      </c>
      <c r="BE42" s="2934">
        <f t="shared" si="20"/>
        <v>0</v>
      </c>
      <c r="BF42" s="2934">
        <f t="shared" si="21"/>
        <v>0</v>
      </c>
      <c r="BG42" s="2934">
        <f t="shared" si="22"/>
        <v>0</v>
      </c>
      <c r="BH42" s="2934">
        <f t="shared" si="23"/>
        <v>0</v>
      </c>
      <c r="BI42" s="2934">
        <f t="shared" si="24"/>
        <v>0</v>
      </c>
      <c r="BJ42" s="2934">
        <f t="shared" si="25"/>
        <v>0</v>
      </c>
      <c r="BK42" s="2934">
        <f t="shared" si="26"/>
        <v>0</v>
      </c>
      <c r="BL42" s="2934">
        <f t="shared" si="27"/>
        <v>0</v>
      </c>
      <c r="BM42" s="2934">
        <f t="shared" si="28"/>
        <v>0</v>
      </c>
      <c r="BN42" s="2934">
        <f t="shared" si="29"/>
        <v>0</v>
      </c>
      <c r="BO42" s="2934">
        <f t="shared" si="30"/>
        <v>0</v>
      </c>
      <c r="BP42" s="2934">
        <f t="shared" si="31"/>
        <v>0</v>
      </c>
      <c r="BQ42" s="2934">
        <f t="shared" si="32"/>
        <v>0</v>
      </c>
      <c r="BR42" s="2934">
        <f t="shared" si="33"/>
        <v>0</v>
      </c>
      <c r="BS42" s="2934">
        <f t="shared" si="34"/>
        <v>0</v>
      </c>
      <c r="BT42" s="2982">
        <f t="shared" si="35"/>
        <v>0</v>
      </c>
    </row>
    <row r="43" spans="1:72">
      <c r="A43" s="874"/>
      <c r="B43" s="882"/>
      <c r="C43" s="882"/>
      <c r="D43" s="2933"/>
      <c r="E43" s="2934">
        <f t="shared" si="7"/>
        <v>0</v>
      </c>
      <c r="F43" s="2935"/>
      <c r="G43" s="2936">
        <f t="shared" si="8"/>
        <v>0</v>
      </c>
      <c r="H43" s="2937">
        <f t="shared" si="9"/>
        <v>0</v>
      </c>
      <c r="I43" s="2944"/>
      <c r="J43" s="2944"/>
      <c r="K43" s="2944"/>
      <c r="L43" s="2944"/>
      <c r="M43" s="2944"/>
      <c r="N43" s="2944"/>
      <c r="O43" s="2944"/>
      <c r="P43" s="2944"/>
      <c r="Q43" s="2944"/>
      <c r="R43" s="2944"/>
      <c r="S43" s="2944"/>
      <c r="T43" s="2944"/>
      <c r="U43" s="2944"/>
      <c r="V43" s="2944"/>
      <c r="W43" s="2944"/>
      <c r="X43" s="2944"/>
      <c r="Y43" s="2944"/>
      <c r="Z43" s="2944"/>
      <c r="AA43" s="2944"/>
      <c r="AB43" s="2944"/>
      <c r="AC43" s="2934">
        <f t="shared" si="10"/>
        <v>0</v>
      </c>
      <c r="AD43" s="2954"/>
      <c r="AE43" s="2954"/>
      <c r="AF43" s="2954"/>
      <c r="AG43" s="2954"/>
      <c r="AH43" s="2954"/>
      <c r="AI43" s="2954"/>
      <c r="AJ43" s="2954"/>
      <c r="AK43" s="2954"/>
      <c r="AL43" s="2954"/>
      <c r="AM43" s="2954"/>
      <c r="AN43" s="2954"/>
      <c r="AO43" s="2954"/>
      <c r="AP43" s="2954"/>
      <c r="AQ43" s="2954"/>
      <c r="AR43" s="2954"/>
      <c r="AS43" s="2954"/>
      <c r="AT43" s="2935"/>
      <c r="AU43" s="2964"/>
      <c r="AV43" s="857">
        <f t="shared" si="11"/>
        <v>0</v>
      </c>
      <c r="AW43" s="857">
        <f t="shared" si="12"/>
        <v>0</v>
      </c>
      <c r="AX43" s="857">
        <f t="shared" si="13"/>
        <v>0</v>
      </c>
      <c r="AY43" s="807">
        <f t="shared" si="14"/>
        <v>0</v>
      </c>
      <c r="AZ43" s="2934">
        <f t="shared" si="15"/>
        <v>0</v>
      </c>
      <c r="BA43" s="2934">
        <f t="shared" si="16"/>
        <v>0</v>
      </c>
      <c r="BB43" s="2934">
        <f t="shared" si="17"/>
        <v>0</v>
      </c>
      <c r="BC43" s="2934">
        <f t="shared" si="18"/>
        <v>0</v>
      </c>
      <c r="BD43" s="2934">
        <f t="shared" si="19"/>
        <v>0</v>
      </c>
      <c r="BE43" s="2934">
        <f t="shared" si="20"/>
        <v>0</v>
      </c>
      <c r="BF43" s="2934">
        <f t="shared" si="21"/>
        <v>0</v>
      </c>
      <c r="BG43" s="2934">
        <f t="shared" si="22"/>
        <v>0</v>
      </c>
      <c r="BH43" s="2934">
        <f t="shared" si="23"/>
        <v>0</v>
      </c>
      <c r="BI43" s="2934">
        <f t="shared" si="24"/>
        <v>0</v>
      </c>
      <c r="BJ43" s="2934">
        <f t="shared" si="25"/>
        <v>0</v>
      </c>
      <c r="BK43" s="2934">
        <f t="shared" si="26"/>
        <v>0</v>
      </c>
      <c r="BL43" s="2934">
        <f t="shared" si="27"/>
        <v>0</v>
      </c>
      <c r="BM43" s="2934">
        <f t="shared" si="28"/>
        <v>0</v>
      </c>
      <c r="BN43" s="2934">
        <f t="shared" si="29"/>
        <v>0</v>
      </c>
      <c r="BO43" s="2934">
        <f t="shared" si="30"/>
        <v>0</v>
      </c>
      <c r="BP43" s="2934">
        <f t="shared" si="31"/>
        <v>0</v>
      </c>
      <c r="BQ43" s="2934">
        <f t="shared" si="32"/>
        <v>0</v>
      </c>
      <c r="BR43" s="2934">
        <f t="shared" si="33"/>
        <v>0</v>
      </c>
      <c r="BS43" s="2934">
        <f t="shared" si="34"/>
        <v>0</v>
      </c>
      <c r="BT43" s="2982">
        <f t="shared" si="35"/>
        <v>0</v>
      </c>
    </row>
    <row r="44" spans="1:72">
      <c r="A44" s="874"/>
      <c r="B44" s="882"/>
      <c r="C44" s="882"/>
      <c r="D44" s="2933"/>
      <c r="E44" s="2934">
        <f t="shared" si="7"/>
        <v>0</v>
      </c>
      <c r="F44" s="2935"/>
      <c r="G44" s="2936">
        <f t="shared" si="8"/>
        <v>0</v>
      </c>
      <c r="H44" s="2937">
        <f t="shared" si="9"/>
        <v>0</v>
      </c>
      <c r="I44" s="2944"/>
      <c r="J44" s="2944"/>
      <c r="K44" s="2944"/>
      <c r="L44" s="2944"/>
      <c r="M44" s="2944"/>
      <c r="N44" s="2944"/>
      <c r="O44" s="2944"/>
      <c r="P44" s="2944"/>
      <c r="Q44" s="2944"/>
      <c r="R44" s="2944"/>
      <c r="S44" s="2944"/>
      <c r="T44" s="2944"/>
      <c r="U44" s="2944"/>
      <c r="V44" s="2944"/>
      <c r="W44" s="2944"/>
      <c r="X44" s="2944"/>
      <c r="Y44" s="2944"/>
      <c r="Z44" s="2944"/>
      <c r="AA44" s="2944"/>
      <c r="AB44" s="2944"/>
      <c r="AC44" s="2934">
        <f t="shared" si="10"/>
        <v>0</v>
      </c>
      <c r="AD44" s="2954"/>
      <c r="AE44" s="2954"/>
      <c r="AF44" s="2954"/>
      <c r="AG44" s="2954"/>
      <c r="AH44" s="2954"/>
      <c r="AI44" s="2954"/>
      <c r="AJ44" s="2954"/>
      <c r="AK44" s="2954"/>
      <c r="AL44" s="2954"/>
      <c r="AM44" s="2954"/>
      <c r="AN44" s="2954"/>
      <c r="AO44" s="2954"/>
      <c r="AP44" s="2954"/>
      <c r="AQ44" s="2954"/>
      <c r="AR44" s="2954"/>
      <c r="AS44" s="2954"/>
      <c r="AT44" s="2935"/>
      <c r="AU44" s="2964"/>
      <c r="AV44" s="857">
        <f t="shared" si="11"/>
        <v>0</v>
      </c>
      <c r="AW44" s="857">
        <f t="shared" si="12"/>
        <v>0</v>
      </c>
      <c r="AX44" s="857">
        <f t="shared" si="13"/>
        <v>0</v>
      </c>
      <c r="AY44" s="807">
        <f t="shared" si="14"/>
        <v>0</v>
      </c>
      <c r="AZ44" s="2934">
        <f t="shared" si="15"/>
        <v>0</v>
      </c>
      <c r="BA44" s="2934">
        <f t="shared" si="16"/>
        <v>0</v>
      </c>
      <c r="BB44" s="2934">
        <f t="shared" si="17"/>
        <v>0</v>
      </c>
      <c r="BC44" s="2934">
        <f t="shared" si="18"/>
        <v>0</v>
      </c>
      <c r="BD44" s="2934">
        <f t="shared" si="19"/>
        <v>0</v>
      </c>
      <c r="BE44" s="2934">
        <f t="shared" si="20"/>
        <v>0</v>
      </c>
      <c r="BF44" s="2934">
        <f t="shared" si="21"/>
        <v>0</v>
      </c>
      <c r="BG44" s="2934">
        <f t="shared" si="22"/>
        <v>0</v>
      </c>
      <c r="BH44" s="2934">
        <f t="shared" si="23"/>
        <v>0</v>
      </c>
      <c r="BI44" s="2934">
        <f t="shared" si="24"/>
        <v>0</v>
      </c>
      <c r="BJ44" s="2934">
        <f t="shared" si="25"/>
        <v>0</v>
      </c>
      <c r="BK44" s="2934">
        <f t="shared" si="26"/>
        <v>0</v>
      </c>
      <c r="BL44" s="2934">
        <f t="shared" si="27"/>
        <v>0</v>
      </c>
      <c r="BM44" s="2934">
        <f t="shared" si="28"/>
        <v>0</v>
      </c>
      <c r="BN44" s="2934">
        <f t="shared" si="29"/>
        <v>0</v>
      </c>
      <c r="BO44" s="2934">
        <f t="shared" si="30"/>
        <v>0</v>
      </c>
      <c r="BP44" s="2934">
        <f t="shared" si="31"/>
        <v>0</v>
      </c>
      <c r="BQ44" s="2934">
        <f t="shared" si="32"/>
        <v>0</v>
      </c>
      <c r="BR44" s="2934">
        <f t="shared" si="33"/>
        <v>0</v>
      </c>
      <c r="BS44" s="2934">
        <f t="shared" si="34"/>
        <v>0</v>
      </c>
      <c r="BT44" s="2982">
        <f t="shared" si="35"/>
        <v>0</v>
      </c>
    </row>
    <row r="45" spans="1:72">
      <c r="A45" s="874"/>
      <c r="B45" s="882"/>
      <c r="C45" s="882"/>
      <c r="D45" s="2933"/>
      <c r="E45" s="2934">
        <f t="shared" si="7"/>
        <v>0</v>
      </c>
      <c r="F45" s="2935"/>
      <c r="G45" s="2936">
        <f t="shared" si="8"/>
        <v>0</v>
      </c>
      <c r="H45" s="2937">
        <f t="shared" si="9"/>
        <v>0</v>
      </c>
      <c r="I45" s="2944"/>
      <c r="J45" s="2944"/>
      <c r="K45" s="2944"/>
      <c r="L45" s="2944"/>
      <c r="M45" s="2944"/>
      <c r="N45" s="2944"/>
      <c r="O45" s="2944"/>
      <c r="P45" s="2944"/>
      <c r="Q45" s="2944"/>
      <c r="R45" s="2944"/>
      <c r="S45" s="2944"/>
      <c r="T45" s="2944"/>
      <c r="U45" s="2944"/>
      <c r="V45" s="2944"/>
      <c r="W45" s="2944"/>
      <c r="X45" s="2944"/>
      <c r="Y45" s="2944"/>
      <c r="Z45" s="2944"/>
      <c r="AA45" s="2944"/>
      <c r="AB45" s="2944"/>
      <c r="AC45" s="2934">
        <f t="shared" si="10"/>
        <v>0</v>
      </c>
      <c r="AD45" s="2954"/>
      <c r="AE45" s="2954"/>
      <c r="AF45" s="2954"/>
      <c r="AG45" s="2954"/>
      <c r="AH45" s="2954"/>
      <c r="AI45" s="2954"/>
      <c r="AJ45" s="2954"/>
      <c r="AK45" s="2954"/>
      <c r="AL45" s="2954"/>
      <c r="AM45" s="2954"/>
      <c r="AN45" s="2954"/>
      <c r="AO45" s="2954"/>
      <c r="AP45" s="2954"/>
      <c r="AQ45" s="2954"/>
      <c r="AR45" s="2954"/>
      <c r="AS45" s="2954"/>
      <c r="AT45" s="2935"/>
      <c r="AU45" s="2964"/>
      <c r="AV45" s="857">
        <f t="shared" si="11"/>
        <v>0</v>
      </c>
      <c r="AW45" s="857">
        <f t="shared" si="12"/>
        <v>0</v>
      </c>
      <c r="AX45" s="857">
        <f t="shared" si="13"/>
        <v>0</v>
      </c>
      <c r="AY45" s="807">
        <f t="shared" si="14"/>
        <v>0</v>
      </c>
      <c r="AZ45" s="2934">
        <f t="shared" si="15"/>
        <v>0</v>
      </c>
      <c r="BA45" s="2934">
        <f t="shared" si="16"/>
        <v>0</v>
      </c>
      <c r="BB45" s="2934">
        <f t="shared" si="17"/>
        <v>0</v>
      </c>
      <c r="BC45" s="2934">
        <f t="shared" si="18"/>
        <v>0</v>
      </c>
      <c r="BD45" s="2934">
        <f t="shared" si="19"/>
        <v>0</v>
      </c>
      <c r="BE45" s="2934">
        <f t="shared" si="20"/>
        <v>0</v>
      </c>
      <c r="BF45" s="2934">
        <f t="shared" si="21"/>
        <v>0</v>
      </c>
      <c r="BG45" s="2934">
        <f t="shared" si="22"/>
        <v>0</v>
      </c>
      <c r="BH45" s="2934">
        <f t="shared" si="23"/>
        <v>0</v>
      </c>
      <c r="BI45" s="2934">
        <f t="shared" si="24"/>
        <v>0</v>
      </c>
      <c r="BJ45" s="2934">
        <f t="shared" si="25"/>
        <v>0</v>
      </c>
      <c r="BK45" s="2934">
        <f t="shared" si="26"/>
        <v>0</v>
      </c>
      <c r="BL45" s="2934">
        <f t="shared" si="27"/>
        <v>0</v>
      </c>
      <c r="BM45" s="2934">
        <f t="shared" si="28"/>
        <v>0</v>
      </c>
      <c r="BN45" s="2934">
        <f t="shared" si="29"/>
        <v>0</v>
      </c>
      <c r="BO45" s="2934">
        <f t="shared" si="30"/>
        <v>0</v>
      </c>
      <c r="BP45" s="2934">
        <f t="shared" si="31"/>
        <v>0</v>
      </c>
      <c r="BQ45" s="2934">
        <f t="shared" si="32"/>
        <v>0</v>
      </c>
      <c r="BR45" s="2934">
        <f t="shared" si="33"/>
        <v>0</v>
      </c>
      <c r="BS45" s="2934">
        <f t="shared" si="34"/>
        <v>0</v>
      </c>
      <c r="BT45" s="2982">
        <f t="shared" si="35"/>
        <v>0</v>
      </c>
    </row>
    <row r="46" spans="1:72">
      <c r="A46" s="874"/>
      <c r="B46" s="882"/>
      <c r="C46" s="882"/>
      <c r="D46" s="2933"/>
      <c r="E46" s="2934">
        <f t="shared" si="7"/>
        <v>0</v>
      </c>
      <c r="F46" s="2935"/>
      <c r="G46" s="2936">
        <f t="shared" si="8"/>
        <v>0</v>
      </c>
      <c r="H46" s="2937">
        <f t="shared" si="9"/>
        <v>0</v>
      </c>
      <c r="I46" s="2944"/>
      <c r="J46" s="2944"/>
      <c r="K46" s="2944"/>
      <c r="L46" s="2944"/>
      <c r="M46" s="2944"/>
      <c r="N46" s="2944"/>
      <c r="O46" s="2944"/>
      <c r="P46" s="2944"/>
      <c r="Q46" s="2944"/>
      <c r="R46" s="2944"/>
      <c r="S46" s="2944"/>
      <c r="T46" s="2944"/>
      <c r="U46" s="2944"/>
      <c r="V46" s="2944"/>
      <c r="W46" s="2944"/>
      <c r="X46" s="2944"/>
      <c r="Y46" s="2944"/>
      <c r="Z46" s="2944"/>
      <c r="AA46" s="2944"/>
      <c r="AB46" s="2944"/>
      <c r="AC46" s="2934">
        <f t="shared" si="10"/>
        <v>0</v>
      </c>
      <c r="AD46" s="2954"/>
      <c r="AE46" s="2954"/>
      <c r="AF46" s="2954"/>
      <c r="AG46" s="2954"/>
      <c r="AH46" s="2954"/>
      <c r="AI46" s="2954"/>
      <c r="AJ46" s="2954"/>
      <c r="AK46" s="2954"/>
      <c r="AL46" s="2954"/>
      <c r="AM46" s="2954"/>
      <c r="AN46" s="2954"/>
      <c r="AO46" s="2954"/>
      <c r="AP46" s="2954"/>
      <c r="AQ46" s="2954"/>
      <c r="AR46" s="2954"/>
      <c r="AS46" s="2954"/>
      <c r="AT46" s="2935"/>
      <c r="AU46" s="2964"/>
      <c r="AV46" s="857">
        <f t="shared" si="11"/>
        <v>0</v>
      </c>
      <c r="AW46" s="857">
        <f t="shared" si="12"/>
        <v>0</v>
      </c>
      <c r="AX46" s="857">
        <f t="shared" si="13"/>
        <v>0</v>
      </c>
      <c r="AY46" s="807">
        <f t="shared" si="14"/>
        <v>0</v>
      </c>
      <c r="AZ46" s="2934">
        <f t="shared" si="15"/>
        <v>0</v>
      </c>
      <c r="BA46" s="2934">
        <f t="shared" si="16"/>
        <v>0</v>
      </c>
      <c r="BB46" s="2934">
        <f t="shared" si="17"/>
        <v>0</v>
      </c>
      <c r="BC46" s="2934">
        <f t="shared" si="18"/>
        <v>0</v>
      </c>
      <c r="BD46" s="2934">
        <f t="shared" si="19"/>
        <v>0</v>
      </c>
      <c r="BE46" s="2934">
        <f t="shared" si="20"/>
        <v>0</v>
      </c>
      <c r="BF46" s="2934">
        <f t="shared" si="21"/>
        <v>0</v>
      </c>
      <c r="BG46" s="2934">
        <f t="shared" si="22"/>
        <v>0</v>
      </c>
      <c r="BH46" s="2934">
        <f t="shared" si="23"/>
        <v>0</v>
      </c>
      <c r="BI46" s="2934">
        <f t="shared" si="24"/>
        <v>0</v>
      </c>
      <c r="BJ46" s="2934">
        <f t="shared" si="25"/>
        <v>0</v>
      </c>
      <c r="BK46" s="2934">
        <f t="shared" si="26"/>
        <v>0</v>
      </c>
      <c r="BL46" s="2934">
        <f t="shared" si="27"/>
        <v>0</v>
      </c>
      <c r="BM46" s="2934">
        <f t="shared" si="28"/>
        <v>0</v>
      </c>
      <c r="BN46" s="2934">
        <f t="shared" si="29"/>
        <v>0</v>
      </c>
      <c r="BO46" s="2934">
        <f t="shared" si="30"/>
        <v>0</v>
      </c>
      <c r="BP46" s="2934">
        <f t="shared" si="31"/>
        <v>0</v>
      </c>
      <c r="BQ46" s="2934">
        <f t="shared" si="32"/>
        <v>0</v>
      </c>
      <c r="BR46" s="2934">
        <f t="shared" si="33"/>
        <v>0</v>
      </c>
      <c r="BS46" s="2934">
        <f t="shared" si="34"/>
        <v>0</v>
      </c>
      <c r="BT46" s="2982">
        <f t="shared" si="35"/>
        <v>0</v>
      </c>
    </row>
    <row r="47" spans="1:72">
      <c r="A47" s="874"/>
      <c r="B47" s="882"/>
      <c r="C47" s="882"/>
      <c r="D47" s="2933"/>
      <c r="E47" s="2934">
        <f t="shared" si="7"/>
        <v>0</v>
      </c>
      <c r="F47" s="2935"/>
      <c r="G47" s="2936">
        <f t="shared" si="8"/>
        <v>0</v>
      </c>
      <c r="H47" s="2937">
        <f t="shared" si="9"/>
        <v>0</v>
      </c>
      <c r="I47" s="2944"/>
      <c r="J47" s="2944"/>
      <c r="K47" s="2944"/>
      <c r="L47" s="2944"/>
      <c r="M47" s="2944"/>
      <c r="N47" s="2944"/>
      <c r="O47" s="2944"/>
      <c r="P47" s="2944"/>
      <c r="Q47" s="2944"/>
      <c r="R47" s="2944"/>
      <c r="S47" s="2944"/>
      <c r="T47" s="2944"/>
      <c r="U47" s="2944"/>
      <c r="V47" s="2944"/>
      <c r="W47" s="2944"/>
      <c r="X47" s="2944"/>
      <c r="Y47" s="2944"/>
      <c r="Z47" s="2944"/>
      <c r="AA47" s="2944"/>
      <c r="AB47" s="2944"/>
      <c r="AC47" s="2934">
        <f t="shared" si="10"/>
        <v>0</v>
      </c>
      <c r="AD47" s="2954"/>
      <c r="AE47" s="2954"/>
      <c r="AF47" s="2954"/>
      <c r="AG47" s="2954"/>
      <c r="AH47" s="2954"/>
      <c r="AI47" s="2954"/>
      <c r="AJ47" s="2954"/>
      <c r="AK47" s="2954"/>
      <c r="AL47" s="2954"/>
      <c r="AM47" s="2954"/>
      <c r="AN47" s="2954"/>
      <c r="AO47" s="2954"/>
      <c r="AP47" s="2954"/>
      <c r="AQ47" s="2954"/>
      <c r="AR47" s="2954"/>
      <c r="AS47" s="2954"/>
      <c r="AT47" s="2935"/>
      <c r="AU47" s="2964"/>
      <c r="AV47" s="857">
        <f t="shared" si="11"/>
        <v>0</v>
      </c>
      <c r="AW47" s="857">
        <f t="shared" si="12"/>
        <v>0</v>
      </c>
      <c r="AX47" s="857">
        <f t="shared" si="13"/>
        <v>0</v>
      </c>
      <c r="AY47" s="807">
        <f t="shared" si="14"/>
        <v>0</v>
      </c>
      <c r="AZ47" s="2934">
        <f t="shared" si="15"/>
        <v>0</v>
      </c>
      <c r="BA47" s="2934">
        <f t="shared" si="16"/>
        <v>0</v>
      </c>
      <c r="BB47" s="2934">
        <f t="shared" si="17"/>
        <v>0</v>
      </c>
      <c r="BC47" s="2934">
        <f t="shared" si="18"/>
        <v>0</v>
      </c>
      <c r="BD47" s="2934">
        <f t="shared" si="19"/>
        <v>0</v>
      </c>
      <c r="BE47" s="2934">
        <f t="shared" si="20"/>
        <v>0</v>
      </c>
      <c r="BF47" s="2934">
        <f t="shared" si="21"/>
        <v>0</v>
      </c>
      <c r="BG47" s="2934">
        <f t="shared" si="22"/>
        <v>0</v>
      </c>
      <c r="BH47" s="2934">
        <f t="shared" si="23"/>
        <v>0</v>
      </c>
      <c r="BI47" s="2934">
        <f t="shared" si="24"/>
        <v>0</v>
      </c>
      <c r="BJ47" s="2934">
        <f t="shared" si="25"/>
        <v>0</v>
      </c>
      <c r="BK47" s="2934">
        <f t="shared" si="26"/>
        <v>0</v>
      </c>
      <c r="BL47" s="2934">
        <f t="shared" si="27"/>
        <v>0</v>
      </c>
      <c r="BM47" s="2934">
        <f t="shared" si="28"/>
        <v>0</v>
      </c>
      <c r="BN47" s="2934">
        <f t="shared" si="29"/>
        <v>0</v>
      </c>
      <c r="BO47" s="2934">
        <f t="shared" si="30"/>
        <v>0</v>
      </c>
      <c r="BP47" s="2934">
        <f t="shared" si="31"/>
        <v>0</v>
      </c>
      <c r="BQ47" s="2934">
        <f t="shared" si="32"/>
        <v>0</v>
      </c>
      <c r="BR47" s="2934">
        <f t="shared" si="33"/>
        <v>0</v>
      </c>
      <c r="BS47" s="2934">
        <f t="shared" si="34"/>
        <v>0</v>
      </c>
      <c r="BT47" s="2982">
        <f t="shared" si="35"/>
        <v>0</v>
      </c>
    </row>
    <row r="48" spans="1:72">
      <c r="A48" s="874"/>
      <c r="B48" s="882"/>
      <c r="C48" s="882"/>
      <c r="D48" s="2933"/>
      <c r="E48" s="2934">
        <f t="shared" si="7"/>
        <v>0</v>
      </c>
      <c r="F48" s="2935"/>
      <c r="G48" s="2936">
        <f t="shared" si="8"/>
        <v>0</v>
      </c>
      <c r="H48" s="2937">
        <f t="shared" si="9"/>
        <v>0</v>
      </c>
      <c r="I48" s="2944"/>
      <c r="J48" s="2944"/>
      <c r="K48" s="2944"/>
      <c r="L48" s="2944"/>
      <c r="M48" s="2944"/>
      <c r="N48" s="2944"/>
      <c r="O48" s="2944"/>
      <c r="P48" s="2944"/>
      <c r="Q48" s="2944"/>
      <c r="R48" s="2944"/>
      <c r="S48" s="2944"/>
      <c r="T48" s="2944"/>
      <c r="U48" s="2944"/>
      <c r="V48" s="2944"/>
      <c r="W48" s="2944"/>
      <c r="X48" s="2944"/>
      <c r="Y48" s="2944"/>
      <c r="Z48" s="2944"/>
      <c r="AA48" s="2944"/>
      <c r="AB48" s="2944"/>
      <c r="AC48" s="2934">
        <f t="shared" si="10"/>
        <v>0</v>
      </c>
      <c r="AD48" s="2954"/>
      <c r="AE48" s="2954"/>
      <c r="AF48" s="2954"/>
      <c r="AG48" s="2954"/>
      <c r="AH48" s="2954"/>
      <c r="AI48" s="2954"/>
      <c r="AJ48" s="2954"/>
      <c r="AK48" s="2954"/>
      <c r="AL48" s="2954"/>
      <c r="AM48" s="2954"/>
      <c r="AN48" s="2954"/>
      <c r="AO48" s="2954"/>
      <c r="AP48" s="2954"/>
      <c r="AQ48" s="2954"/>
      <c r="AR48" s="2954"/>
      <c r="AS48" s="2954"/>
      <c r="AT48" s="2935"/>
      <c r="AU48" s="2964"/>
      <c r="AV48" s="857">
        <f t="shared" si="11"/>
        <v>0</v>
      </c>
      <c r="AW48" s="857">
        <f t="shared" si="12"/>
        <v>0</v>
      </c>
      <c r="AX48" s="857">
        <f t="shared" si="13"/>
        <v>0</v>
      </c>
      <c r="AY48" s="807">
        <f t="shared" si="14"/>
        <v>0</v>
      </c>
      <c r="AZ48" s="2934">
        <f t="shared" si="15"/>
        <v>0</v>
      </c>
      <c r="BA48" s="2934">
        <f t="shared" si="16"/>
        <v>0</v>
      </c>
      <c r="BB48" s="2934">
        <f t="shared" si="17"/>
        <v>0</v>
      </c>
      <c r="BC48" s="2934">
        <f t="shared" si="18"/>
        <v>0</v>
      </c>
      <c r="BD48" s="2934">
        <f t="shared" si="19"/>
        <v>0</v>
      </c>
      <c r="BE48" s="2934">
        <f t="shared" si="20"/>
        <v>0</v>
      </c>
      <c r="BF48" s="2934">
        <f t="shared" si="21"/>
        <v>0</v>
      </c>
      <c r="BG48" s="2934">
        <f t="shared" si="22"/>
        <v>0</v>
      </c>
      <c r="BH48" s="2934">
        <f t="shared" si="23"/>
        <v>0</v>
      </c>
      <c r="BI48" s="2934">
        <f t="shared" si="24"/>
        <v>0</v>
      </c>
      <c r="BJ48" s="2934">
        <f t="shared" si="25"/>
        <v>0</v>
      </c>
      <c r="BK48" s="2934">
        <f t="shared" si="26"/>
        <v>0</v>
      </c>
      <c r="BL48" s="2934">
        <f t="shared" si="27"/>
        <v>0</v>
      </c>
      <c r="BM48" s="2934">
        <f t="shared" si="28"/>
        <v>0</v>
      </c>
      <c r="BN48" s="2934">
        <f t="shared" si="29"/>
        <v>0</v>
      </c>
      <c r="BO48" s="2934">
        <f t="shared" si="30"/>
        <v>0</v>
      </c>
      <c r="BP48" s="2934">
        <f t="shared" si="31"/>
        <v>0</v>
      </c>
      <c r="BQ48" s="2934">
        <f t="shared" si="32"/>
        <v>0</v>
      </c>
      <c r="BR48" s="2934">
        <f t="shared" si="33"/>
        <v>0</v>
      </c>
      <c r="BS48" s="2934">
        <f t="shared" si="34"/>
        <v>0</v>
      </c>
      <c r="BT48" s="2982">
        <f t="shared" si="35"/>
        <v>0</v>
      </c>
    </row>
    <row r="49" spans="1:72">
      <c r="A49" s="874"/>
      <c r="B49" s="882"/>
      <c r="C49" s="882"/>
      <c r="D49" s="2933"/>
      <c r="E49" s="2934">
        <f t="shared" si="7"/>
        <v>0</v>
      </c>
      <c r="F49" s="2935"/>
      <c r="G49" s="2936">
        <f t="shared" si="8"/>
        <v>0</v>
      </c>
      <c r="H49" s="2937">
        <f t="shared" si="9"/>
        <v>0</v>
      </c>
      <c r="I49" s="2944"/>
      <c r="J49" s="2944"/>
      <c r="K49" s="2944"/>
      <c r="L49" s="2944"/>
      <c r="M49" s="2944"/>
      <c r="N49" s="2944"/>
      <c r="O49" s="2944"/>
      <c r="P49" s="2944"/>
      <c r="Q49" s="2944"/>
      <c r="R49" s="2944"/>
      <c r="S49" s="2944"/>
      <c r="T49" s="2944"/>
      <c r="U49" s="2944"/>
      <c r="V49" s="2944"/>
      <c r="W49" s="2944"/>
      <c r="X49" s="2944"/>
      <c r="Y49" s="2944"/>
      <c r="Z49" s="2944"/>
      <c r="AA49" s="2944"/>
      <c r="AB49" s="2944"/>
      <c r="AC49" s="2934">
        <f t="shared" si="10"/>
        <v>0</v>
      </c>
      <c r="AD49" s="2954"/>
      <c r="AE49" s="2954"/>
      <c r="AF49" s="2954"/>
      <c r="AG49" s="2954"/>
      <c r="AH49" s="2954"/>
      <c r="AI49" s="2954"/>
      <c r="AJ49" s="2954"/>
      <c r="AK49" s="2954"/>
      <c r="AL49" s="2954"/>
      <c r="AM49" s="2954"/>
      <c r="AN49" s="2954"/>
      <c r="AO49" s="2954"/>
      <c r="AP49" s="2954"/>
      <c r="AQ49" s="2954"/>
      <c r="AR49" s="2954"/>
      <c r="AS49" s="2954"/>
      <c r="AT49" s="2935"/>
      <c r="AU49" s="2964"/>
      <c r="AV49" s="857">
        <f t="shared" si="11"/>
        <v>0</v>
      </c>
      <c r="AW49" s="857">
        <f t="shared" si="12"/>
        <v>0</v>
      </c>
      <c r="AX49" s="857">
        <f t="shared" si="13"/>
        <v>0</v>
      </c>
      <c r="AY49" s="807">
        <f t="shared" si="14"/>
        <v>0</v>
      </c>
      <c r="AZ49" s="2934">
        <f t="shared" si="15"/>
        <v>0</v>
      </c>
      <c r="BA49" s="2934">
        <f t="shared" si="16"/>
        <v>0</v>
      </c>
      <c r="BB49" s="2934">
        <f t="shared" si="17"/>
        <v>0</v>
      </c>
      <c r="BC49" s="2934">
        <f t="shared" si="18"/>
        <v>0</v>
      </c>
      <c r="BD49" s="2934">
        <f t="shared" si="19"/>
        <v>0</v>
      </c>
      <c r="BE49" s="2934">
        <f t="shared" si="20"/>
        <v>0</v>
      </c>
      <c r="BF49" s="2934">
        <f t="shared" si="21"/>
        <v>0</v>
      </c>
      <c r="BG49" s="2934">
        <f t="shared" si="22"/>
        <v>0</v>
      </c>
      <c r="BH49" s="2934">
        <f t="shared" si="23"/>
        <v>0</v>
      </c>
      <c r="BI49" s="2934">
        <f t="shared" si="24"/>
        <v>0</v>
      </c>
      <c r="BJ49" s="2934">
        <f t="shared" si="25"/>
        <v>0</v>
      </c>
      <c r="BK49" s="2934">
        <f t="shared" si="26"/>
        <v>0</v>
      </c>
      <c r="BL49" s="2934">
        <f t="shared" si="27"/>
        <v>0</v>
      </c>
      <c r="BM49" s="2934">
        <f t="shared" si="28"/>
        <v>0</v>
      </c>
      <c r="BN49" s="2934">
        <f t="shared" si="29"/>
        <v>0</v>
      </c>
      <c r="BO49" s="2934">
        <f t="shared" si="30"/>
        <v>0</v>
      </c>
      <c r="BP49" s="2934">
        <f t="shared" si="31"/>
        <v>0</v>
      </c>
      <c r="BQ49" s="2934">
        <f t="shared" si="32"/>
        <v>0</v>
      </c>
      <c r="BR49" s="2934">
        <f t="shared" si="33"/>
        <v>0</v>
      </c>
      <c r="BS49" s="2934">
        <f t="shared" si="34"/>
        <v>0</v>
      </c>
      <c r="BT49" s="2982">
        <f t="shared" si="35"/>
        <v>0</v>
      </c>
    </row>
    <row r="50" spans="1:72">
      <c r="A50" s="874"/>
      <c r="B50" s="882"/>
      <c r="C50" s="882"/>
      <c r="D50" s="2933"/>
      <c r="E50" s="2934">
        <f t="shared" si="7"/>
        <v>0</v>
      </c>
      <c r="F50" s="2935"/>
      <c r="G50" s="2936">
        <f t="shared" si="8"/>
        <v>0</v>
      </c>
      <c r="H50" s="2937">
        <f t="shared" si="9"/>
        <v>0</v>
      </c>
      <c r="I50" s="2944"/>
      <c r="J50" s="2944"/>
      <c r="K50" s="2944"/>
      <c r="L50" s="2944"/>
      <c r="M50" s="2944"/>
      <c r="N50" s="2944"/>
      <c r="O50" s="2944"/>
      <c r="P50" s="2944"/>
      <c r="Q50" s="2944"/>
      <c r="R50" s="2944"/>
      <c r="S50" s="2944"/>
      <c r="T50" s="2944"/>
      <c r="U50" s="2944"/>
      <c r="V50" s="2944"/>
      <c r="W50" s="2944"/>
      <c r="X50" s="2944"/>
      <c r="Y50" s="2944"/>
      <c r="Z50" s="2944"/>
      <c r="AA50" s="2944"/>
      <c r="AB50" s="2944"/>
      <c r="AC50" s="2934">
        <f t="shared" si="10"/>
        <v>0</v>
      </c>
      <c r="AD50" s="2954"/>
      <c r="AE50" s="2954"/>
      <c r="AF50" s="2954"/>
      <c r="AG50" s="2954"/>
      <c r="AH50" s="2954"/>
      <c r="AI50" s="2954"/>
      <c r="AJ50" s="2954"/>
      <c r="AK50" s="2954"/>
      <c r="AL50" s="2954"/>
      <c r="AM50" s="2954"/>
      <c r="AN50" s="2954"/>
      <c r="AO50" s="2954"/>
      <c r="AP50" s="2954"/>
      <c r="AQ50" s="2954"/>
      <c r="AR50" s="2954"/>
      <c r="AS50" s="2954"/>
      <c r="AT50" s="2935"/>
      <c r="AU50" s="2964"/>
      <c r="AV50" s="857">
        <f t="shared" si="11"/>
        <v>0</v>
      </c>
      <c r="AW50" s="857">
        <f t="shared" si="12"/>
        <v>0</v>
      </c>
      <c r="AX50" s="857">
        <f t="shared" si="13"/>
        <v>0</v>
      </c>
      <c r="AY50" s="807">
        <f t="shared" si="14"/>
        <v>0</v>
      </c>
      <c r="AZ50" s="2934">
        <f t="shared" si="15"/>
        <v>0</v>
      </c>
      <c r="BA50" s="2934">
        <f t="shared" si="16"/>
        <v>0</v>
      </c>
      <c r="BB50" s="2934">
        <f t="shared" si="17"/>
        <v>0</v>
      </c>
      <c r="BC50" s="2934">
        <f t="shared" si="18"/>
        <v>0</v>
      </c>
      <c r="BD50" s="2934">
        <f t="shared" si="19"/>
        <v>0</v>
      </c>
      <c r="BE50" s="2934">
        <f t="shared" si="20"/>
        <v>0</v>
      </c>
      <c r="BF50" s="2934">
        <f t="shared" si="21"/>
        <v>0</v>
      </c>
      <c r="BG50" s="2934">
        <f t="shared" si="22"/>
        <v>0</v>
      </c>
      <c r="BH50" s="2934">
        <f t="shared" si="23"/>
        <v>0</v>
      </c>
      <c r="BI50" s="2934">
        <f t="shared" si="24"/>
        <v>0</v>
      </c>
      <c r="BJ50" s="2934">
        <f t="shared" si="25"/>
        <v>0</v>
      </c>
      <c r="BK50" s="2934">
        <f t="shared" si="26"/>
        <v>0</v>
      </c>
      <c r="BL50" s="2934">
        <f t="shared" si="27"/>
        <v>0</v>
      </c>
      <c r="BM50" s="2934">
        <f t="shared" si="28"/>
        <v>0</v>
      </c>
      <c r="BN50" s="2934">
        <f t="shared" si="29"/>
        <v>0</v>
      </c>
      <c r="BO50" s="2934">
        <f t="shared" si="30"/>
        <v>0</v>
      </c>
      <c r="BP50" s="2934">
        <f t="shared" si="31"/>
        <v>0</v>
      </c>
      <c r="BQ50" s="2934">
        <f t="shared" si="32"/>
        <v>0</v>
      </c>
      <c r="BR50" s="2934">
        <f t="shared" si="33"/>
        <v>0</v>
      </c>
      <c r="BS50" s="2934">
        <f t="shared" si="34"/>
        <v>0</v>
      </c>
      <c r="BT50" s="2982">
        <f t="shared" si="35"/>
        <v>0</v>
      </c>
    </row>
    <row r="51" spans="1:72">
      <c r="A51" s="874"/>
      <c r="B51" s="882"/>
      <c r="C51" s="882"/>
      <c r="D51" s="2933"/>
      <c r="E51" s="2934">
        <f t="shared" si="7"/>
        <v>0</v>
      </c>
      <c r="F51" s="2935"/>
      <c r="G51" s="2936">
        <f t="shared" si="8"/>
        <v>0</v>
      </c>
      <c r="H51" s="2937">
        <f t="shared" si="9"/>
        <v>0</v>
      </c>
      <c r="I51" s="2944"/>
      <c r="J51" s="2944"/>
      <c r="K51" s="2944"/>
      <c r="L51" s="2944"/>
      <c r="M51" s="2944"/>
      <c r="N51" s="2944"/>
      <c r="O51" s="2944"/>
      <c r="P51" s="2944"/>
      <c r="Q51" s="2944"/>
      <c r="R51" s="2944"/>
      <c r="S51" s="2944"/>
      <c r="T51" s="2944"/>
      <c r="U51" s="2944"/>
      <c r="V51" s="2944"/>
      <c r="W51" s="2944"/>
      <c r="X51" s="2944"/>
      <c r="Y51" s="2944"/>
      <c r="Z51" s="2944"/>
      <c r="AA51" s="2944"/>
      <c r="AB51" s="2944"/>
      <c r="AC51" s="2934">
        <f t="shared" si="10"/>
        <v>0</v>
      </c>
      <c r="AD51" s="2954"/>
      <c r="AE51" s="2954"/>
      <c r="AF51" s="2954"/>
      <c r="AG51" s="2954"/>
      <c r="AH51" s="2954"/>
      <c r="AI51" s="2954"/>
      <c r="AJ51" s="2954"/>
      <c r="AK51" s="2954"/>
      <c r="AL51" s="2954"/>
      <c r="AM51" s="2954"/>
      <c r="AN51" s="2954"/>
      <c r="AO51" s="2954"/>
      <c r="AP51" s="2954"/>
      <c r="AQ51" s="2954"/>
      <c r="AR51" s="2954"/>
      <c r="AS51" s="2954"/>
      <c r="AT51" s="2935"/>
      <c r="AU51" s="2964"/>
      <c r="AV51" s="857">
        <f t="shared" si="11"/>
        <v>0</v>
      </c>
      <c r="AW51" s="857">
        <f t="shared" si="12"/>
        <v>0</v>
      </c>
      <c r="AX51" s="857">
        <f t="shared" si="13"/>
        <v>0</v>
      </c>
      <c r="AY51" s="807">
        <f t="shared" si="14"/>
        <v>0</v>
      </c>
      <c r="AZ51" s="2934">
        <f t="shared" si="15"/>
        <v>0</v>
      </c>
      <c r="BA51" s="2934">
        <f t="shared" si="16"/>
        <v>0</v>
      </c>
      <c r="BB51" s="2934">
        <f t="shared" si="17"/>
        <v>0</v>
      </c>
      <c r="BC51" s="2934">
        <f t="shared" si="18"/>
        <v>0</v>
      </c>
      <c r="BD51" s="2934">
        <f t="shared" si="19"/>
        <v>0</v>
      </c>
      <c r="BE51" s="2934">
        <f t="shared" si="20"/>
        <v>0</v>
      </c>
      <c r="BF51" s="2934">
        <f t="shared" si="21"/>
        <v>0</v>
      </c>
      <c r="BG51" s="2934">
        <f t="shared" si="22"/>
        <v>0</v>
      </c>
      <c r="BH51" s="2934">
        <f t="shared" si="23"/>
        <v>0</v>
      </c>
      <c r="BI51" s="2934">
        <f t="shared" si="24"/>
        <v>0</v>
      </c>
      <c r="BJ51" s="2934">
        <f t="shared" si="25"/>
        <v>0</v>
      </c>
      <c r="BK51" s="2934">
        <f t="shared" si="26"/>
        <v>0</v>
      </c>
      <c r="BL51" s="2934">
        <f t="shared" si="27"/>
        <v>0</v>
      </c>
      <c r="BM51" s="2934">
        <f t="shared" si="28"/>
        <v>0</v>
      </c>
      <c r="BN51" s="2934">
        <f t="shared" si="29"/>
        <v>0</v>
      </c>
      <c r="BO51" s="2934">
        <f t="shared" si="30"/>
        <v>0</v>
      </c>
      <c r="BP51" s="2934">
        <f t="shared" si="31"/>
        <v>0</v>
      </c>
      <c r="BQ51" s="2934">
        <f t="shared" si="32"/>
        <v>0</v>
      </c>
      <c r="BR51" s="2934">
        <f t="shared" si="33"/>
        <v>0</v>
      </c>
      <c r="BS51" s="2934">
        <f t="shared" si="34"/>
        <v>0</v>
      </c>
      <c r="BT51" s="2982">
        <f t="shared" si="35"/>
        <v>0</v>
      </c>
    </row>
    <row r="52" spans="1:72">
      <c r="A52" s="874"/>
      <c r="B52" s="882"/>
      <c r="C52" s="882"/>
      <c r="D52" s="2933"/>
      <c r="E52" s="2934">
        <f t="shared" si="7"/>
        <v>0</v>
      </c>
      <c r="F52" s="2935"/>
      <c r="G52" s="2936">
        <f t="shared" si="8"/>
        <v>0</v>
      </c>
      <c r="H52" s="2937">
        <f t="shared" si="9"/>
        <v>0</v>
      </c>
      <c r="I52" s="2944"/>
      <c r="J52" s="2944"/>
      <c r="K52" s="2944"/>
      <c r="L52" s="2944"/>
      <c r="M52" s="2944"/>
      <c r="N52" s="2944"/>
      <c r="O52" s="2944"/>
      <c r="P52" s="2944"/>
      <c r="Q52" s="2944"/>
      <c r="R52" s="2944"/>
      <c r="S52" s="2944"/>
      <c r="T52" s="2944"/>
      <c r="U52" s="2944"/>
      <c r="V52" s="2944"/>
      <c r="W52" s="2944"/>
      <c r="X52" s="2944"/>
      <c r="Y52" s="2944"/>
      <c r="Z52" s="2944"/>
      <c r="AA52" s="2944"/>
      <c r="AB52" s="2944"/>
      <c r="AC52" s="2934">
        <f t="shared" si="10"/>
        <v>0</v>
      </c>
      <c r="AD52" s="2954"/>
      <c r="AE52" s="2954"/>
      <c r="AF52" s="2954"/>
      <c r="AG52" s="2954"/>
      <c r="AH52" s="2954"/>
      <c r="AI52" s="2954"/>
      <c r="AJ52" s="2954"/>
      <c r="AK52" s="2954"/>
      <c r="AL52" s="2954"/>
      <c r="AM52" s="2954"/>
      <c r="AN52" s="2954"/>
      <c r="AO52" s="2954"/>
      <c r="AP52" s="2954"/>
      <c r="AQ52" s="2954"/>
      <c r="AR52" s="2954"/>
      <c r="AS52" s="2954"/>
      <c r="AT52" s="2935"/>
      <c r="AU52" s="2964"/>
      <c r="AV52" s="857">
        <f t="shared" si="11"/>
        <v>0</v>
      </c>
      <c r="AW52" s="857">
        <f t="shared" si="12"/>
        <v>0</v>
      </c>
      <c r="AX52" s="857">
        <f t="shared" si="13"/>
        <v>0</v>
      </c>
      <c r="AY52" s="807">
        <f t="shared" si="14"/>
        <v>0</v>
      </c>
      <c r="AZ52" s="2934">
        <f t="shared" si="15"/>
        <v>0</v>
      </c>
      <c r="BA52" s="2934">
        <f t="shared" si="16"/>
        <v>0</v>
      </c>
      <c r="BB52" s="2934">
        <f t="shared" si="17"/>
        <v>0</v>
      </c>
      <c r="BC52" s="2934">
        <f t="shared" si="18"/>
        <v>0</v>
      </c>
      <c r="BD52" s="2934">
        <f t="shared" si="19"/>
        <v>0</v>
      </c>
      <c r="BE52" s="2934">
        <f t="shared" si="20"/>
        <v>0</v>
      </c>
      <c r="BF52" s="2934">
        <f t="shared" si="21"/>
        <v>0</v>
      </c>
      <c r="BG52" s="2934">
        <f t="shared" si="22"/>
        <v>0</v>
      </c>
      <c r="BH52" s="2934">
        <f t="shared" si="23"/>
        <v>0</v>
      </c>
      <c r="BI52" s="2934">
        <f t="shared" si="24"/>
        <v>0</v>
      </c>
      <c r="BJ52" s="2934">
        <f t="shared" si="25"/>
        <v>0</v>
      </c>
      <c r="BK52" s="2934">
        <f t="shared" si="26"/>
        <v>0</v>
      </c>
      <c r="BL52" s="2934">
        <f t="shared" si="27"/>
        <v>0</v>
      </c>
      <c r="BM52" s="2934">
        <f t="shared" si="28"/>
        <v>0</v>
      </c>
      <c r="BN52" s="2934">
        <f t="shared" si="29"/>
        <v>0</v>
      </c>
      <c r="BO52" s="2934">
        <f t="shared" si="30"/>
        <v>0</v>
      </c>
      <c r="BP52" s="2934">
        <f t="shared" si="31"/>
        <v>0</v>
      </c>
      <c r="BQ52" s="2934">
        <f t="shared" si="32"/>
        <v>0</v>
      </c>
      <c r="BR52" s="2934">
        <f t="shared" si="33"/>
        <v>0</v>
      </c>
      <c r="BS52" s="2934">
        <f t="shared" si="34"/>
        <v>0</v>
      </c>
      <c r="BT52" s="2982">
        <f t="shared" si="35"/>
        <v>0</v>
      </c>
    </row>
    <row r="53" spans="1:72">
      <c r="A53" s="874"/>
      <c r="B53" s="882"/>
      <c r="C53" s="882"/>
      <c r="D53" s="2933"/>
      <c r="E53" s="2934">
        <f t="shared" si="7"/>
        <v>0</v>
      </c>
      <c r="F53" s="2935"/>
      <c r="G53" s="2936">
        <f t="shared" si="8"/>
        <v>0</v>
      </c>
      <c r="H53" s="2937">
        <f t="shared" si="9"/>
        <v>0</v>
      </c>
      <c r="I53" s="2944"/>
      <c r="J53" s="2944"/>
      <c r="K53" s="2944"/>
      <c r="L53" s="2944"/>
      <c r="M53" s="2944"/>
      <c r="N53" s="2944"/>
      <c r="O53" s="2944"/>
      <c r="P53" s="2944"/>
      <c r="Q53" s="2944"/>
      <c r="R53" s="2944"/>
      <c r="S53" s="2944"/>
      <c r="T53" s="2944"/>
      <c r="U53" s="2944"/>
      <c r="V53" s="2944"/>
      <c r="W53" s="2944"/>
      <c r="X53" s="2944"/>
      <c r="Y53" s="2944"/>
      <c r="Z53" s="2944"/>
      <c r="AA53" s="2944"/>
      <c r="AB53" s="2944"/>
      <c r="AC53" s="2934">
        <f t="shared" si="10"/>
        <v>0</v>
      </c>
      <c r="AD53" s="2954"/>
      <c r="AE53" s="2954"/>
      <c r="AF53" s="2954"/>
      <c r="AG53" s="2954"/>
      <c r="AH53" s="2954"/>
      <c r="AI53" s="2954"/>
      <c r="AJ53" s="2954"/>
      <c r="AK53" s="2954"/>
      <c r="AL53" s="2954"/>
      <c r="AM53" s="2954"/>
      <c r="AN53" s="2954"/>
      <c r="AO53" s="2954"/>
      <c r="AP53" s="2954"/>
      <c r="AQ53" s="2954"/>
      <c r="AR53" s="2954"/>
      <c r="AS53" s="2954"/>
      <c r="AT53" s="2935"/>
      <c r="AU53" s="2964"/>
      <c r="AV53" s="857">
        <f t="shared" si="11"/>
        <v>0</v>
      </c>
      <c r="AW53" s="857">
        <f t="shared" si="12"/>
        <v>0</v>
      </c>
      <c r="AX53" s="857">
        <f t="shared" si="13"/>
        <v>0</v>
      </c>
      <c r="AY53" s="807">
        <f t="shared" si="14"/>
        <v>0</v>
      </c>
      <c r="AZ53" s="2934">
        <f t="shared" si="15"/>
        <v>0</v>
      </c>
      <c r="BA53" s="2934">
        <f t="shared" si="16"/>
        <v>0</v>
      </c>
      <c r="BB53" s="2934">
        <f t="shared" si="17"/>
        <v>0</v>
      </c>
      <c r="BC53" s="2934">
        <f t="shared" si="18"/>
        <v>0</v>
      </c>
      <c r="BD53" s="2934">
        <f t="shared" si="19"/>
        <v>0</v>
      </c>
      <c r="BE53" s="2934">
        <f t="shared" si="20"/>
        <v>0</v>
      </c>
      <c r="BF53" s="2934">
        <f t="shared" si="21"/>
        <v>0</v>
      </c>
      <c r="BG53" s="2934">
        <f t="shared" si="22"/>
        <v>0</v>
      </c>
      <c r="BH53" s="2934">
        <f t="shared" si="23"/>
        <v>0</v>
      </c>
      <c r="BI53" s="2934">
        <f t="shared" si="24"/>
        <v>0</v>
      </c>
      <c r="BJ53" s="2934">
        <f t="shared" si="25"/>
        <v>0</v>
      </c>
      <c r="BK53" s="2934">
        <f t="shared" si="26"/>
        <v>0</v>
      </c>
      <c r="BL53" s="2934">
        <f t="shared" si="27"/>
        <v>0</v>
      </c>
      <c r="BM53" s="2934">
        <f t="shared" si="28"/>
        <v>0</v>
      </c>
      <c r="BN53" s="2934">
        <f t="shared" si="29"/>
        <v>0</v>
      </c>
      <c r="BO53" s="2934">
        <f t="shared" si="30"/>
        <v>0</v>
      </c>
      <c r="BP53" s="2934">
        <f t="shared" si="31"/>
        <v>0</v>
      </c>
      <c r="BQ53" s="2934">
        <f t="shared" si="32"/>
        <v>0</v>
      </c>
      <c r="BR53" s="2934">
        <f t="shared" si="33"/>
        <v>0</v>
      </c>
      <c r="BS53" s="2934">
        <f t="shared" si="34"/>
        <v>0</v>
      </c>
      <c r="BT53" s="2982">
        <f t="shared" si="35"/>
        <v>0</v>
      </c>
    </row>
    <row r="54" spans="1:72">
      <c r="A54" s="874"/>
      <c r="B54" s="882"/>
      <c r="C54" s="882"/>
      <c r="D54" s="2933"/>
      <c r="E54" s="2934">
        <f t="shared" si="7"/>
        <v>0</v>
      </c>
      <c r="F54" s="2935"/>
      <c r="G54" s="2936">
        <f t="shared" si="8"/>
        <v>0</v>
      </c>
      <c r="H54" s="2937">
        <f t="shared" si="9"/>
        <v>0</v>
      </c>
      <c r="I54" s="2944"/>
      <c r="J54" s="2944"/>
      <c r="K54" s="2944"/>
      <c r="L54" s="2944"/>
      <c r="M54" s="2944"/>
      <c r="N54" s="2944"/>
      <c r="O54" s="2944"/>
      <c r="P54" s="2944"/>
      <c r="Q54" s="2944"/>
      <c r="R54" s="2944"/>
      <c r="S54" s="2944"/>
      <c r="T54" s="2944"/>
      <c r="U54" s="2944"/>
      <c r="V54" s="2944"/>
      <c r="W54" s="2944"/>
      <c r="X54" s="2944"/>
      <c r="Y54" s="2944"/>
      <c r="Z54" s="2944"/>
      <c r="AA54" s="2944"/>
      <c r="AB54" s="2944"/>
      <c r="AC54" s="2934">
        <f t="shared" si="10"/>
        <v>0</v>
      </c>
      <c r="AD54" s="2954"/>
      <c r="AE54" s="2954"/>
      <c r="AF54" s="2954"/>
      <c r="AG54" s="2954"/>
      <c r="AH54" s="2954"/>
      <c r="AI54" s="2954"/>
      <c r="AJ54" s="2954"/>
      <c r="AK54" s="2954"/>
      <c r="AL54" s="2954"/>
      <c r="AM54" s="2954"/>
      <c r="AN54" s="2954"/>
      <c r="AO54" s="2954"/>
      <c r="AP54" s="2954"/>
      <c r="AQ54" s="2954"/>
      <c r="AR54" s="2954"/>
      <c r="AS54" s="2954"/>
      <c r="AT54" s="2935"/>
      <c r="AU54" s="2964"/>
      <c r="AV54" s="857">
        <f t="shared" si="11"/>
        <v>0</v>
      </c>
      <c r="AW54" s="857">
        <f t="shared" si="12"/>
        <v>0</v>
      </c>
      <c r="AX54" s="857">
        <f t="shared" si="13"/>
        <v>0</v>
      </c>
      <c r="AY54" s="807">
        <f t="shared" si="14"/>
        <v>0</v>
      </c>
      <c r="AZ54" s="2934">
        <f t="shared" si="15"/>
        <v>0</v>
      </c>
      <c r="BA54" s="2934">
        <f t="shared" si="16"/>
        <v>0</v>
      </c>
      <c r="BB54" s="2934">
        <f t="shared" si="17"/>
        <v>0</v>
      </c>
      <c r="BC54" s="2934">
        <f t="shared" si="18"/>
        <v>0</v>
      </c>
      <c r="BD54" s="2934">
        <f t="shared" si="19"/>
        <v>0</v>
      </c>
      <c r="BE54" s="2934">
        <f t="shared" si="20"/>
        <v>0</v>
      </c>
      <c r="BF54" s="2934">
        <f t="shared" si="21"/>
        <v>0</v>
      </c>
      <c r="BG54" s="2934">
        <f t="shared" si="22"/>
        <v>0</v>
      </c>
      <c r="BH54" s="2934">
        <f t="shared" si="23"/>
        <v>0</v>
      </c>
      <c r="BI54" s="2934">
        <f t="shared" si="24"/>
        <v>0</v>
      </c>
      <c r="BJ54" s="2934">
        <f t="shared" si="25"/>
        <v>0</v>
      </c>
      <c r="BK54" s="2934">
        <f t="shared" si="26"/>
        <v>0</v>
      </c>
      <c r="BL54" s="2934">
        <f t="shared" si="27"/>
        <v>0</v>
      </c>
      <c r="BM54" s="2934">
        <f t="shared" si="28"/>
        <v>0</v>
      </c>
      <c r="BN54" s="2934">
        <f t="shared" si="29"/>
        <v>0</v>
      </c>
      <c r="BO54" s="2934">
        <f t="shared" si="30"/>
        <v>0</v>
      </c>
      <c r="BP54" s="2934">
        <f t="shared" si="31"/>
        <v>0</v>
      </c>
      <c r="BQ54" s="2934">
        <f t="shared" si="32"/>
        <v>0</v>
      </c>
      <c r="BR54" s="2934">
        <f t="shared" si="33"/>
        <v>0</v>
      </c>
      <c r="BS54" s="2934">
        <f t="shared" si="34"/>
        <v>0</v>
      </c>
      <c r="BT54" s="2982">
        <f t="shared" si="35"/>
        <v>0</v>
      </c>
    </row>
    <row r="55" spans="1:72">
      <c r="A55" s="874"/>
      <c r="B55" s="882"/>
      <c r="C55" s="882"/>
      <c r="D55" s="2933"/>
      <c r="E55" s="2934">
        <f t="shared" si="7"/>
        <v>0</v>
      </c>
      <c r="F55" s="2935"/>
      <c r="G55" s="2936">
        <f t="shared" si="8"/>
        <v>0</v>
      </c>
      <c r="H55" s="2937">
        <f t="shared" si="9"/>
        <v>0</v>
      </c>
      <c r="I55" s="2944"/>
      <c r="J55" s="2944"/>
      <c r="K55" s="2944"/>
      <c r="L55" s="2944"/>
      <c r="M55" s="2944"/>
      <c r="N55" s="2944"/>
      <c r="O55" s="2944"/>
      <c r="P55" s="2944"/>
      <c r="Q55" s="2944"/>
      <c r="R55" s="2944"/>
      <c r="S55" s="2944"/>
      <c r="T55" s="2944"/>
      <c r="U55" s="2944"/>
      <c r="V55" s="2944"/>
      <c r="W55" s="2944"/>
      <c r="X55" s="2944"/>
      <c r="Y55" s="2944"/>
      <c r="Z55" s="2944"/>
      <c r="AA55" s="2944"/>
      <c r="AB55" s="2944"/>
      <c r="AC55" s="2934">
        <f t="shared" si="10"/>
        <v>0</v>
      </c>
      <c r="AD55" s="2954"/>
      <c r="AE55" s="2954"/>
      <c r="AF55" s="2954"/>
      <c r="AG55" s="2954"/>
      <c r="AH55" s="2954"/>
      <c r="AI55" s="2954"/>
      <c r="AJ55" s="2954"/>
      <c r="AK55" s="2954"/>
      <c r="AL55" s="2954"/>
      <c r="AM55" s="2954"/>
      <c r="AN55" s="2954"/>
      <c r="AO55" s="2954"/>
      <c r="AP55" s="2954"/>
      <c r="AQ55" s="2954"/>
      <c r="AR55" s="2954"/>
      <c r="AS55" s="2954"/>
      <c r="AT55" s="2935"/>
      <c r="AU55" s="2964"/>
      <c r="AV55" s="857">
        <f t="shared" si="11"/>
        <v>0</v>
      </c>
      <c r="AW55" s="857">
        <f t="shared" si="12"/>
        <v>0</v>
      </c>
      <c r="AX55" s="857">
        <f t="shared" si="13"/>
        <v>0</v>
      </c>
      <c r="AY55" s="807">
        <f t="shared" si="14"/>
        <v>0</v>
      </c>
      <c r="AZ55" s="2934">
        <f t="shared" si="15"/>
        <v>0</v>
      </c>
      <c r="BA55" s="2934">
        <f t="shared" si="16"/>
        <v>0</v>
      </c>
      <c r="BB55" s="2934">
        <f t="shared" si="17"/>
        <v>0</v>
      </c>
      <c r="BC55" s="2934">
        <f t="shared" si="18"/>
        <v>0</v>
      </c>
      <c r="BD55" s="2934">
        <f t="shared" si="19"/>
        <v>0</v>
      </c>
      <c r="BE55" s="2934">
        <f t="shared" si="20"/>
        <v>0</v>
      </c>
      <c r="BF55" s="2934">
        <f t="shared" si="21"/>
        <v>0</v>
      </c>
      <c r="BG55" s="2934">
        <f t="shared" si="22"/>
        <v>0</v>
      </c>
      <c r="BH55" s="2934">
        <f t="shared" si="23"/>
        <v>0</v>
      </c>
      <c r="BI55" s="2934">
        <f t="shared" si="24"/>
        <v>0</v>
      </c>
      <c r="BJ55" s="2934">
        <f t="shared" si="25"/>
        <v>0</v>
      </c>
      <c r="BK55" s="2934">
        <f t="shared" si="26"/>
        <v>0</v>
      </c>
      <c r="BL55" s="2934">
        <f t="shared" si="27"/>
        <v>0</v>
      </c>
      <c r="BM55" s="2934">
        <f t="shared" si="28"/>
        <v>0</v>
      </c>
      <c r="BN55" s="2934">
        <f t="shared" si="29"/>
        <v>0</v>
      </c>
      <c r="BO55" s="2934">
        <f t="shared" si="30"/>
        <v>0</v>
      </c>
      <c r="BP55" s="2934">
        <f t="shared" si="31"/>
        <v>0</v>
      </c>
      <c r="BQ55" s="2934">
        <f t="shared" si="32"/>
        <v>0</v>
      </c>
      <c r="BR55" s="2934">
        <f t="shared" si="33"/>
        <v>0</v>
      </c>
      <c r="BS55" s="2934">
        <f t="shared" si="34"/>
        <v>0</v>
      </c>
      <c r="BT55" s="2982">
        <f t="shared" si="35"/>
        <v>0</v>
      </c>
    </row>
    <row r="56" spans="1:72">
      <c r="A56" s="874"/>
      <c r="B56" s="882"/>
      <c r="C56" s="882"/>
      <c r="D56" s="2933"/>
      <c r="E56" s="2934">
        <f t="shared" si="7"/>
        <v>0</v>
      </c>
      <c r="F56" s="2935"/>
      <c r="G56" s="2936">
        <f t="shared" si="8"/>
        <v>0</v>
      </c>
      <c r="H56" s="2937">
        <f t="shared" si="9"/>
        <v>0</v>
      </c>
      <c r="I56" s="2944"/>
      <c r="J56" s="2944"/>
      <c r="K56" s="2944"/>
      <c r="L56" s="2944"/>
      <c r="M56" s="2944"/>
      <c r="N56" s="2944"/>
      <c r="O56" s="2944"/>
      <c r="P56" s="2944"/>
      <c r="Q56" s="2944"/>
      <c r="R56" s="2944"/>
      <c r="S56" s="2944"/>
      <c r="T56" s="2944"/>
      <c r="U56" s="2944"/>
      <c r="V56" s="2944"/>
      <c r="W56" s="2944"/>
      <c r="X56" s="2944"/>
      <c r="Y56" s="2944"/>
      <c r="Z56" s="2944"/>
      <c r="AA56" s="2944"/>
      <c r="AB56" s="2944"/>
      <c r="AC56" s="2934">
        <f t="shared" si="10"/>
        <v>0</v>
      </c>
      <c r="AD56" s="2954"/>
      <c r="AE56" s="2954"/>
      <c r="AF56" s="2954"/>
      <c r="AG56" s="2954"/>
      <c r="AH56" s="2954"/>
      <c r="AI56" s="2954"/>
      <c r="AJ56" s="2954"/>
      <c r="AK56" s="2954"/>
      <c r="AL56" s="2954"/>
      <c r="AM56" s="2954"/>
      <c r="AN56" s="2954"/>
      <c r="AO56" s="2954"/>
      <c r="AP56" s="2954"/>
      <c r="AQ56" s="2954"/>
      <c r="AR56" s="2954"/>
      <c r="AS56" s="2954"/>
      <c r="AT56" s="2935"/>
      <c r="AU56" s="2964"/>
      <c r="AV56" s="857">
        <f t="shared" si="11"/>
        <v>0</v>
      </c>
      <c r="AW56" s="857">
        <f t="shared" si="12"/>
        <v>0</v>
      </c>
      <c r="AX56" s="857">
        <f t="shared" si="13"/>
        <v>0</v>
      </c>
      <c r="AY56" s="807">
        <f t="shared" si="14"/>
        <v>0</v>
      </c>
      <c r="AZ56" s="2934">
        <f t="shared" si="15"/>
        <v>0</v>
      </c>
      <c r="BA56" s="2934">
        <f t="shared" si="16"/>
        <v>0</v>
      </c>
      <c r="BB56" s="2934">
        <f t="shared" si="17"/>
        <v>0</v>
      </c>
      <c r="BC56" s="2934">
        <f t="shared" si="18"/>
        <v>0</v>
      </c>
      <c r="BD56" s="2934">
        <f t="shared" si="19"/>
        <v>0</v>
      </c>
      <c r="BE56" s="2934">
        <f t="shared" si="20"/>
        <v>0</v>
      </c>
      <c r="BF56" s="2934">
        <f t="shared" si="21"/>
        <v>0</v>
      </c>
      <c r="BG56" s="2934">
        <f t="shared" si="22"/>
        <v>0</v>
      </c>
      <c r="BH56" s="2934">
        <f t="shared" si="23"/>
        <v>0</v>
      </c>
      <c r="BI56" s="2934">
        <f t="shared" si="24"/>
        <v>0</v>
      </c>
      <c r="BJ56" s="2934">
        <f t="shared" si="25"/>
        <v>0</v>
      </c>
      <c r="BK56" s="2934">
        <f t="shared" si="26"/>
        <v>0</v>
      </c>
      <c r="BL56" s="2934">
        <f t="shared" si="27"/>
        <v>0</v>
      </c>
      <c r="BM56" s="2934">
        <f t="shared" si="28"/>
        <v>0</v>
      </c>
      <c r="BN56" s="2934">
        <f t="shared" si="29"/>
        <v>0</v>
      </c>
      <c r="BO56" s="2934">
        <f t="shared" si="30"/>
        <v>0</v>
      </c>
      <c r="BP56" s="2934">
        <f t="shared" si="31"/>
        <v>0</v>
      </c>
      <c r="BQ56" s="2934">
        <f t="shared" si="32"/>
        <v>0</v>
      </c>
      <c r="BR56" s="2934">
        <f t="shared" si="33"/>
        <v>0</v>
      </c>
      <c r="BS56" s="2934">
        <f t="shared" si="34"/>
        <v>0</v>
      </c>
      <c r="BT56" s="2982">
        <f t="shared" si="35"/>
        <v>0</v>
      </c>
    </row>
    <row r="57" spans="1:72">
      <c r="A57" s="874"/>
      <c r="B57" s="882"/>
      <c r="C57" s="882"/>
      <c r="D57" s="2933"/>
      <c r="E57" s="2934">
        <f t="shared" si="7"/>
        <v>0</v>
      </c>
      <c r="F57" s="2935"/>
      <c r="G57" s="2936">
        <f t="shared" si="8"/>
        <v>0</v>
      </c>
      <c r="H57" s="2937">
        <f t="shared" si="9"/>
        <v>0</v>
      </c>
      <c r="I57" s="2944"/>
      <c r="J57" s="2944"/>
      <c r="K57" s="2944"/>
      <c r="L57" s="2944"/>
      <c r="M57" s="2944"/>
      <c r="N57" s="2944"/>
      <c r="O57" s="2944"/>
      <c r="P57" s="2944"/>
      <c r="Q57" s="2944"/>
      <c r="R57" s="2944"/>
      <c r="S57" s="2944"/>
      <c r="T57" s="2944"/>
      <c r="U57" s="2944"/>
      <c r="V57" s="2944"/>
      <c r="W57" s="2944"/>
      <c r="X57" s="2944"/>
      <c r="Y57" s="2944"/>
      <c r="Z57" s="2944"/>
      <c r="AA57" s="2944"/>
      <c r="AB57" s="2944"/>
      <c r="AC57" s="2934">
        <f t="shared" si="10"/>
        <v>0</v>
      </c>
      <c r="AD57" s="2954"/>
      <c r="AE57" s="2954"/>
      <c r="AF57" s="2954"/>
      <c r="AG57" s="2954"/>
      <c r="AH57" s="2954"/>
      <c r="AI57" s="2954"/>
      <c r="AJ57" s="2954"/>
      <c r="AK57" s="2954"/>
      <c r="AL57" s="2954"/>
      <c r="AM57" s="2954"/>
      <c r="AN57" s="2954"/>
      <c r="AO57" s="2954"/>
      <c r="AP57" s="2954"/>
      <c r="AQ57" s="2954"/>
      <c r="AR57" s="2954"/>
      <c r="AS57" s="2954"/>
      <c r="AT57" s="2935"/>
      <c r="AU57" s="2964"/>
      <c r="AV57" s="857">
        <f t="shared" si="11"/>
        <v>0</v>
      </c>
      <c r="AW57" s="857">
        <f t="shared" si="12"/>
        <v>0</v>
      </c>
      <c r="AX57" s="857">
        <f t="shared" si="13"/>
        <v>0</v>
      </c>
      <c r="AY57" s="807">
        <f t="shared" si="14"/>
        <v>0</v>
      </c>
      <c r="AZ57" s="2934">
        <f t="shared" si="15"/>
        <v>0</v>
      </c>
      <c r="BA57" s="2934">
        <f t="shared" si="16"/>
        <v>0</v>
      </c>
      <c r="BB57" s="2934">
        <f t="shared" si="17"/>
        <v>0</v>
      </c>
      <c r="BC57" s="2934">
        <f t="shared" si="18"/>
        <v>0</v>
      </c>
      <c r="BD57" s="2934">
        <f t="shared" si="19"/>
        <v>0</v>
      </c>
      <c r="BE57" s="2934">
        <f t="shared" si="20"/>
        <v>0</v>
      </c>
      <c r="BF57" s="2934">
        <f t="shared" si="21"/>
        <v>0</v>
      </c>
      <c r="BG57" s="2934">
        <f t="shared" si="22"/>
        <v>0</v>
      </c>
      <c r="BH57" s="2934">
        <f t="shared" si="23"/>
        <v>0</v>
      </c>
      <c r="BI57" s="2934">
        <f t="shared" si="24"/>
        <v>0</v>
      </c>
      <c r="BJ57" s="2934">
        <f t="shared" si="25"/>
        <v>0</v>
      </c>
      <c r="BK57" s="2934">
        <f t="shared" si="26"/>
        <v>0</v>
      </c>
      <c r="BL57" s="2934">
        <f t="shared" si="27"/>
        <v>0</v>
      </c>
      <c r="BM57" s="2934">
        <f t="shared" si="28"/>
        <v>0</v>
      </c>
      <c r="BN57" s="2934">
        <f t="shared" si="29"/>
        <v>0</v>
      </c>
      <c r="BO57" s="2934">
        <f t="shared" si="30"/>
        <v>0</v>
      </c>
      <c r="BP57" s="2934">
        <f t="shared" si="31"/>
        <v>0</v>
      </c>
      <c r="BQ57" s="2934">
        <f t="shared" si="32"/>
        <v>0</v>
      </c>
      <c r="BR57" s="2934">
        <f t="shared" si="33"/>
        <v>0</v>
      </c>
      <c r="BS57" s="2934">
        <f t="shared" si="34"/>
        <v>0</v>
      </c>
      <c r="BT57" s="2982">
        <f t="shared" si="35"/>
        <v>0</v>
      </c>
    </row>
    <row r="58" spans="1:72">
      <c r="A58" s="874"/>
      <c r="B58" s="882"/>
      <c r="C58" s="882"/>
      <c r="D58" s="2933"/>
      <c r="E58" s="2934">
        <f t="shared" si="7"/>
        <v>0</v>
      </c>
      <c r="F58" s="2935"/>
      <c r="G58" s="2936">
        <f t="shared" si="8"/>
        <v>0</v>
      </c>
      <c r="H58" s="2937">
        <f t="shared" si="9"/>
        <v>0</v>
      </c>
      <c r="I58" s="2944"/>
      <c r="J58" s="2944"/>
      <c r="K58" s="2944"/>
      <c r="L58" s="2944"/>
      <c r="M58" s="2944"/>
      <c r="N58" s="2944"/>
      <c r="O58" s="2944"/>
      <c r="P58" s="2944"/>
      <c r="Q58" s="2944"/>
      <c r="R58" s="2944"/>
      <c r="S58" s="2944"/>
      <c r="T58" s="2944"/>
      <c r="U58" s="2944"/>
      <c r="V58" s="2944"/>
      <c r="W58" s="2944"/>
      <c r="X58" s="2944"/>
      <c r="Y58" s="2944"/>
      <c r="Z58" s="2944"/>
      <c r="AA58" s="2944"/>
      <c r="AB58" s="2944"/>
      <c r="AC58" s="2934">
        <f t="shared" si="10"/>
        <v>0</v>
      </c>
      <c r="AD58" s="2954"/>
      <c r="AE58" s="2954"/>
      <c r="AF58" s="2954"/>
      <c r="AG58" s="2954"/>
      <c r="AH58" s="2954"/>
      <c r="AI58" s="2954"/>
      <c r="AJ58" s="2954"/>
      <c r="AK58" s="2954"/>
      <c r="AL58" s="2954"/>
      <c r="AM58" s="2954"/>
      <c r="AN58" s="2954"/>
      <c r="AO58" s="2954"/>
      <c r="AP58" s="2954"/>
      <c r="AQ58" s="2954"/>
      <c r="AR58" s="2954"/>
      <c r="AS58" s="2954"/>
      <c r="AT58" s="2935"/>
      <c r="AU58" s="2964"/>
      <c r="AV58" s="857">
        <f t="shared" si="11"/>
        <v>0</v>
      </c>
      <c r="AW58" s="857">
        <f t="shared" si="12"/>
        <v>0</v>
      </c>
      <c r="AX58" s="857">
        <f t="shared" si="13"/>
        <v>0</v>
      </c>
      <c r="AY58" s="807">
        <f t="shared" si="14"/>
        <v>0</v>
      </c>
      <c r="AZ58" s="2934">
        <f t="shared" si="15"/>
        <v>0</v>
      </c>
      <c r="BA58" s="2934">
        <f t="shared" si="16"/>
        <v>0</v>
      </c>
      <c r="BB58" s="2934">
        <f t="shared" si="17"/>
        <v>0</v>
      </c>
      <c r="BC58" s="2934">
        <f t="shared" si="18"/>
        <v>0</v>
      </c>
      <c r="BD58" s="2934">
        <f t="shared" si="19"/>
        <v>0</v>
      </c>
      <c r="BE58" s="2934">
        <f t="shared" si="20"/>
        <v>0</v>
      </c>
      <c r="BF58" s="2934">
        <f t="shared" si="21"/>
        <v>0</v>
      </c>
      <c r="BG58" s="2934">
        <f t="shared" si="22"/>
        <v>0</v>
      </c>
      <c r="BH58" s="2934">
        <f t="shared" si="23"/>
        <v>0</v>
      </c>
      <c r="BI58" s="2934">
        <f t="shared" si="24"/>
        <v>0</v>
      </c>
      <c r="BJ58" s="2934">
        <f t="shared" si="25"/>
        <v>0</v>
      </c>
      <c r="BK58" s="2934">
        <f t="shared" si="26"/>
        <v>0</v>
      </c>
      <c r="BL58" s="2934">
        <f t="shared" si="27"/>
        <v>0</v>
      </c>
      <c r="BM58" s="2934">
        <f t="shared" si="28"/>
        <v>0</v>
      </c>
      <c r="BN58" s="2934">
        <f t="shared" si="29"/>
        <v>0</v>
      </c>
      <c r="BO58" s="2934">
        <f t="shared" si="30"/>
        <v>0</v>
      </c>
      <c r="BP58" s="2934">
        <f t="shared" si="31"/>
        <v>0</v>
      </c>
      <c r="BQ58" s="2934">
        <f t="shared" si="32"/>
        <v>0</v>
      </c>
      <c r="BR58" s="2934">
        <f t="shared" si="33"/>
        <v>0</v>
      </c>
      <c r="BS58" s="2934">
        <f t="shared" si="34"/>
        <v>0</v>
      </c>
      <c r="BT58" s="2982">
        <f t="shared" si="35"/>
        <v>0</v>
      </c>
    </row>
    <row r="59" spans="1:72">
      <c r="A59" s="874"/>
      <c r="B59" s="882"/>
      <c r="C59" s="882"/>
      <c r="D59" s="2933"/>
      <c r="E59" s="2934">
        <f t="shared" si="7"/>
        <v>0</v>
      </c>
      <c r="F59" s="2935"/>
      <c r="G59" s="2936">
        <f t="shared" si="8"/>
        <v>0</v>
      </c>
      <c r="H59" s="2937">
        <f t="shared" si="9"/>
        <v>0</v>
      </c>
      <c r="I59" s="2944"/>
      <c r="J59" s="2944"/>
      <c r="K59" s="2944"/>
      <c r="L59" s="2944"/>
      <c r="M59" s="2944"/>
      <c r="N59" s="2944"/>
      <c r="O59" s="2944"/>
      <c r="P59" s="2944"/>
      <c r="Q59" s="2944"/>
      <c r="R59" s="2944"/>
      <c r="S59" s="2944"/>
      <c r="T59" s="2944"/>
      <c r="U59" s="2944"/>
      <c r="V59" s="2944"/>
      <c r="W59" s="2944"/>
      <c r="X59" s="2944"/>
      <c r="Y59" s="2944"/>
      <c r="Z59" s="2944"/>
      <c r="AA59" s="2944"/>
      <c r="AB59" s="2944"/>
      <c r="AC59" s="2934">
        <f t="shared" si="10"/>
        <v>0</v>
      </c>
      <c r="AD59" s="2954"/>
      <c r="AE59" s="2954"/>
      <c r="AF59" s="2954"/>
      <c r="AG59" s="2954"/>
      <c r="AH59" s="2954"/>
      <c r="AI59" s="2954"/>
      <c r="AJ59" s="2954"/>
      <c r="AK59" s="2954"/>
      <c r="AL59" s="2954"/>
      <c r="AM59" s="2954"/>
      <c r="AN59" s="2954"/>
      <c r="AO59" s="2954"/>
      <c r="AP59" s="2954"/>
      <c r="AQ59" s="2954"/>
      <c r="AR59" s="2954"/>
      <c r="AS59" s="2954"/>
      <c r="AT59" s="2935"/>
      <c r="AU59" s="2964"/>
      <c r="AV59" s="857">
        <f t="shared" si="11"/>
        <v>0</v>
      </c>
      <c r="AW59" s="857">
        <f t="shared" si="12"/>
        <v>0</v>
      </c>
      <c r="AX59" s="857">
        <f t="shared" si="13"/>
        <v>0</v>
      </c>
      <c r="AY59" s="807">
        <f t="shared" si="14"/>
        <v>0</v>
      </c>
      <c r="AZ59" s="2934">
        <f t="shared" si="15"/>
        <v>0</v>
      </c>
      <c r="BA59" s="2934">
        <f t="shared" si="16"/>
        <v>0</v>
      </c>
      <c r="BB59" s="2934">
        <f t="shared" si="17"/>
        <v>0</v>
      </c>
      <c r="BC59" s="2934">
        <f t="shared" si="18"/>
        <v>0</v>
      </c>
      <c r="BD59" s="2934">
        <f t="shared" si="19"/>
        <v>0</v>
      </c>
      <c r="BE59" s="2934">
        <f t="shared" si="20"/>
        <v>0</v>
      </c>
      <c r="BF59" s="2934">
        <f t="shared" si="21"/>
        <v>0</v>
      </c>
      <c r="BG59" s="2934">
        <f t="shared" si="22"/>
        <v>0</v>
      </c>
      <c r="BH59" s="2934">
        <f t="shared" si="23"/>
        <v>0</v>
      </c>
      <c r="BI59" s="2934">
        <f t="shared" si="24"/>
        <v>0</v>
      </c>
      <c r="BJ59" s="2934">
        <f t="shared" si="25"/>
        <v>0</v>
      </c>
      <c r="BK59" s="2934">
        <f t="shared" si="26"/>
        <v>0</v>
      </c>
      <c r="BL59" s="2934">
        <f t="shared" si="27"/>
        <v>0</v>
      </c>
      <c r="BM59" s="2934">
        <f t="shared" si="28"/>
        <v>0</v>
      </c>
      <c r="BN59" s="2934">
        <f t="shared" si="29"/>
        <v>0</v>
      </c>
      <c r="BO59" s="2934">
        <f t="shared" si="30"/>
        <v>0</v>
      </c>
      <c r="BP59" s="2934">
        <f t="shared" si="31"/>
        <v>0</v>
      </c>
      <c r="BQ59" s="2934">
        <f t="shared" si="32"/>
        <v>0</v>
      </c>
      <c r="BR59" s="2934">
        <f t="shared" si="33"/>
        <v>0</v>
      </c>
      <c r="BS59" s="2934">
        <f t="shared" si="34"/>
        <v>0</v>
      </c>
      <c r="BT59" s="2982">
        <f t="shared" si="35"/>
        <v>0</v>
      </c>
    </row>
    <row r="60" spans="1:72">
      <c r="A60" s="874"/>
      <c r="B60" s="882"/>
      <c r="C60" s="882"/>
      <c r="D60" s="2933"/>
      <c r="E60" s="2934">
        <f t="shared" si="7"/>
        <v>0</v>
      </c>
      <c r="F60" s="2935"/>
      <c r="G60" s="2936">
        <f t="shared" si="8"/>
        <v>0</v>
      </c>
      <c r="H60" s="2937">
        <f t="shared" si="9"/>
        <v>0</v>
      </c>
      <c r="I60" s="2944"/>
      <c r="J60" s="2944"/>
      <c r="K60" s="2944"/>
      <c r="L60" s="2944"/>
      <c r="M60" s="2944"/>
      <c r="N60" s="2944"/>
      <c r="O60" s="2944"/>
      <c r="P60" s="2944"/>
      <c r="Q60" s="2944"/>
      <c r="R60" s="2944"/>
      <c r="S60" s="2944"/>
      <c r="T60" s="2944"/>
      <c r="U60" s="2944"/>
      <c r="V60" s="2944"/>
      <c r="W60" s="2944"/>
      <c r="X60" s="2944"/>
      <c r="Y60" s="2944"/>
      <c r="Z60" s="2944"/>
      <c r="AA60" s="2944"/>
      <c r="AB60" s="2944"/>
      <c r="AC60" s="2934">
        <f t="shared" si="10"/>
        <v>0</v>
      </c>
      <c r="AD60" s="2954"/>
      <c r="AE60" s="2954"/>
      <c r="AF60" s="2954"/>
      <c r="AG60" s="2954"/>
      <c r="AH60" s="2954"/>
      <c r="AI60" s="2954"/>
      <c r="AJ60" s="2954"/>
      <c r="AK60" s="2954"/>
      <c r="AL60" s="2954"/>
      <c r="AM60" s="2954"/>
      <c r="AN60" s="2954"/>
      <c r="AO60" s="2954"/>
      <c r="AP60" s="2954"/>
      <c r="AQ60" s="2954"/>
      <c r="AR60" s="2954"/>
      <c r="AS60" s="2954"/>
      <c r="AT60" s="2935"/>
      <c r="AU60" s="2964"/>
      <c r="AV60" s="857">
        <f t="shared" si="11"/>
        <v>0</v>
      </c>
      <c r="AW60" s="857">
        <f t="shared" si="12"/>
        <v>0</v>
      </c>
      <c r="AX60" s="857">
        <f t="shared" si="13"/>
        <v>0</v>
      </c>
      <c r="AY60" s="807">
        <f t="shared" si="14"/>
        <v>0</v>
      </c>
      <c r="AZ60" s="2934">
        <f t="shared" si="15"/>
        <v>0</v>
      </c>
      <c r="BA60" s="2934">
        <f t="shared" si="16"/>
        <v>0</v>
      </c>
      <c r="BB60" s="2934">
        <f t="shared" si="17"/>
        <v>0</v>
      </c>
      <c r="BC60" s="2934">
        <f t="shared" si="18"/>
        <v>0</v>
      </c>
      <c r="BD60" s="2934">
        <f t="shared" si="19"/>
        <v>0</v>
      </c>
      <c r="BE60" s="2934">
        <f t="shared" si="20"/>
        <v>0</v>
      </c>
      <c r="BF60" s="2934">
        <f t="shared" si="21"/>
        <v>0</v>
      </c>
      <c r="BG60" s="2934">
        <f t="shared" si="22"/>
        <v>0</v>
      </c>
      <c r="BH60" s="2934">
        <f t="shared" si="23"/>
        <v>0</v>
      </c>
      <c r="BI60" s="2934">
        <f t="shared" si="24"/>
        <v>0</v>
      </c>
      <c r="BJ60" s="2934">
        <f t="shared" si="25"/>
        <v>0</v>
      </c>
      <c r="BK60" s="2934">
        <f t="shared" si="26"/>
        <v>0</v>
      </c>
      <c r="BL60" s="2934">
        <f t="shared" si="27"/>
        <v>0</v>
      </c>
      <c r="BM60" s="2934">
        <f t="shared" si="28"/>
        <v>0</v>
      </c>
      <c r="BN60" s="2934">
        <f t="shared" si="29"/>
        <v>0</v>
      </c>
      <c r="BO60" s="2934">
        <f t="shared" si="30"/>
        <v>0</v>
      </c>
      <c r="BP60" s="2934">
        <f t="shared" si="31"/>
        <v>0</v>
      </c>
      <c r="BQ60" s="2934">
        <f t="shared" si="32"/>
        <v>0</v>
      </c>
      <c r="BR60" s="2934">
        <f t="shared" si="33"/>
        <v>0</v>
      </c>
      <c r="BS60" s="2934">
        <f t="shared" si="34"/>
        <v>0</v>
      </c>
      <c r="BT60" s="2982">
        <f t="shared" si="35"/>
        <v>0</v>
      </c>
    </row>
    <row r="61" spans="1:72">
      <c r="A61" s="874"/>
      <c r="B61" s="882"/>
      <c r="C61" s="882"/>
      <c r="D61" s="2933"/>
      <c r="E61" s="2934">
        <f t="shared" si="7"/>
        <v>0</v>
      </c>
      <c r="F61" s="2935"/>
      <c r="G61" s="2936">
        <f t="shared" si="8"/>
        <v>0</v>
      </c>
      <c r="H61" s="2937">
        <f t="shared" si="9"/>
        <v>0</v>
      </c>
      <c r="I61" s="2944"/>
      <c r="J61" s="2944"/>
      <c r="K61" s="2944"/>
      <c r="L61" s="2944"/>
      <c r="M61" s="2944"/>
      <c r="N61" s="2944"/>
      <c r="O61" s="2944"/>
      <c r="P61" s="2944"/>
      <c r="Q61" s="2944"/>
      <c r="R61" s="2944"/>
      <c r="S61" s="2944"/>
      <c r="T61" s="2944"/>
      <c r="U61" s="2944"/>
      <c r="V61" s="2944"/>
      <c r="W61" s="2944"/>
      <c r="X61" s="2944"/>
      <c r="Y61" s="2944"/>
      <c r="Z61" s="2944"/>
      <c r="AA61" s="2944"/>
      <c r="AB61" s="2944"/>
      <c r="AC61" s="2934">
        <f t="shared" si="10"/>
        <v>0</v>
      </c>
      <c r="AD61" s="2954"/>
      <c r="AE61" s="2954"/>
      <c r="AF61" s="2954"/>
      <c r="AG61" s="2954"/>
      <c r="AH61" s="2954"/>
      <c r="AI61" s="2954"/>
      <c r="AJ61" s="2954"/>
      <c r="AK61" s="2954"/>
      <c r="AL61" s="2954"/>
      <c r="AM61" s="2954"/>
      <c r="AN61" s="2954"/>
      <c r="AO61" s="2954"/>
      <c r="AP61" s="2954"/>
      <c r="AQ61" s="2954"/>
      <c r="AR61" s="2954"/>
      <c r="AS61" s="2954"/>
      <c r="AT61" s="2935"/>
      <c r="AU61" s="2964"/>
      <c r="AV61" s="857">
        <f t="shared" si="11"/>
        <v>0</v>
      </c>
      <c r="AW61" s="857">
        <f t="shared" si="12"/>
        <v>0</v>
      </c>
      <c r="AX61" s="857">
        <f t="shared" si="13"/>
        <v>0</v>
      </c>
      <c r="AY61" s="807">
        <f t="shared" si="14"/>
        <v>0</v>
      </c>
      <c r="AZ61" s="2934">
        <f t="shared" si="15"/>
        <v>0</v>
      </c>
      <c r="BA61" s="2934">
        <f t="shared" si="16"/>
        <v>0</v>
      </c>
      <c r="BB61" s="2934">
        <f t="shared" si="17"/>
        <v>0</v>
      </c>
      <c r="BC61" s="2934">
        <f t="shared" si="18"/>
        <v>0</v>
      </c>
      <c r="BD61" s="2934">
        <f t="shared" si="19"/>
        <v>0</v>
      </c>
      <c r="BE61" s="2934">
        <f t="shared" si="20"/>
        <v>0</v>
      </c>
      <c r="BF61" s="2934">
        <f t="shared" si="21"/>
        <v>0</v>
      </c>
      <c r="BG61" s="2934">
        <f t="shared" si="22"/>
        <v>0</v>
      </c>
      <c r="BH61" s="2934">
        <f t="shared" si="23"/>
        <v>0</v>
      </c>
      <c r="BI61" s="2934">
        <f t="shared" si="24"/>
        <v>0</v>
      </c>
      <c r="BJ61" s="2934">
        <f t="shared" si="25"/>
        <v>0</v>
      </c>
      <c r="BK61" s="2934">
        <f t="shared" si="26"/>
        <v>0</v>
      </c>
      <c r="BL61" s="2934">
        <f t="shared" si="27"/>
        <v>0</v>
      </c>
      <c r="BM61" s="2934">
        <f t="shared" si="28"/>
        <v>0</v>
      </c>
      <c r="BN61" s="2934">
        <f t="shared" si="29"/>
        <v>0</v>
      </c>
      <c r="BO61" s="2934">
        <f t="shared" si="30"/>
        <v>0</v>
      </c>
      <c r="BP61" s="2934">
        <f t="shared" si="31"/>
        <v>0</v>
      </c>
      <c r="BQ61" s="2934">
        <f t="shared" si="32"/>
        <v>0</v>
      </c>
      <c r="BR61" s="2934">
        <f t="shared" si="33"/>
        <v>0</v>
      </c>
      <c r="BS61" s="2934">
        <f t="shared" si="34"/>
        <v>0</v>
      </c>
      <c r="BT61" s="2982">
        <f t="shared" si="35"/>
        <v>0</v>
      </c>
    </row>
    <row r="62" spans="1:72">
      <c r="A62" s="874"/>
      <c r="B62" s="882"/>
      <c r="C62" s="882"/>
      <c r="D62" s="2933"/>
      <c r="E62" s="2934">
        <f t="shared" si="7"/>
        <v>0</v>
      </c>
      <c r="F62" s="2935"/>
      <c r="G62" s="2936">
        <f t="shared" si="8"/>
        <v>0</v>
      </c>
      <c r="H62" s="2937">
        <f t="shared" si="9"/>
        <v>0</v>
      </c>
      <c r="I62" s="2944"/>
      <c r="J62" s="2944"/>
      <c r="K62" s="2944"/>
      <c r="L62" s="2944"/>
      <c r="M62" s="2944"/>
      <c r="N62" s="2944"/>
      <c r="O62" s="2944"/>
      <c r="P62" s="2944"/>
      <c r="Q62" s="2944"/>
      <c r="R62" s="2944"/>
      <c r="S62" s="2944"/>
      <c r="T62" s="2944"/>
      <c r="U62" s="2944"/>
      <c r="V62" s="2944"/>
      <c r="W62" s="2944"/>
      <c r="X62" s="2944"/>
      <c r="Y62" s="2944"/>
      <c r="Z62" s="2944"/>
      <c r="AA62" s="2944"/>
      <c r="AB62" s="2944"/>
      <c r="AC62" s="2934">
        <f t="shared" si="10"/>
        <v>0</v>
      </c>
      <c r="AD62" s="2954"/>
      <c r="AE62" s="2954"/>
      <c r="AF62" s="2954"/>
      <c r="AG62" s="2954"/>
      <c r="AH62" s="2954"/>
      <c r="AI62" s="2954"/>
      <c r="AJ62" s="2954"/>
      <c r="AK62" s="2954"/>
      <c r="AL62" s="2954"/>
      <c r="AM62" s="2954"/>
      <c r="AN62" s="2954"/>
      <c r="AO62" s="2954"/>
      <c r="AP62" s="2954"/>
      <c r="AQ62" s="2954"/>
      <c r="AR62" s="2954"/>
      <c r="AS62" s="2954"/>
      <c r="AT62" s="2935"/>
      <c r="AU62" s="2964"/>
      <c r="AV62" s="857">
        <f t="shared" si="11"/>
        <v>0</v>
      </c>
      <c r="AW62" s="857">
        <f t="shared" si="12"/>
        <v>0</v>
      </c>
      <c r="AX62" s="857">
        <f t="shared" si="13"/>
        <v>0</v>
      </c>
      <c r="AY62" s="807">
        <f t="shared" si="14"/>
        <v>0</v>
      </c>
      <c r="AZ62" s="2934">
        <f t="shared" si="15"/>
        <v>0</v>
      </c>
      <c r="BA62" s="2934">
        <f t="shared" si="16"/>
        <v>0</v>
      </c>
      <c r="BB62" s="2934">
        <f t="shared" si="17"/>
        <v>0</v>
      </c>
      <c r="BC62" s="2934">
        <f t="shared" si="18"/>
        <v>0</v>
      </c>
      <c r="BD62" s="2934">
        <f t="shared" si="19"/>
        <v>0</v>
      </c>
      <c r="BE62" s="2934">
        <f t="shared" si="20"/>
        <v>0</v>
      </c>
      <c r="BF62" s="2934">
        <f t="shared" si="21"/>
        <v>0</v>
      </c>
      <c r="BG62" s="2934">
        <f t="shared" si="22"/>
        <v>0</v>
      </c>
      <c r="BH62" s="2934">
        <f t="shared" si="23"/>
        <v>0</v>
      </c>
      <c r="BI62" s="2934">
        <f t="shared" si="24"/>
        <v>0</v>
      </c>
      <c r="BJ62" s="2934">
        <f t="shared" si="25"/>
        <v>0</v>
      </c>
      <c r="BK62" s="2934">
        <f t="shared" si="26"/>
        <v>0</v>
      </c>
      <c r="BL62" s="2934">
        <f t="shared" si="27"/>
        <v>0</v>
      </c>
      <c r="BM62" s="2934">
        <f t="shared" si="28"/>
        <v>0</v>
      </c>
      <c r="BN62" s="2934">
        <f t="shared" si="29"/>
        <v>0</v>
      </c>
      <c r="BO62" s="2934">
        <f t="shared" si="30"/>
        <v>0</v>
      </c>
      <c r="BP62" s="2934">
        <f t="shared" si="31"/>
        <v>0</v>
      </c>
      <c r="BQ62" s="2934">
        <f t="shared" si="32"/>
        <v>0</v>
      </c>
      <c r="BR62" s="2934">
        <f t="shared" si="33"/>
        <v>0</v>
      </c>
      <c r="BS62" s="2934">
        <f t="shared" si="34"/>
        <v>0</v>
      </c>
      <c r="BT62" s="2982">
        <f t="shared" si="35"/>
        <v>0</v>
      </c>
    </row>
    <row r="63" spans="1:72">
      <c r="A63" s="874"/>
      <c r="B63" s="882"/>
      <c r="C63" s="882"/>
      <c r="D63" s="2933"/>
      <c r="E63" s="2934">
        <f t="shared" si="7"/>
        <v>0</v>
      </c>
      <c r="F63" s="2935"/>
      <c r="G63" s="2936">
        <f t="shared" si="8"/>
        <v>0</v>
      </c>
      <c r="H63" s="2937">
        <f t="shared" si="9"/>
        <v>0</v>
      </c>
      <c r="I63" s="2944"/>
      <c r="J63" s="2944"/>
      <c r="K63" s="2944"/>
      <c r="L63" s="2944"/>
      <c r="M63" s="2944"/>
      <c r="N63" s="2944"/>
      <c r="O63" s="2944"/>
      <c r="P63" s="2944"/>
      <c r="Q63" s="2944"/>
      <c r="R63" s="2944"/>
      <c r="S63" s="2944"/>
      <c r="T63" s="2944"/>
      <c r="U63" s="2944"/>
      <c r="V63" s="2944"/>
      <c r="W63" s="2944"/>
      <c r="X63" s="2944"/>
      <c r="Y63" s="2944"/>
      <c r="Z63" s="2944"/>
      <c r="AA63" s="2944"/>
      <c r="AB63" s="2944"/>
      <c r="AC63" s="2934">
        <f t="shared" si="10"/>
        <v>0</v>
      </c>
      <c r="AD63" s="2954"/>
      <c r="AE63" s="2954"/>
      <c r="AF63" s="2954"/>
      <c r="AG63" s="2954"/>
      <c r="AH63" s="2954"/>
      <c r="AI63" s="2954"/>
      <c r="AJ63" s="2954"/>
      <c r="AK63" s="2954"/>
      <c r="AL63" s="2954"/>
      <c r="AM63" s="2954"/>
      <c r="AN63" s="2954"/>
      <c r="AO63" s="2954"/>
      <c r="AP63" s="2954"/>
      <c r="AQ63" s="2954"/>
      <c r="AR63" s="2954"/>
      <c r="AS63" s="2954"/>
      <c r="AT63" s="2935"/>
      <c r="AU63" s="2964"/>
      <c r="AV63" s="857">
        <f t="shared" si="11"/>
        <v>0</v>
      </c>
      <c r="AW63" s="857">
        <f t="shared" si="12"/>
        <v>0</v>
      </c>
      <c r="AX63" s="857">
        <f t="shared" si="13"/>
        <v>0</v>
      </c>
      <c r="AY63" s="807">
        <f t="shared" si="14"/>
        <v>0</v>
      </c>
      <c r="AZ63" s="2934">
        <f t="shared" si="15"/>
        <v>0</v>
      </c>
      <c r="BA63" s="2934">
        <f t="shared" si="16"/>
        <v>0</v>
      </c>
      <c r="BB63" s="2934">
        <f t="shared" si="17"/>
        <v>0</v>
      </c>
      <c r="BC63" s="2934">
        <f t="shared" si="18"/>
        <v>0</v>
      </c>
      <c r="BD63" s="2934">
        <f t="shared" si="19"/>
        <v>0</v>
      </c>
      <c r="BE63" s="2934">
        <f t="shared" si="20"/>
        <v>0</v>
      </c>
      <c r="BF63" s="2934">
        <f t="shared" si="21"/>
        <v>0</v>
      </c>
      <c r="BG63" s="2934">
        <f t="shared" si="22"/>
        <v>0</v>
      </c>
      <c r="BH63" s="2934">
        <f t="shared" si="23"/>
        <v>0</v>
      </c>
      <c r="BI63" s="2934">
        <f t="shared" si="24"/>
        <v>0</v>
      </c>
      <c r="BJ63" s="2934">
        <f t="shared" si="25"/>
        <v>0</v>
      </c>
      <c r="BK63" s="2934">
        <f t="shared" si="26"/>
        <v>0</v>
      </c>
      <c r="BL63" s="2934">
        <f t="shared" si="27"/>
        <v>0</v>
      </c>
      <c r="BM63" s="2934">
        <f t="shared" si="28"/>
        <v>0</v>
      </c>
      <c r="BN63" s="2934">
        <f t="shared" si="29"/>
        <v>0</v>
      </c>
      <c r="BO63" s="2934">
        <f t="shared" si="30"/>
        <v>0</v>
      </c>
      <c r="BP63" s="2934">
        <f t="shared" si="31"/>
        <v>0</v>
      </c>
      <c r="BQ63" s="2934">
        <f t="shared" si="32"/>
        <v>0</v>
      </c>
      <c r="BR63" s="2934">
        <f t="shared" si="33"/>
        <v>0</v>
      </c>
      <c r="BS63" s="2934">
        <f t="shared" si="34"/>
        <v>0</v>
      </c>
      <c r="BT63" s="2982">
        <f t="shared" si="35"/>
        <v>0</v>
      </c>
    </row>
    <row r="64" spans="1:72">
      <c r="A64" s="874"/>
      <c r="B64" s="882"/>
      <c r="C64" s="882"/>
      <c r="D64" s="2933"/>
      <c r="E64" s="2934">
        <f t="shared" si="7"/>
        <v>0</v>
      </c>
      <c r="F64" s="2935"/>
      <c r="G64" s="2936">
        <f t="shared" si="8"/>
        <v>0</v>
      </c>
      <c r="H64" s="2937">
        <f t="shared" si="9"/>
        <v>0</v>
      </c>
      <c r="I64" s="2944"/>
      <c r="J64" s="2944"/>
      <c r="K64" s="2944"/>
      <c r="L64" s="2944"/>
      <c r="M64" s="2944"/>
      <c r="N64" s="2944"/>
      <c r="O64" s="2944"/>
      <c r="P64" s="2944"/>
      <c r="Q64" s="2944"/>
      <c r="R64" s="2944"/>
      <c r="S64" s="2944"/>
      <c r="T64" s="2944"/>
      <c r="U64" s="2944"/>
      <c r="V64" s="2944"/>
      <c r="W64" s="2944"/>
      <c r="X64" s="2944"/>
      <c r="Y64" s="2944"/>
      <c r="Z64" s="2944"/>
      <c r="AA64" s="2944"/>
      <c r="AB64" s="2944"/>
      <c r="AC64" s="2934">
        <f t="shared" si="10"/>
        <v>0</v>
      </c>
      <c r="AD64" s="2954"/>
      <c r="AE64" s="2954"/>
      <c r="AF64" s="2954"/>
      <c r="AG64" s="2954"/>
      <c r="AH64" s="2954"/>
      <c r="AI64" s="2954"/>
      <c r="AJ64" s="2954"/>
      <c r="AK64" s="2954"/>
      <c r="AL64" s="2954"/>
      <c r="AM64" s="2954"/>
      <c r="AN64" s="2954"/>
      <c r="AO64" s="2954"/>
      <c r="AP64" s="2954"/>
      <c r="AQ64" s="2954"/>
      <c r="AR64" s="2954"/>
      <c r="AS64" s="2954"/>
      <c r="AT64" s="2935"/>
      <c r="AU64" s="2964"/>
      <c r="AV64" s="857">
        <f t="shared" si="11"/>
        <v>0</v>
      </c>
      <c r="AW64" s="857">
        <f t="shared" si="12"/>
        <v>0</v>
      </c>
      <c r="AX64" s="857">
        <f t="shared" si="13"/>
        <v>0</v>
      </c>
      <c r="AY64" s="807">
        <f t="shared" si="14"/>
        <v>0</v>
      </c>
      <c r="AZ64" s="2934">
        <f t="shared" si="15"/>
        <v>0</v>
      </c>
      <c r="BA64" s="2934">
        <f t="shared" si="16"/>
        <v>0</v>
      </c>
      <c r="BB64" s="2934">
        <f t="shared" si="17"/>
        <v>0</v>
      </c>
      <c r="BC64" s="2934">
        <f t="shared" si="18"/>
        <v>0</v>
      </c>
      <c r="BD64" s="2934">
        <f t="shared" si="19"/>
        <v>0</v>
      </c>
      <c r="BE64" s="2934">
        <f t="shared" si="20"/>
        <v>0</v>
      </c>
      <c r="BF64" s="2934">
        <f t="shared" si="21"/>
        <v>0</v>
      </c>
      <c r="BG64" s="2934">
        <f t="shared" si="22"/>
        <v>0</v>
      </c>
      <c r="BH64" s="2934">
        <f t="shared" si="23"/>
        <v>0</v>
      </c>
      <c r="BI64" s="2934">
        <f t="shared" si="24"/>
        <v>0</v>
      </c>
      <c r="BJ64" s="2934">
        <f t="shared" si="25"/>
        <v>0</v>
      </c>
      <c r="BK64" s="2934">
        <f t="shared" si="26"/>
        <v>0</v>
      </c>
      <c r="BL64" s="2934">
        <f t="shared" si="27"/>
        <v>0</v>
      </c>
      <c r="BM64" s="2934">
        <f t="shared" si="28"/>
        <v>0</v>
      </c>
      <c r="BN64" s="2934">
        <f t="shared" si="29"/>
        <v>0</v>
      </c>
      <c r="BO64" s="2934">
        <f t="shared" si="30"/>
        <v>0</v>
      </c>
      <c r="BP64" s="2934">
        <f t="shared" si="31"/>
        <v>0</v>
      </c>
      <c r="BQ64" s="2934">
        <f t="shared" si="32"/>
        <v>0</v>
      </c>
      <c r="BR64" s="2934">
        <f t="shared" si="33"/>
        <v>0</v>
      </c>
      <c r="BS64" s="2934">
        <f t="shared" si="34"/>
        <v>0</v>
      </c>
      <c r="BT64" s="2982">
        <f t="shared" si="35"/>
        <v>0</v>
      </c>
    </row>
    <row r="65" spans="1:72">
      <c r="A65" s="874"/>
      <c r="B65" s="882"/>
      <c r="C65" s="882"/>
      <c r="D65" s="2933"/>
      <c r="E65" s="2934">
        <f t="shared" si="7"/>
        <v>0</v>
      </c>
      <c r="F65" s="2935"/>
      <c r="G65" s="2936">
        <f t="shared" si="8"/>
        <v>0</v>
      </c>
      <c r="H65" s="2937">
        <f t="shared" si="9"/>
        <v>0</v>
      </c>
      <c r="I65" s="2944"/>
      <c r="J65" s="2944"/>
      <c r="K65" s="2944"/>
      <c r="L65" s="2944"/>
      <c r="M65" s="2944"/>
      <c r="N65" s="2944"/>
      <c r="O65" s="2944"/>
      <c r="P65" s="2944"/>
      <c r="Q65" s="2944"/>
      <c r="R65" s="2944"/>
      <c r="S65" s="2944"/>
      <c r="T65" s="2944"/>
      <c r="U65" s="2944"/>
      <c r="V65" s="2944"/>
      <c r="W65" s="2944"/>
      <c r="X65" s="2944"/>
      <c r="Y65" s="2944"/>
      <c r="Z65" s="2944"/>
      <c r="AA65" s="2944"/>
      <c r="AB65" s="2944"/>
      <c r="AC65" s="2934">
        <f t="shared" si="10"/>
        <v>0</v>
      </c>
      <c r="AD65" s="2954"/>
      <c r="AE65" s="2954"/>
      <c r="AF65" s="2954"/>
      <c r="AG65" s="2954"/>
      <c r="AH65" s="2954"/>
      <c r="AI65" s="2954"/>
      <c r="AJ65" s="2954"/>
      <c r="AK65" s="2954"/>
      <c r="AL65" s="2954"/>
      <c r="AM65" s="2954"/>
      <c r="AN65" s="2954"/>
      <c r="AO65" s="2954"/>
      <c r="AP65" s="2954"/>
      <c r="AQ65" s="2954"/>
      <c r="AR65" s="2954"/>
      <c r="AS65" s="2954"/>
      <c r="AT65" s="2935"/>
      <c r="AU65" s="2964"/>
      <c r="AV65" s="857">
        <f t="shared" si="11"/>
        <v>0</v>
      </c>
      <c r="AW65" s="857">
        <f t="shared" si="12"/>
        <v>0</v>
      </c>
      <c r="AX65" s="857">
        <f t="shared" si="13"/>
        <v>0</v>
      </c>
      <c r="AY65" s="807">
        <f t="shared" si="14"/>
        <v>0</v>
      </c>
      <c r="AZ65" s="2934">
        <f t="shared" si="15"/>
        <v>0</v>
      </c>
      <c r="BA65" s="2934">
        <f t="shared" si="16"/>
        <v>0</v>
      </c>
      <c r="BB65" s="2934">
        <f t="shared" si="17"/>
        <v>0</v>
      </c>
      <c r="BC65" s="2934">
        <f t="shared" si="18"/>
        <v>0</v>
      </c>
      <c r="BD65" s="2934">
        <f t="shared" si="19"/>
        <v>0</v>
      </c>
      <c r="BE65" s="2934">
        <f t="shared" si="20"/>
        <v>0</v>
      </c>
      <c r="BF65" s="2934">
        <f t="shared" si="21"/>
        <v>0</v>
      </c>
      <c r="BG65" s="2934">
        <f t="shared" si="22"/>
        <v>0</v>
      </c>
      <c r="BH65" s="2934">
        <f t="shared" si="23"/>
        <v>0</v>
      </c>
      <c r="BI65" s="2934">
        <f t="shared" si="24"/>
        <v>0</v>
      </c>
      <c r="BJ65" s="2934">
        <f t="shared" si="25"/>
        <v>0</v>
      </c>
      <c r="BK65" s="2934">
        <f t="shared" si="26"/>
        <v>0</v>
      </c>
      <c r="BL65" s="2934">
        <f t="shared" si="27"/>
        <v>0</v>
      </c>
      <c r="BM65" s="2934">
        <f t="shared" si="28"/>
        <v>0</v>
      </c>
      <c r="BN65" s="2934">
        <f t="shared" si="29"/>
        <v>0</v>
      </c>
      <c r="BO65" s="2934">
        <f t="shared" si="30"/>
        <v>0</v>
      </c>
      <c r="BP65" s="2934">
        <f t="shared" si="31"/>
        <v>0</v>
      </c>
      <c r="BQ65" s="2934">
        <f t="shared" si="32"/>
        <v>0</v>
      </c>
      <c r="BR65" s="2934">
        <f t="shared" si="33"/>
        <v>0</v>
      </c>
      <c r="BS65" s="2934">
        <f t="shared" si="34"/>
        <v>0</v>
      </c>
      <c r="BT65" s="2982">
        <f t="shared" si="35"/>
        <v>0</v>
      </c>
    </row>
    <row r="66" spans="1:72">
      <c r="A66" s="874"/>
      <c r="B66" s="882"/>
      <c r="C66" s="882"/>
      <c r="D66" s="2933"/>
      <c r="E66" s="2934">
        <f t="shared" si="7"/>
        <v>0</v>
      </c>
      <c r="F66" s="2935"/>
      <c r="G66" s="2936">
        <f t="shared" si="8"/>
        <v>0</v>
      </c>
      <c r="H66" s="2937">
        <f t="shared" si="9"/>
        <v>0</v>
      </c>
      <c r="I66" s="2944"/>
      <c r="J66" s="2944"/>
      <c r="K66" s="2944"/>
      <c r="L66" s="2944"/>
      <c r="M66" s="2944"/>
      <c r="N66" s="2944"/>
      <c r="O66" s="2944"/>
      <c r="P66" s="2944"/>
      <c r="Q66" s="2944"/>
      <c r="R66" s="2944"/>
      <c r="S66" s="2944"/>
      <c r="T66" s="2944"/>
      <c r="U66" s="2944"/>
      <c r="V66" s="2944"/>
      <c r="W66" s="2944"/>
      <c r="X66" s="2944"/>
      <c r="Y66" s="2944"/>
      <c r="Z66" s="2944"/>
      <c r="AA66" s="2944"/>
      <c r="AB66" s="2944"/>
      <c r="AC66" s="2934">
        <f t="shared" si="10"/>
        <v>0</v>
      </c>
      <c r="AD66" s="2954"/>
      <c r="AE66" s="2954"/>
      <c r="AF66" s="2954"/>
      <c r="AG66" s="2954"/>
      <c r="AH66" s="2954"/>
      <c r="AI66" s="2954"/>
      <c r="AJ66" s="2954"/>
      <c r="AK66" s="2954"/>
      <c r="AL66" s="2954"/>
      <c r="AM66" s="2954"/>
      <c r="AN66" s="2954"/>
      <c r="AO66" s="2954"/>
      <c r="AP66" s="2954"/>
      <c r="AQ66" s="2954"/>
      <c r="AR66" s="2954"/>
      <c r="AS66" s="2954"/>
      <c r="AT66" s="2935"/>
      <c r="AU66" s="2964"/>
      <c r="AV66" s="857">
        <f t="shared" si="11"/>
        <v>0</v>
      </c>
      <c r="AW66" s="857">
        <f t="shared" si="12"/>
        <v>0</v>
      </c>
      <c r="AX66" s="857">
        <f t="shared" si="13"/>
        <v>0</v>
      </c>
      <c r="AY66" s="807">
        <f t="shared" si="14"/>
        <v>0</v>
      </c>
      <c r="AZ66" s="2934">
        <f t="shared" si="15"/>
        <v>0</v>
      </c>
      <c r="BA66" s="2934">
        <f t="shared" si="16"/>
        <v>0</v>
      </c>
      <c r="BB66" s="2934">
        <f t="shared" si="17"/>
        <v>0</v>
      </c>
      <c r="BC66" s="2934">
        <f t="shared" si="18"/>
        <v>0</v>
      </c>
      <c r="BD66" s="2934">
        <f t="shared" si="19"/>
        <v>0</v>
      </c>
      <c r="BE66" s="2934">
        <f t="shared" si="20"/>
        <v>0</v>
      </c>
      <c r="BF66" s="2934">
        <f t="shared" si="21"/>
        <v>0</v>
      </c>
      <c r="BG66" s="2934">
        <f t="shared" si="22"/>
        <v>0</v>
      </c>
      <c r="BH66" s="2934">
        <f t="shared" si="23"/>
        <v>0</v>
      </c>
      <c r="BI66" s="2934">
        <f t="shared" si="24"/>
        <v>0</v>
      </c>
      <c r="BJ66" s="2934">
        <f t="shared" si="25"/>
        <v>0</v>
      </c>
      <c r="BK66" s="2934">
        <f t="shared" si="26"/>
        <v>0</v>
      </c>
      <c r="BL66" s="2934">
        <f t="shared" si="27"/>
        <v>0</v>
      </c>
      <c r="BM66" s="2934">
        <f t="shared" si="28"/>
        <v>0</v>
      </c>
      <c r="BN66" s="2934">
        <f t="shared" si="29"/>
        <v>0</v>
      </c>
      <c r="BO66" s="2934">
        <f t="shared" si="30"/>
        <v>0</v>
      </c>
      <c r="BP66" s="2934">
        <f t="shared" si="31"/>
        <v>0</v>
      </c>
      <c r="BQ66" s="2934">
        <f t="shared" si="32"/>
        <v>0</v>
      </c>
      <c r="BR66" s="2934">
        <f t="shared" si="33"/>
        <v>0</v>
      </c>
      <c r="BS66" s="2934">
        <f t="shared" si="34"/>
        <v>0</v>
      </c>
      <c r="BT66" s="2982">
        <f t="shared" si="35"/>
        <v>0</v>
      </c>
    </row>
    <row r="67" spans="1:72">
      <c r="A67" s="874"/>
      <c r="B67" s="882"/>
      <c r="C67" s="882"/>
      <c r="D67" s="2933"/>
      <c r="E67" s="2934">
        <f t="shared" si="7"/>
        <v>0</v>
      </c>
      <c r="F67" s="2935"/>
      <c r="G67" s="2936">
        <f t="shared" si="8"/>
        <v>0</v>
      </c>
      <c r="H67" s="2937">
        <f t="shared" si="9"/>
        <v>0</v>
      </c>
      <c r="I67" s="2944"/>
      <c r="J67" s="2944"/>
      <c r="K67" s="2944"/>
      <c r="L67" s="2944"/>
      <c r="M67" s="2944"/>
      <c r="N67" s="2944"/>
      <c r="O67" s="2944"/>
      <c r="P67" s="2944"/>
      <c r="Q67" s="2944"/>
      <c r="R67" s="2944"/>
      <c r="S67" s="2944"/>
      <c r="T67" s="2944"/>
      <c r="U67" s="2944"/>
      <c r="V67" s="2944"/>
      <c r="W67" s="2944"/>
      <c r="X67" s="2944"/>
      <c r="Y67" s="2944"/>
      <c r="Z67" s="2944"/>
      <c r="AA67" s="2944"/>
      <c r="AB67" s="2944"/>
      <c r="AC67" s="2934">
        <f t="shared" si="10"/>
        <v>0</v>
      </c>
      <c r="AD67" s="2954"/>
      <c r="AE67" s="2954"/>
      <c r="AF67" s="2954"/>
      <c r="AG67" s="2954"/>
      <c r="AH67" s="2954"/>
      <c r="AI67" s="2954"/>
      <c r="AJ67" s="2954"/>
      <c r="AK67" s="2954"/>
      <c r="AL67" s="2954"/>
      <c r="AM67" s="2954"/>
      <c r="AN67" s="2954"/>
      <c r="AO67" s="2954"/>
      <c r="AP67" s="2954"/>
      <c r="AQ67" s="2954"/>
      <c r="AR67" s="2954"/>
      <c r="AS67" s="2954"/>
      <c r="AT67" s="2935"/>
      <c r="AU67" s="2964"/>
      <c r="AV67" s="857">
        <f t="shared" si="11"/>
        <v>0</v>
      </c>
      <c r="AW67" s="857">
        <f t="shared" si="12"/>
        <v>0</v>
      </c>
      <c r="AX67" s="857">
        <f t="shared" si="13"/>
        <v>0</v>
      </c>
      <c r="AY67" s="807">
        <f t="shared" si="14"/>
        <v>0</v>
      </c>
      <c r="AZ67" s="2934">
        <f t="shared" si="15"/>
        <v>0</v>
      </c>
      <c r="BA67" s="2934">
        <f t="shared" si="16"/>
        <v>0</v>
      </c>
      <c r="BB67" s="2934">
        <f t="shared" si="17"/>
        <v>0</v>
      </c>
      <c r="BC67" s="2934">
        <f t="shared" si="18"/>
        <v>0</v>
      </c>
      <c r="BD67" s="2934">
        <f t="shared" si="19"/>
        <v>0</v>
      </c>
      <c r="BE67" s="2934">
        <f t="shared" si="20"/>
        <v>0</v>
      </c>
      <c r="BF67" s="2934">
        <f t="shared" si="21"/>
        <v>0</v>
      </c>
      <c r="BG67" s="2934">
        <f t="shared" si="22"/>
        <v>0</v>
      </c>
      <c r="BH67" s="2934">
        <f t="shared" si="23"/>
        <v>0</v>
      </c>
      <c r="BI67" s="2934">
        <f t="shared" si="24"/>
        <v>0</v>
      </c>
      <c r="BJ67" s="2934">
        <f t="shared" si="25"/>
        <v>0</v>
      </c>
      <c r="BK67" s="2934">
        <f t="shared" si="26"/>
        <v>0</v>
      </c>
      <c r="BL67" s="2934">
        <f t="shared" si="27"/>
        <v>0</v>
      </c>
      <c r="BM67" s="2934">
        <f t="shared" si="28"/>
        <v>0</v>
      </c>
      <c r="BN67" s="2934">
        <f t="shared" si="29"/>
        <v>0</v>
      </c>
      <c r="BO67" s="2934">
        <f t="shared" si="30"/>
        <v>0</v>
      </c>
      <c r="BP67" s="2934">
        <f t="shared" si="31"/>
        <v>0</v>
      </c>
      <c r="BQ67" s="2934">
        <f t="shared" si="32"/>
        <v>0</v>
      </c>
      <c r="BR67" s="2934">
        <f t="shared" si="33"/>
        <v>0</v>
      </c>
      <c r="BS67" s="2934">
        <f t="shared" si="34"/>
        <v>0</v>
      </c>
      <c r="BT67" s="2982">
        <f t="shared" si="35"/>
        <v>0</v>
      </c>
    </row>
    <row r="68" spans="1:72">
      <c r="A68" s="874"/>
      <c r="B68" s="882"/>
      <c r="C68" s="882"/>
      <c r="D68" s="2933"/>
      <c r="E68" s="2934">
        <f t="shared" si="7"/>
        <v>0</v>
      </c>
      <c r="F68" s="2935"/>
      <c r="G68" s="2936">
        <f t="shared" si="8"/>
        <v>0</v>
      </c>
      <c r="H68" s="2937">
        <f t="shared" si="9"/>
        <v>0</v>
      </c>
      <c r="I68" s="2944"/>
      <c r="J68" s="2944"/>
      <c r="K68" s="2944"/>
      <c r="L68" s="2944"/>
      <c r="M68" s="2944"/>
      <c r="N68" s="2944"/>
      <c r="O68" s="2944"/>
      <c r="P68" s="2944"/>
      <c r="Q68" s="2944"/>
      <c r="R68" s="2944"/>
      <c r="S68" s="2944"/>
      <c r="T68" s="2944"/>
      <c r="U68" s="2944"/>
      <c r="V68" s="2944"/>
      <c r="W68" s="2944"/>
      <c r="X68" s="2944"/>
      <c r="Y68" s="2944"/>
      <c r="Z68" s="2944"/>
      <c r="AA68" s="2944"/>
      <c r="AB68" s="2944"/>
      <c r="AC68" s="2934">
        <f t="shared" si="10"/>
        <v>0</v>
      </c>
      <c r="AD68" s="2954"/>
      <c r="AE68" s="2954"/>
      <c r="AF68" s="2954"/>
      <c r="AG68" s="2954"/>
      <c r="AH68" s="2954"/>
      <c r="AI68" s="2954"/>
      <c r="AJ68" s="2954"/>
      <c r="AK68" s="2954"/>
      <c r="AL68" s="2954"/>
      <c r="AM68" s="2954"/>
      <c r="AN68" s="2954"/>
      <c r="AO68" s="2954"/>
      <c r="AP68" s="2954"/>
      <c r="AQ68" s="2954"/>
      <c r="AR68" s="2954"/>
      <c r="AS68" s="2954"/>
      <c r="AT68" s="2935"/>
      <c r="AU68" s="2964"/>
      <c r="AV68" s="857">
        <f t="shared" si="11"/>
        <v>0</v>
      </c>
      <c r="AW68" s="857">
        <f t="shared" si="12"/>
        <v>0</v>
      </c>
      <c r="AX68" s="857">
        <f t="shared" si="13"/>
        <v>0</v>
      </c>
      <c r="AY68" s="807">
        <f t="shared" si="14"/>
        <v>0</v>
      </c>
      <c r="AZ68" s="2934">
        <f t="shared" si="15"/>
        <v>0</v>
      </c>
      <c r="BA68" s="2934">
        <f t="shared" si="16"/>
        <v>0</v>
      </c>
      <c r="BB68" s="2934">
        <f t="shared" si="17"/>
        <v>0</v>
      </c>
      <c r="BC68" s="2934">
        <f t="shared" si="18"/>
        <v>0</v>
      </c>
      <c r="BD68" s="2934">
        <f t="shared" si="19"/>
        <v>0</v>
      </c>
      <c r="BE68" s="2934">
        <f t="shared" si="20"/>
        <v>0</v>
      </c>
      <c r="BF68" s="2934">
        <f t="shared" si="21"/>
        <v>0</v>
      </c>
      <c r="BG68" s="2934">
        <f t="shared" si="22"/>
        <v>0</v>
      </c>
      <c r="BH68" s="2934">
        <f t="shared" si="23"/>
        <v>0</v>
      </c>
      <c r="BI68" s="2934">
        <f t="shared" si="24"/>
        <v>0</v>
      </c>
      <c r="BJ68" s="2934">
        <f t="shared" si="25"/>
        <v>0</v>
      </c>
      <c r="BK68" s="2934">
        <f t="shared" si="26"/>
        <v>0</v>
      </c>
      <c r="BL68" s="2934">
        <f t="shared" si="27"/>
        <v>0</v>
      </c>
      <c r="BM68" s="2934">
        <f t="shared" si="28"/>
        <v>0</v>
      </c>
      <c r="BN68" s="2934">
        <f t="shared" si="29"/>
        <v>0</v>
      </c>
      <c r="BO68" s="2934">
        <f t="shared" si="30"/>
        <v>0</v>
      </c>
      <c r="BP68" s="2934">
        <f t="shared" si="31"/>
        <v>0</v>
      </c>
      <c r="BQ68" s="2934">
        <f t="shared" si="32"/>
        <v>0</v>
      </c>
      <c r="BR68" s="2934">
        <f t="shared" si="33"/>
        <v>0</v>
      </c>
      <c r="BS68" s="2934">
        <f t="shared" si="34"/>
        <v>0</v>
      </c>
      <c r="BT68" s="2982">
        <f t="shared" si="35"/>
        <v>0</v>
      </c>
    </row>
    <row r="69" spans="1:72">
      <c r="A69" s="874"/>
      <c r="B69" s="882"/>
      <c r="C69" s="882"/>
      <c r="D69" s="2933"/>
      <c r="E69" s="2934">
        <f t="shared" si="7"/>
        <v>0</v>
      </c>
      <c r="F69" s="2935"/>
      <c r="G69" s="2936">
        <f t="shared" si="8"/>
        <v>0</v>
      </c>
      <c r="H69" s="2937">
        <f t="shared" si="9"/>
        <v>0</v>
      </c>
      <c r="I69" s="2944"/>
      <c r="J69" s="2944"/>
      <c r="K69" s="2944"/>
      <c r="L69" s="2944"/>
      <c r="M69" s="2944"/>
      <c r="N69" s="2944"/>
      <c r="O69" s="2944"/>
      <c r="P69" s="2944"/>
      <c r="Q69" s="2944"/>
      <c r="R69" s="2944"/>
      <c r="S69" s="2944"/>
      <c r="T69" s="2944"/>
      <c r="U69" s="2944"/>
      <c r="V69" s="2944"/>
      <c r="W69" s="2944"/>
      <c r="X69" s="2944"/>
      <c r="Y69" s="2944"/>
      <c r="Z69" s="2944"/>
      <c r="AA69" s="2944"/>
      <c r="AB69" s="2944"/>
      <c r="AC69" s="2934">
        <f t="shared" si="10"/>
        <v>0</v>
      </c>
      <c r="AD69" s="2954"/>
      <c r="AE69" s="2954"/>
      <c r="AF69" s="2954"/>
      <c r="AG69" s="2954"/>
      <c r="AH69" s="2954"/>
      <c r="AI69" s="2954"/>
      <c r="AJ69" s="2954"/>
      <c r="AK69" s="2954"/>
      <c r="AL69" s="2954"/>
      <c r="AM69" s="2954"/>
      <c r="AN69" s="2954"/>
      <c r="AO69" s="2954"/>
      <c r="AP69" s="2954"/>
      <c r="AQ69" s="2954"/>
      <c r="AR69" s="2954"/>
      <c r="AS69" s="2954"/>
      <c r="AT69" s="2935"/>
      <c r="AU69" s="2964"/>
      <c r="AV69" s="857">
        <f t="shared" si="11"/>
        <v>0</v>
      </c>
      <c r="AW69" s="857">
        <f t="shared" si="12"/>
        <v>0</v>
      </c>
      <c r="AX69" s="857">
        <f t="shared" si="13"/>
        <v>0</v>
      </c>
      <c r="AY69" s="807">
        <f t="shared" si="14"/>
        <v>0</v>
      </c>
      <c r="AZ69" s="2934">
        <f t="shared" si="15"/>
        <v>0</v>
      </c>
      <c r="BA69" s="2934">
        <f t="shared" si="16"/>
        <v>0</v>
      </c>
      <c r="BB69" s="2934">
        <f t="shared" si="17"/>
        <v>0</v>
      </c>
      <c r="BC69" s="2934">
        <f t="shared" si="18"/>
        <v>0</v>
      </c>
      <c r="BD69" s="2934">
        <f t="shared" si="19"/>
        <v>0</v>
      </c>
      <c r="BE69" s="2934">
        <f t="shared" si="20"/>
        <v>0</v>
      </c>
      <c r="BF69" s="2934">
        <f t="shared" si="21"/>
        <v>0</v>
      </c>
      <c r="BG69" s="2934">
        <f t="shared" si="22"/>
        <v>0</v>
      </c>
      <c r="BH69" s="2934">
        <f t="shared" si="23"/>
        <v>0</v>
      </c>
      <c r="BI69" s="2934">
        <f t="shared" si="24"/>
        <v>0</v>
      </c>
      <c r="BJ69" s="2934">
        <f t="shared" si="25"/>
        <v>0</v>
      </c>
      <c r="BK69" s="2934">
        <f t="shared" si="26"/>
        <v>0</v>
      </c>
      <c r="BL69" s="2934">
        <f t="shared" si="27"/>
        <v>0</v>
      </c>
      <c r="BM69" s="2934">
        <f t="shared" si="28"/>
        <v>0</v>
      </c>
      <c r="BN69" s="2934">
        <f t="shared" si="29"/>
        <v>0</v>
      </c>
      <c r="BO69" s="2934">
        <f t="shared" si="30"/>
        <v>0</v>
      </c>
      <c r="BP69" s="2934">
        <f t="shared" si="31"/>
        <v>0</v>
      </c>
      <c r="BQ69" s="2934">
        <f t="shared" si="32"/>
        <v>0</v>
      </c>
      <c r="BR69" s="2934">
        <f t="shared" si="33"/>
        <v>0</v>
      </c>
      <c r="BS69" s="2934">
        <f t="shared" si="34"/>
        <v>0</v>
      </c>
      <c r="BT69" s="2982">
        <f t="shared" si="35"/>
        <v>0</v>
      </c>
    </row>
    <row r="70" spans="1:72">
      <c r="A70" s="874"/>
      <c r="B70" s="882"/>
      <c r="C70" s="882"/>
      <c r="D70" s="2933"/>
      <c r="E70" s="2934">
        <f t="shared" si="7"/>
        <v>0</v>
      </c>
      <c r="F70" s="2935"/>
      <c r="G70" s="2936">
        <f t="shared" si="8"/>
        <v>0</v>
      </c>
      <c r="H70" s="2937">
        <f t="shared" si="9"/>
        <v>0</v>
      </c>
      <c r="I70" s="2944"/>
      <c r="J70" s="2944"/>
      <c r="K70" s="2944"/>
      <c r="L70" s="2944"/>
      <c r="M70" s="2944"/>
      <c r="N70" s="2944"/>
      <c r="O70" s="2944"/>
      <c r="P70" s="2944"/>
      <c r="Q70" s="2944"/>
      <c r="R70" s="2944"/>
      <c r="S70" s="2944"/>
      <c r="T70" s="2944"/>
      <c r="U70" s="2944"/>
      <c r="V70" s="2944"/>
      <c r="W70" s="2944"/>
      <c r="X70" s="2944"/>
      <c r="Y70" s="2944"/>
      <c r="Z70" s="2944"/>
      <c r="AA70" s="2944"/>
      <c r="AB70" s="2944"/>
      <c r="AC70" s="2934">
        <f t="shared" si="10"/>
        <v>0</v>
      </c>
      <c r="AD70" s="2954"/>
      <c r="AE70" s="2954"/>
      <c r="AF70" s="2954"/>
      <c r="AG70" s="2954"/>
      <c r="AH70" s="2954"/>
      <c r="AI70" s="2954"/>
      <c r="AJ70" s="2954"/>
      <c r="AK70" s="2954"/>
      <c r="AL70" s="2954"/>
      <c r="AM70" s="2954"/>
      <c r="AN70" s="2954"/>
      <c r="AO70" s="2954"/>
      <c r="AP70" s="2954"/>
      <c r="AQ70" s="2954"/>
      <c r="AR70" s="2954"/>
      <c r="AS70" s="2954"/>
      <c r="AT70" s="2935"/>
      <c r="AU70" s="2964"/>
      <c r="AV70" s="857">
        <f t="shared" si="11"/>
        <v>0</v>
      </c>
      <c r="AW70" s="857">
        <f t="shared" si="12"/>
        <v>0</v>
      </c>
      <c r="AX70" s="857">
        <f t="shared" si="13"/>
        <v>0</v>
      </c>
      <c r="AY70" s="807">
        <f t="shared" si="14"/>
        <v>0</v>
      </c>
      <c r="AZ70" s="2934">
        <f t="shared" si="15"/>
        <v>0</v>
      </c>
      <c r="BA70" s="2934">
        <f t="shared" si="16"/>
        <v>0</v>
      </c>
      <c r="BB70" s="2934">
        <f t="shared" si="17"/>
        <v>0</v>
      </c>
      <c r="BC70" s="2934">
        <f t="shared" si="18"/>
        <v>0</v>
      </c>
      <c r="BD70" s="2934">
        <f t="shared" si="19"/>
        <v>0</v>
      </c>
      <c r="BE70" s="2934">
        <f t="shared" si="20"/>
        <v>0</v>
      </c>
      <c r="BF70" s="2934">
        <f t="shared" si="21"/>
        <v>0</v>
      </c>
      <c r="BG70" s="2934">
        <f t="shared" si="22"/>
        <v>0</v>
      </c>
      <c r="BH70" s="2934">
        <f t="shared" si="23"/>
        <v>0</v>
      </c>
      <c r="BI70" s="2934">
        <f t="shared" si="24"/>
        <v>0</v>
      </c>
      <c r="BJ70" s="2934">
        <f t="shared" si="25"/>
        <v>0</v>
      </c>
      <c r="BK70" s="2934">
        <f t="shared" si="26"/>
        <v>0</v>
      </c>
      <c r="BL70" s="2934">
        <f t="shared" si="27"/>
        <v>0</v>
      </c>
      <c r="BM70" s="2934">
        <f t="shared" si="28"/>
        <v>0</v>
      </c>
      <c r="BN70" s="2934">
        <f t="shared" si="29"/>
        <v>0</v>
      </c>
      <c r="BO70" s="2934">
        <f t="shared" si="30"/>
        <v>0</v>
      </c>
      <c r="BP70" s="2934">
        <f t="shared" si="31"/>
        <v>0</v>
      </c>
      <c r="BQ70" s="2934">
        <f t="shared" si="32"/>
        <v>0</v>
      </c>
      <c r="BR70" s="2934">
        <f t="shared" si="33"/>
        <v>0</v>
      </c>
      <c r="BS70" s="2934">
        <f t="shared" si="34"/>
        <v>0</v>
      </c>
      <c r="BT70" s="2982">
        <f t="shared" si="35"/>
        <v>0</v>
      </c>
    </row>
    <row r="71" spans="1:72">
      <c r="A71" s="874"/>
      <c r="B71" s="882"/>
      <c r="C71" s="882"/>
      <c r="D71" s="2933"/>
      <c r="E71" s="2934">
        <f t="shared" si="7"/>
        <v>0</v>
      </c>
      <c r="F71" s="2935"/>
      <c r="G71" s="2936">
        <f t="shared" si="8"/>
        <v>0</v>
      </c>
      <c r="H71" s="2937">
        <f t="shared" si="9"/>
        <v>0</v>
      </c>
      <c r="I71" s="2944"/>
      <c r="J71" s="2944"/>
      <c r="K71" s="2944"/>
      <c r="L71" s="2944"/>
      <c r="M71" s="2944"/>
      <c r="N71" s="2944"/>
      <c r="O71" s="2944"/>
      <c r="P71" s="2944"/>
      <c r="Q71" s="2944"/>
      <c r="R71" s="2944"/>
      <c r="S71" s="2944"/>
      <c r="T71" s="2944"/>
      <c r="U71" s="2944"/>
      <c r="V71" s="2944"/>
      <c r="W71" s="2944"/>
      <c r="X71" s="2944"/>
      <c r="Y71" s="2944"/>
      <c r="Z71" s="2944"/>
      <c r="AA71" s="2944"/>
      <c r="AB71" s="2944"/>
      <c r="AC71" s="2934">
        <f t="shared" si="10"/>
        <v>0</v>
      </c>
      <c r="AD71" s="2954"/>
      <c r="AE71" s="2954"/>
      <c r="AF71" s="2954"/>
      <c r="AG71" s="2954"/>
      <c r="AH71" s="2954"/>
      <c r="AI71" s="2954"/>
      <c r="AJ71" s="2954"/>
      <c r="AK71" s="2954"/>
      <c r="AL71" s="2954"/>
      <c r="AM71" s="2954"/>
      <c r="AN71" s="2954"/>
      <c r="AO71" s="2954"/>
      <c r="AP71" s="2954"/>
      <c r="AQ71" s="2954"/>
      <c r="AR71" s="2954"/>
      <c r="AS71" s="2954"/>
      <c r="AT71" s="2935"/>
      <c r="AU71" s="2964"/>
      <c r="AV71" s="857">
        <f t="shared" si="11"/>
        <v>0</v>
      </c>
      <c r="AW71" s="857">
        <f t="shared" si="12"/>
        <v>0</v>
      </c>
      <c r="AX71" s="857">
        <f t="shared" si="13"/>
        <v>0</v>
      </c>
      <c r="AY71" s="807">
        <f t="shared" si="14"/>
        <v>0</v>
      </c>
      <c r="AZ71" s="2934">
        <f t="shared" si="15"/>
        <v>0</v>
      </c>
      <c r="BA71" s="2934">
        <f t="shared" si="16"/>
        <v>0</v>
      </c>
      <c r="BB71" s="2934">
        <f t="shared" si="17"/>
        <v>0</v>
      </c>
      <c r="BC71" s="2934">
        <f t="shared" si="18"/>
        <v>0</v>
      </c>
      <c r="BD71" s="2934">
        <f t="shared" si="19"/>
        <v>0</v>
      </c>
      <c r="BE71" s="2934">
        <f t="shared" si="20"/>
        <v>0</v>
      </c>
      <c r="BF71" s="2934">
        <f t="shared" si="21"/>
        <v>0</v>
      </c>
      <c r="BG71" s="2934">
        <f t="shared" si="22"/>
        <v>0</v>
      </c>
      <c r="BH71" s="2934">
        <f t="shared" si="23"/>
        <v>0</v>
      </c>
      <c r="BI71" s="2934">
        <f t="shared" si="24"/>
        <v>0</v>
      </c>
      <c r="BJ71" s="2934">
        <f t="shared" si="25"/>
        <v>0</v>
      </c>
      <c r="BK71" s="2934">
        <f t="shared" si="26"/>
        <v>0</v>
      </c>
      <c r="BL71" s="2934">
        <f t="shared" si="27"/>
        <v>0</v>
      </c>
      <c r="BM71" s="2934">
        <f t="shared" si="28"/>
        <v>0</v>
      </c>
      <c r="BN71" s="2934">
        <f t="shared" si="29"/>
        <v>0</v>
      </c>
      <c r="BO71" s="2934">
        <f t="shared" si="30"/>
        <v>0</v>
      </c>
      <c r="BP71" s="2934">
        <f t="shared" si="31"/>
        <v>0</v>
      </c>
      <c r="BQ71" s="2934">
        <f t="shared" si="32"/>
        <v>0</v>
      </c>
      <c r="BR71" s="2934">
        <f t="shared" si="33"/>
        <v>0</v>
      </c>
      <c r="BS71" s="2934">
        <f t="shared" si="34"/>
        <v>0</v>
      </c>
      <c r="BT71" s="2982">
        <f t="shared" si="35"/>
        <v>0</v>
      </c>
    </row>
    <row r="72" spans="1:72">
      <c r="A72" s="874"/>
      <c r="B72" s="882"/>
      <c r="C72" s="882"/>
      <c r="D72" s="2933"/>
      <c r="E72" s="2934">
        <f t="shared" si="7"/>
        <v>0</v>
      </c>
      <c r="F72" s="2935"/>
      <c r="G72" s="2936">
        <f t="shared" si="8"/>
        <v>0</v>
      </c>
      <c r="H72" s="2937">
        <f t="shared" si="9"/>
        <v>0</v>
      </c>
      <c r="I72" s="2944"/>
      <c r="J72" s="2944"/>
      <c r="K72" s="2944"/>
      <c r="L72" s="2944"/>
      <c r="M72" s="2944"/>
      <c r="N72" s="2944"/>
      <c r="O72" s="2944"/>
      <c r="P72" s="2944"/>
      <c r="Q72" s="2944"/>
      <c r="R72" s="2944"/>
      <c r="S72" s="2944"/>
      <c r="T72" s="2944"/>
      <c r="U72" s="2944"/>
      <c r="V72" s="2944"/>
      <c r="W72" s="2944"/>
      <c r="X72" s="2944"/>
      <c r="Y72" s="2944"/>
      <c r="Z72" s="2944"/>
      <c r="AA72" s="2944"/>
      <c r="AB72" s="2944"/>
      <c r="AC72" s="2934">
        <f t="shared" si="10"/>
        <v>0</v>
      </c>
      <c r="AD72" s="2954"/>
      <c r="AE72" s="2954"/>
      <c r="AF72" s="2954"/>
      <c r="AG72" s="2954"/>
      <c r="AH72" s="2954"/>
      <c r="AI72" s="2954"/>
      <c r="AJ72" s="2954"/>
      <c r="AK72" s="2954"/>
      <c r="AL72" s="2954"/>
      <c r="AM72" s="2954"/>
      <c r="AN72" s="2954"/>
      <c r="AO72" s="2954"/>
      <c r="AP72" s="2954"/>
      <c r="AQ72" s="2954"/>
      <c r="AR72" s="2954"/>
      <c r="AS72" s="2954"/>
      <c r="AT72" s="2935"/>
      <c r="AU72" s="2964"/>
      <c r="AV72" s="857">
        <f t="shared" si="11"/>
        <v>0</v>
      </c>
      <c r="AW72" s="857">
        <f t="shared" si="12"/>
        <v>0</v>
      </c>
      <c r="AX72" s="857">
        <f t="shared" si="13"/>
        <v>0</v>
      </c>
      <c r="AY72" s="807">
        <f t="shared" si="14"/>
        <v>0</v>
      </c>
      <c r="AZ72" s="2934">
        <f t="shared" si="15"/>
        <v>0</v>
      </c>
      <c r="BA72" s="2934">
        <f t="shared" si="16"/>
        <v>0</v>
      </c>
      <c r="BB72" s="2934">
        <f t="shared" si="17"/>
        <v>0</v>
      </c>
      <c r="BC72" s="2934">
        <f t="shared" si="18"/>
        <v>0</v>
      </c>
      <c r="BD72" s="2934">
        <f t="shared" si="19"/>
        <v>0</v>
      </c>
      <c r="BE72" s="2934">
        <f t="shared" si="20"/>
        <v>0</v>
      </c>
      <c r="BF72" s="2934">
        <f t="shared" si="21"/>
        <v>0</v>
      </c>
      <c r="BG72" s="2934">
        <f t="shared" si="22"/>
        <v>0</v>
      </c>
      <c r="BH72" s="2934">
        <f t="shared" si="23"/>
        <v>0</v>
      </c>
      <c r="BI72" s="2934">
        <f t="shared" si="24"/>
        <v>0</v>
      </c>
      <c r="BJ72" s="2934">
        <f t="shared" si="25"/>
        <v>0</v>
      </c>
      <c r="BK72" s="2934">
        <f t="shared" si="26"/>
        <v>0</v>
      </c>
      <c r="BL72" s="2934">
        <f t="shared" si="27"/>
        <v>0</v>
      </c>
      <c r="BM72" s="2934">
        <f t="shared" si="28"/>
        <v>0</v>
      </c>
      <c r="BN72" s="2934">
        <f t="shared" si="29"/>
        <v>0</v>
      </c>
      <c r="BO72" s="2934">
        <f t="shared" si="30"/>
        <v>0</v>
      </c>
      <c r="BP72" s="2934">
        <f t="shared" si="31"/>
        <v>0</v>
      </c>
      <c r="BQ72" s="2934">
        <f t="shared" si="32"/>
        <v>0</v>
      </c>
      <c r="BR72" s="2934">
        <f t="shared" si="33"/>
        <v>0</v>
      </c>
      <c r="BS72" s="2934">
        <f t="shared" si="34"/>
        <v>0</v>
      </c>
      <c r="BT72" s="2982">
        <f t="shared" si="35"/>
        <v>0</v>
      </c>
    </row>
    <row r="73" spans="1:72">
      <c r="A73" s="874"/>
      <c r="B73" s="882"/>
      <c r="C73" s="882"/>
      <c r="D73" s="2933"/>
      <c r="E73" s="2934">
        <f t="shared" si="7"/>
        <v>0</v>
      </c>
      <c r="F73" s="2935"/>
      <c r="G73" s="2936">
        <f t="shared" si="8"/>
        <v>0</v>
      </c>
      <c r="H73" s="2937">
        <f t="shared" si="9"/>
        <v>0</v>
      </c>
      <c r="I73" s="2944"/>
      <c r="J73" s="2944"/>
      <c r="K73" s="2944"/>
      <c r="L73" s="2944"/>
      <c r="M73" s="2944"/>
      <c r="N73" s="2944"/>
      <c r="O73" s="2944"/>
      <c r="P73" s="2944"/>
      <c r="Q73" s="2944"/>
      <c r="R73" s="2944"/>
      <c r="S73" s="2944"/>
      <c r="T73" s="2944"/>
      <c r="U73" s="2944"/>
      <c r="V73" s="2944"/>
      <c r="W73" s="2944"/>
      <c r="X73" s="2944"/>
      <c r="Y73" s="2944"/>
      <c r="Z73" s="2944"/>
      <c r="AA73" s="2944"/>
      <c r="AB73" s="2944"/>
      <c r="AC73" s="2934">
        <f t="shared" si="10"/>
        <v>0</v>
      </c>
      <c r="AD73" s="2954"/>
      <c r="AE73" s="2954"/>
      <c r="AF73" s="2954"/>
      <c r="AG73" s="2954"/>
      <c r="AH73" s="2954"/>
      <c r="AI73" s="2954"/>
      <c r="AJ73" s="2954"/>
      <c r="AK73" s="2954"/>
      <c r="AL73" s="2954"/>
      <c r="AM73" s="2954"/>
      <c r="AN73" s="2954"/>
      <c r="AO73" s="2954"/>
      <c r="AP73" s="2954"/>
      <c r="AQ73" s="2954"/>
      <c r="AR73" s="2954"/>
      <c r="AS73" s="2954"/>
      <c r="AT73" s="2935"/>
      <c r="AU73" s="2964"/>
      <c r="AV73" s="857">
        <f t="shared" si="11"/>
        <v>0</v>
      </c>
      <c r="AW73" s="857">
        <f t="shared" si="12"/>
        <v>0</v>
      </c>
      <c r="AX73" s="857">
        <f t="shared" si="13"/>
        <v>0</v>
      </c>
      <c r="AY73" s="807">
        <f t="shared" si="14"/>
        <v>0</v>
      </c>
      <c r="AZ73" s="2934">
        <f t="shared" si="15"/>
        <v>0</v>
      </c>
      <c r="BA73" s="2934">
        <f t="shared" si="16"/>
        <v>0</v>
      </c>
      <c r="BB73" s="2934">
        <f t="shared" si="17"/>
        <v>0</v>
      </c>
      <c r="BC73" s="2934">
        <f t="shared" si="18"/>
        <v>0</v>
      </c>
      <c r="BD73" s="2934">
        <f t="shared" si="19"/>
        <v>0</v>
      </c>
      <c r="BE73" s="2934">
        <f t="shared" si="20"/>
        <v>0</v>
      </c>
      <c r="BF73" s="2934">
        <f t="shared" si="21"/>
        <v>0</v>
      </c>
      <c r="BG73" s="2934">
        <f t="shared" si="22"/>
        <v>0</v>
      </c>
      <c r="BH73" s="2934">
        <f t="shared" si="23"/>
        <v>0</v>
      </c>
      <c r="BI73" s="2934">
        <f t="shared" si="24"/>
        <v>0</v>
      </c>
      <c r="BJ73" s="2934">
        <f t="shared" si="25"/>
        <v>0</v>
      </c>
      <c r="BK73" s="2934">
        <f t="shared" si="26"/>
        <v>0</v>
      </c>
      <c r="BL73" s="2934">
        <f t="shared" si="27"/>
        <v>0</v>
      </c>
      <c r="BM73" s="2934">
        <f t="shared" si="28"/>
        <v>0</v>
      </c>
      <c r="BN73" s="2934">
        <f t="shared" si="29"/>
        <v>0</v>
      </c>
      <c r="BO73" s="2934">
        <f t="shared" si="30"/>
        <v>0</v>
      </c>
      <c r="BP73" s="2934">
        <f t="shared" si="31"/>
        <v>0</v>
      </c>
      <c r="BQ73" s="2934">
        <f t="shared" si="32"/>
        <v>0</v>
      </c>
      <c r="BR73" s="2934">
        <f t="shared" si="33"/>
        <v>0</v>
      </c>
      <c r="BS73" s="2934">
        <f t="shared" si="34"/>
        <v>0</v>
      </c>
      <c r="BT73" s="2982">
        <f t="shared" si="35"/>
        <v>0</v>
      </c>
    </row>
    <row r="74" spans="1:72">
      <c r="A74" s="874"/>
      <c r="B74" s="882"/>
      <c r="C74" s="882"/>
      <c r="D74" s="2933"/>
      <c r="E74" s="2934">
        <f t="shared" si="7"/>
        <v>0</v>
      </c>
      <c r="F74" s="2935"/>
      <c r="G74" s="2936">
        <f t="shared" si="8"/>
        <v>0</v>
      </c>
      <c r="H74" s="2937">
        <f t="shared" si="9"/>
        <v>0</v>
      </c>
      <c r="I74" s="2944"/>
      <c r="J74" s="2944"/>
      <c r="K74" s="2944"/>
      <c r="L74" s="2944"/>
      <c r="M74" s="2944"/>
      <c r="N74" s="2944"/>
      <c r="O74" s="2944"/>
      <c r="P74" s="2944"/>
      <c r="Q74" s="2944"/>
      <c r="R74" s="2944"/>
      <c r="S74" s="2944"/>
      <c r="T74" s="2944"/>
      <c r="U74" s="2944"/>
      <c r="V74" s="2944"/>
      <c r="W74" s="2944"/>
      <c r="X74" s="2944"/>
      <c r="Y74" s="2944"/>
      <c r="Z74" s="2944"/>
      <c r="AA74" s="2944"/>
      <c r="AB74" s="2944"/>
      <c r="AC74" s="2934">
        <f t="shared" si="10"/>
        <v>0</v>
      </c>
      <c r="AD74" s="2954"/>
      <c r="AE74" s="2954"/>
      <c r="AF74" s="2954"/>
      <c r="AG74" s="2954"/>
      <c r="AH74" s="2954"/>
      <c r="AI74" s="2954"/>
      <c r="AJ74" s="2954"/>
      <c r="AK74" s="2954"/>
      <c r="AL74" s="2954"/>
      <c r="AM74" s="2954"/>
      <c r="AN74" s="2954"/>
      <c r="AO74" s="2954"/>
      <c r="AP74" s="2954"/>
      <c r="AQ74" s="2954"/>
      <c r="AR74" s="2954"/>
      <c r="AS74" s="2954"/>
      <c r="AT74" s="2935"/>
      <c r="AU74" s="2964"/>
      <c r="AV74" s="857">
        <f t="shared" si="11"/>
        <v>0</v>
      </c>
      <c r="AW74" s="857">
        <f t="shared" si="12"/>
        <v>0</v>
      </c>
      <c r="AX74" s="857">
        <f t="shared" si="13"/>
        <v>0</v>
      </c>
      <c r="AY74" s="807">
        <f t="shared" si="14"/>
        <v>0</v>
      </c>
      <c r="AZ74" s="2934">
        <f t="shared" si="15"/>
        <v>0</v>
      </c>
      <c r="BA74" s="2934">
        <f t="shared" si="16"/>
        <v>0</v>
      </c>
      <c r="BB74" s="2934">
        <f t="shared" si="17"/>
        <v>0</v>
      </c>
      <c r="BC74" s="2934">
        <f t="shared" si="18"/>
        <v>0</v>
      </c>
      <c r="BD74" s="2934">
        <f t="shared" si="19"/>
        <v>0</v>
      </c>
      <c r="BE74" s="2934">
        <f t="shared" si="20"/>
        <v>0</v>
      </c>
      <c r="BF74" s="2934">
        <f t="shared" si="21"/>
        <v>0</v>
      </c>
      <c r="BG74" s="2934">
        <f t="shared" si="22"/>
        <v>0</v>
      </c>
      <c r="BH74" s="2934">
        <f t="shared" si="23"/>
        <v>0</v>
      </c>
      <c r="BI74" s="2934">
        <f t="shared" si="24"/>
        <v>0</v>
      </c>
      <c r="BJ74" s="2934">
        <f t="shared" si="25"/>
        <v>0</v>
      </c>
      <c r="BK74" s="2934">
        <f t="shared" si="26"/>
        <v>0</v>
      </c>
      <c r="BL74" s="2934">
        <f t="shared" si="27"/>
        <v>0</v>
      </c>
      <c r="BM74" s="2934">
        <f t="shared" si="28"/>
        <v>0</v>
      </c>
      <c r="BN74" s="2934">
        <f t="shared" si="29"/>
        <v>0</v>
      </c>
      <c r="BO74" s="2934">
        <f t="shared" si="30"/>
        <v>0</v>
      </c>
      <c r="BP74" s="2934">
        <f t="shared" si="31"/>
        <v>0</v>
      </c>
      <c r="BQ74" s="2934">
        <f t="shared" si="32"/>
        <v>0</v>
      </c>
      <c r="BR74" s="2934">
        <f t="shared" si="33"/>
        <v>0</v>
      </c>
      <c r="BS74" s="2934">
        <f t="shared" si="34"/>
        <v>0</v>
      </c>
      <c r="BT74" s="2982">
        <f t="shared" si="35"/>
        <v>0</v>
      </c>
    </row>
    <row r="75" spans="1:72">
      <c r="A75" s="874"/>
      <c r="B75" s="882"/>
      <c r="C75" s="882"/>
      <c r="D75" s="2933"/>
      <c r="E75" s="2934">
        <f t="shared" si="7"/>
        <v>0</v>
      </c>
      <c r="F75" s="2935"/>
      <c r="G75" s="2936">
        <f t="shared" si="8"/>
        <v>0</v>
      </c>
      <c r="H75" s="2937">
        <f t="shared" si="9"/>
        <v>0</v>
      </c>
      <c r="I75" s="2944"/>
      <c r="J75" s="2944"/>
      <c r="K75" s="2944"/>
      <c r="L75" s="2944"/>
      <c r="M75" s="2944"/>
      <c r="N75" s="2944"/>
      <c r="O75" s="2944"/>
      <c r="P75" s="2944"/>
      <c r="Q75" s="2944"/>
      <c r="R75" s="2944"/>
      <c r="S75" s="2944"/>
      <c r="T75" s="2944"/>
      <c r="U75" s="2944"/>
      <c r="V75" s="2944"/>
      <c r="W75" s="2944"/>
      <c r="X75" s="2944"/>
      <c r="Y75" s="2944"/>
      <c r="Z75" s="2944"/>
      <c r="AA75" s="2944"/>
      <c r="AB75" s="2944"/>
      <c r="AC75" s="2934">
        <f t="shared" si="10"/>
        <v>0</v>
      </c>
      <c r="AD75" s="2954"/>
      <c r="AE75" s="2954"/>
      <c r="AF75" s="2954"/>
      <c r="AG75" s="2954"/>
      <c r="AH75" s="2954"/>
      <c r="AI75" s="2954"/>
      <c r="AJ75" s="2954"/>
      <c r="AK75" s="2954"/>
      <c r="AL75" s="2954"/>
      <c r="AM75" s="2954"/>
      <c r="AN75" s="2954"/>
      <c r="AO75" s="2954"/>
      <c r="AP75" s="2954"/>
      <c r="AQ75" s="2954"/>
      <c r="AR75" s="2954"/>
      <c r="AS75" s="2954"/>
      <c r="AT75" s="2935"/>
      <c r="AU75" s="2964"/>
      <c r="AV75" s="857">
        <f t="shared" si="11"/>
        <v>0</v>
      </c>
      <c r="AW75" s="857">
        <f t="shared" si="12"/>
        <v>0</v>
      </c>
      <c r="AX75" s="857">
        <f t="shared" si="13"/>
        <v>0</v>
      </c>
      <c r="AY75" s="807">
        <f t="shared" si="14"/>
        <v>0</v>
      </c>
      <c r="AZ75" s="2934">
        <f t="shared" si="15"/>
        <v>0</v>
      </c>
      <c r="BA75" s="2934">
        <f t="shared" si="16"/>
        <v>0</v>
      </c>
      <c r="BB75" s="2934">
        <f t="shared" si="17"/>
        <v>0</v>
      </c>
      <c r="BC75" s="2934">
        <f t="shared" si="18"/>
        <v>0</v>
      </c>
      <c r="BD75" s="2934">
        <f t="shared" si="19"/>
        <v>0</v>
      </c>
      <c r="BE75" s="2934">
        <f t="shared" si="20"/>
        <v>0</v>
      </c>
      <c r="BF75" s="2934">
        <f t="shared" si="21"/>
        <v>0</v>
      </c>
      <c r="BG75" s="2934">
        <f t="shared" si="22"/>
        <v>0</v>
      </c>
      <c r="BH75" s="2934">
        <f t="shared" si="23"/>
        <v>0</v>
      </c>
      <c r="BI75" s="2934">
        <f t="shared" si="24"/>
        <v>0</v>
      </c>
      <c r="BJ75" s="2934">
        <f t="shared" si="25"/>
        <v>0</v>
      </c>
      <c r="BK75" s="2934">
        <f t="shared" si="26"/>
        <v>0</v>
      </c>
      <c r="BL75" s="2934">
        <f t="shared" si="27"/>
        <v>0</v>
      </c>
      <c r="BM75" s="2934">
        <f t="shared" si="28"/>
        <v>0</v>
      </c>
      <c r="BN75" s="2934">
        <f t="shared" si="29"/>
        <v>0</v>
      </c>
      <c r="BO75" s="2934">
        <f t="shared" si="30"/>
        <v>0</v>
      </c>
      <c r="BP75" s="2934">
        <f t="shared" si="31"/>
        <v>0</v>
      </c>
      <c r="BQ75" s="2934">
        <f t="shared" si="32"/>
        <v>0</v>
      </c>
      <c r="BR75" s="2934">
        <f t="shared" si="33"/>
        <v>0</v>
      </c>
      <c r="BS75" s="2934">
        <f t="shared" si="34"/>
        <v>0</v>
      </c>
      <c r="BT75" s="2982">
        <f t="shared" si="35"/>
        <v>0</v>
      </c>
    </row>
    <row r="76" spans="1:72">
      <c r="A76" s="874"/>
      <c r="B76" s="882"/>
      <c r="C76" s="882"/>
      <c r="D76" s="2933"/>
      <c r="E76" s="2934">
        <f t="shared" si="7"/>
        <v>0</v>
      </c>
      <c r="F76" s="2935"/>
      <c r="G76" s="2936">
        <f t="shared" si="8"/>
        <v>0</v>
      </c>
      <c r="H76" s="2937">
        <f t="shared" si="9"/>
        <v>0</v>
      </c>
      <c r="I76" s="2944"/>
      <c r="J76" s="2944"/>
      <c r="K76" s="2944"/>
      <c r="L76" s="2944"/>
      <c r="M76" s="2944"/>
      <c r="N76" s="2944"/>
      <c r="O76" s="2944"/>
      <c r="P76" s="2944"/>
      <c r="Q76" s="2944"/>
      <c r="R76" s="2944"/>
      <c r="S76" s="2944"/>
      <c r="T76" s="2944"/>
      <c r="U76" s="2944"/>
      <c r="V76" s="2944"/>
      <c r="W76" s="2944"/>
      <c r="X76" s="2944"/>
      <c r="Y76" s="2944"/>
      <c r="Z76" s="2944"/>
      <c r="AA76" s="2944"/>
      <c r="AB76" s="2944"/>
      <c r="AC76" s="2934">
        <f t="shared" si="10"/>
        <v>0</v>
      </c>
      <c r="AD76" s="2954"/>
      <c r="AE76" s="2954"/>
      <c r="AF76" s="2954"/>
      <c r="AG76" s="2954"/>
      <c r="AH76" s="2954"/>
      <c r="AI76" s="2954"/>
      <c r="AJ76" s="2954"/>
      <c r="AK76" s="2954"/>
      <c r="AL76" s="2954"/>
      <c r="AM76" s="2954"/>
      <c r="AN76" s="2954"/>
      <c r="AO76" s="2954"/>
      <c r="AP76" s="2954"/>
      <c r="AQ76" s="2954"/>
      <c r="AR76" s="2954"/>
      <c r="AS76" s="2954"/>
      <c r="AT76" s="2935"/>
      <c r="AU76" s="2964"/>
      <c r="AV76" s="857">
        <f t="shared" si="11"/>
        <v>0</v>
      </c>
      <c r="AW76" s="857">
        <f t="shared" si="12"/>
        <v>0</v>
      </c>
      <c r="AX76" s="857">
        <f t="shared" si="13"/>
        <v>0</v>
      </c>
      <c r="AY76" s="807">
        <f t="shared" si="14"/>
        <v>0</v>
      </c>
      <c r="AZ76" s="2934">
        <f t="shared" si="15"/>
        <v>0</v>
      </c>
      <c r="BA76" s="2934">
        <f t="shared" si="16"/>
        <v>0</v>
      </c>
      <c r="BB76" s="2934">
        <f t="shared" si="17"/>
        <v>0</v>
      </c>
      <c r="BC76" s="2934">
        <f t="shared" si="18"/>
        <v>0</v>
      </c>
      <c r="BD76" s="2934">
        <f t="shared" si="19"/>
        <v>0</v>
      </c>
      <c r="BE76" s="2934">
        <f t="shared" si="20"/>
        <v>0</v>
      </c>
      <c r="BF76" s="2934">
        <f t="shared" si="21"/>
        <v>0</v>
      </c>
      <c r="BG76" s="2934">
        <f t="shared" si="22"/>
        <v>0</v>
      </c>
      <c r="BH76" s="2934">
        <f t="shared" si="23"/>
        <v>0</v>
      </c>
      <c r="BI76" s="2934">
        <f t="shared" si="24"/>
        <v>0</v>
      </c>
      <c r="BJ76" s="2934">
        <f t="shared" si="25"/>
        <v>0</v>
      </c>
      <c r="BK76" s="2934">
        <f t="shared" si="26"/>
        <v>0</v>
      </c>
      <c r="BL76" s="2934">
        <f t="shared" si="27"/>
        <v>0</v>
      </c>
      <c r="BM76" s="2934">
        <f t="shared" si="28"/>
        <v>0</v>
      </c>
      <c r="BN76" s="2934">
        <f t="shared" si="29"/>
        <v>0</v>
      </c>
      <c r="BO76" s="2934">
        <f t="shared" si="30"/>
        <v>0</v>
      </c>
      <c r="BP76" s="2934">
        <f t="shared" si="31"/>
        <v>0</v>
      </c>
      <c r="BQ76" s="2934">
        <f t="shared" si="32"/>
        <v>0</v>
      </c>
      <c r="BR76" s="2934">
        <f t="shared" si="33"/>
        <v>0</v>
      </c>
      <c r="BS76" s="2934">
        <f t="shared" si="34"/>
        <v>0</v>
      </c>
      <c r="BT76" s="2982">
        <f t="shared" si="35"/>
        <v>0</v>
      </c>
    </row>
    <row r="77" spans="1:72">
      <c r="A77" s="874"/>
      <c r="B77" s="882"/>
      <c r="C77" s="882"/>
      <c r="D77" s="2933"/>
      <c r="E77" s="2934">
        <f t="shared" si="7"/>
        <v>0</v>
      </c>
      <c r="F77" s="2935"/>
      <c r="G77" s="2936">
        <f t="shared" si="8"/>
        <v>0</v>
      </c>
      <c r="H77" s="2937">
        <f t="shared" si="9"/>
        <v>0</v>
      </c>
      <c r="I77" s="2944"/>
      <c r="J77" s="2944"/>
      <c r="K77" s="2944"/>
      <c r="L77" s="2944"/>
      <c r="M77" s="2944"/>
      <c r="N77" s="2944"/>
      <c r="O77" s="2944"/>
      <c r="P77" s="2944"/>
      <c r="Q77" s="2944"/>
      <c r="R77" s="2944"/>
      <c r="S77" s="2944"/>
      <c r="T77" s="2944"/>
      <c r="U77" s="2944"/>
      <c r="V77" s="2944"/>
      <c r="W77" s="2944"/>
      <c r="X77" s="2944"/>
      <c r="Y77" s="2944"/>
      <c r="Z77" s="2944"/>
      <c r="AA77" s="2944"/>
      <c r="AB77" s="2944"/>
      <c r="AC77" s="2934">
        <f t="shared" si="10"/>
        <v>0</v>
      </c>
      <c r="AD77" s="2954"/>
      <c r="AE77" s="2954"/>
      <c r="AF77" s="2954"/>
      <c r="AG77" s="2954"/>
      <c r="AH77" s="2954"/>
      <c r="AI77" s="2954"/>
      <c r="AJ77" s="2954"/>
      <c r="AK77" s="2954"/>
      <c r="AL77" s="2954"/>
      <c r="AM77" s="2954"/>
      <c r="AN77" s="2954"/>
      <c r="AO77" s="2954"/>
      <c r="AP77" s="2954"/>
      <c r="AQ77" s="2954"/>
      <c r="AR77" s="2954"/>
      <c r="AS77" s="2954"/>
      <c r="AT77" s="2935"/>
      <c r="AU77" s="2964"/>
      <c r="AV77" s="857">
        <f t="shared" si="11"/>
        <v>0</v>
      </c>
      <c r="AW77" s="857">
        <f t="shared" si="12"/>
        <v>0</v>
      </c>
      <c r="AX77" s="857">
        <f t="shared" si="13"/>
        <v>0</v>
      </c>
      <c r="AY77" s="807">
        <f t="shared" si="14"/>
        <v>0</v>
      </c>
      <c r="AZ77" s="2934">
        <f t="shared" si="15"/>
        <v>0</v>
      </c>
      <c r="BA77" s="2934">
        <f t="shared" si="16"/>
        <v>0</v>
      </c>
      <c r="BB77" s="2934">
        <f t="shared" si="17"/>
        <v>0</v>
      </c>
      <c r="BC77" s="2934">
        <f t="shared" si="18"/>
        <v>0</v>
      </c>
      <c r="BD77" s="2934">
        <f t="shared" si="19"/>
        <v>0</v>
      </c>
      <c r="BE77" s="2934">
        <f t="shared" si="20"/>
        <v>0</v>
      </c>
      <c r="BF77" s="2934">
        <f t="shared" si="21"/>
        <v>0</v>
      </c>
      <c r="BG77" s="2934">
        <f t="shared" si="22"/>
        <v>0</v>
      </c>
      <c r="BH77" s="2934">
        <f t="shared" si="23"/>
        <v>0</v>
      </c>
      <c r="BI77" s="2934">
        <f t="shared" si="24"/>
        <v>0</v>
      </c>
      <c r="BJ77" s="2934">
        <f t="shared" si="25"/>
        <v>0</v>
      </c>
      <c r="BK77" s="2934">
        <f t="shared" si="26"/>
        <v>0</v>
      </c>
      <c r="BL77" s="2934">
        <f t="shared" si="27"/>
        <v>0</v>
      </c>
      <c r="BM77" s="2934">
        <f t="shared" si="28"/>
        <v>0</v>
      </c>
      <c r="BN77" s="2934">
        <f t="shared" si="29"/>
        <v>0</v>
      </c>
      <c r="BO77" s="2934">
        <f t="shared" si="30"/>
        <v>0</v>
      </c>
      <c r="BP77" s="2934">
        <f t="shared" si="31"/>
        <v>0</v>
      </c>
      <c r="BQ77" s="2934">
        <f t="shared" si="32"/>
        <v>0</v>
      </c>
      <c r="BR77" s="2934">
        <f t="shared" si="33"/>
        <v>0</v>
      </c>
      <c r="BS77" s="2934">
        <f t="shared" si="34"/>
        <v>0</v>
      </c>
      <c r="BT77" s="2982">
        <f t="shared" si="35"/>
        <v>0</v>
      </c>
    </row>
    <row r="78" spans="1:72">
      <c r="A78" s="874"/>
      <c r="B78" s="882"/>
      <c r="C78" s="882"/>
      <c r="D78" s="2933"/>
      <c r="E78" s="2934">
        <f t="shared" si="7"/>
        <v>0</v>
      </c>
      <c r="F78" s="2935"/>
      <c r="G78" s="2936">
        <f t="shared" si="8"/>
        <v>0</v>
      </c>
      <c r="H78" s="2937">
        <f t="shared" si="9"/>
        <v>0</v>
      </c>
      <c r="I78" s="2944"/>
      <c r="J78" s="2944"/>
      <c r="K78" s="2944"/>
      <c r="L78" s="2944"/>
      <c r="M78" s="2944"/>
      <c r="N78" s="2944"/>
      <c r="O78" s="2944"/>
      <c r="P78" s="2944"/>
      <c r="Q78" s="2944"/>
      <c r="R78" s="2944"/>
      <c r="S78" s="2944"/>
      <c r="T78" s="2944"/>
      <c r="U78" s="2944"/>
      <c r="V78" s="2944"/>
      <c r="W78" s="2944"/>
      <c r="X78" s="2944"/>
      <c r="Y78" s="2944"/>
      <c r="Z78" s="2944"/>
      <c r="AA78" s="2944"/>
      <c r="AB78" s="2944"/>
      <c r="AC78" s="2934">
        <f t="shared" si="10"/>
        <v>0</v>
      </c>
      <c r="AD78" s="2954"/>
      <c r="AE78" s="2954"/>
      <c r="AF78" s="2954"/>
      <c r="AG78" s="2954"/>
      <c r="AH78" s="2954"/>
      <c r="AI78" s="2954"/>
      <c r="AJ78" s="2954"/>
      <c r="AK78" s="2954"/>
      <c r="AL78" s="2954"/>
      <c r="AM78" s="2954"/>
      <c r="AN78" s="2954"/>
      <c r="AO78" s="2954"/>
      <c r="AP78" s="2954"/>
      <c r="AQ78" s="2954"/>
      <c r="AR78" s="2954"/>
      <c r="AS78" s="2954"/>
      <c r="AT78" s="2935"/>
      <c r="AU78" s="2964"/>
      <c r="AV78" s="857">
        <f t="shared" si="11"/>
        <v>0</v>
      </c>
      <c r="AW78" s="857">
        <f t="shared" si="12"/>
        <v>0</v>
      </c>
      <c r="AX78" s="857">
        <f t="shared" si="13"/>
        <v>0</v>
      </c>
      <c r="AY78" s="807">
        <f t="shared" si="14"/>
        <v>0</v>
      </c>
      <c r="AZ78" s="2934">
        <f t="shared" si="15"/>
        <v>0</v>
      </c>
      <c r="BA78" s="2934">
        <f t="shared" si="16"/>
        <v>0</v>
      </c>
      <c r="BB78" s="2934">
        <f t="shared" si="17"/>
        <v>0</v>
      </c>
      <c r="BC78" s="2934">
        <f t="shared" si="18"/>
        <v>0</v>
      </c>
      <c r="BD78" s="2934">
        <f t="shared" si="19"/>
        <v>0</v>
      </c>
      <c r="BE78" s="2934">
        <f t="shared" si="20"/>
        <v>0</v>
      </c>
      <c r="BF78" s="2934">
        <f t="shared" si="21"/>
        <v>0</v>
      </c>
      <c r="BG78" s="2934">
        <f t="shared" si="22"/>
        <v>0</v>
      </c>
      <c r="BH78" s="2934">
        <f t="shared" si="23"/>
        <v>0</v>
      </c>
      <c r="BI78" s="2934">
        <f t="shared" si="24"/>
        <v>0</v>
      </c>
      <c r="BJ78" s="2934">
        <f t="shared" si="25"/>
        <v>0</v>
      </c>
      <c r="BK78" s="2934">
        <f t="shared" si="26"/>
        <v>0</v>
      </c>
      <c r="BL78" s="2934">
        <f t="shared" si="27"/>
        <v>0</v>
      </c>
      <c r="BM78" s="2934">
        <f t="shared" si="28"/>
        <v>0</v>
      </c>
      <c r="BN78" s="2934">
        <f t="shared" si="29"/>
        <v>0</v>
      </c>
      <c r="BO78" s="2934">
        <f t="shared" si="30"/>
        <v>0</v>
      </c>
      <c r="BP78" s="2934">
        <f t="shared" si="31"/>
        <v>0</v>
      </c>
      <c r="BQ78" s="2934">
        <f t="shared" si="32"/>
        <v>0</v>
      </c>
      <c r="BR78" s="2934">
        <f t="shared" si="33"/>
        <v>0</v>
      </c>
      <c r="BS78" s="2934">
        <f t="shared" si="34"/>
        <v>0</v>
      </c>
      <c r="BT78" s="2982">
        <f t="shared" si="35"/>
        <v>0</v>
      </c>
    </row>
    <row r="79" spans="1:72">
      <c r="A79" s="874"/>
      <c r="B79" s="882"/>
      <c r="C79" s="882"/>
      <c r="D79" s="2933"/>
      <c r="E79" s="2934">
        <f t="shared" si="7"/>
        <v>0</v>
      </c>
      <c r="F79" s="2935"/>
      <c r="G79" s="2936">
        <f t="shared" si="8"/>
        <v>0</v>
      </c>
      <c r="H79" s="2937">
        <f t="shared" si="9"/>
        <v>0</v>
      </c>
      <c r="I79" s="2944"/>
      <c r="J79" s="2944"/>
      <c r="K79" s="2944"/>
      <c r="L79" s="2944"/>
      <c r="M79" s="2944"/>
      <c r="N79" s="2944"/>
      <c r="O79" s="2944"/>
      <c r="P79" s="2944"/>
      <c r="Q79" s="2944"/>
      <c r="R79" s="2944"/>
      <c r="S79" s="2944"/>
      <c r="T79" s="2944"/>
      <c r="U79" s="2944"/>
      <c r="V79" s="2944"/>
      <c r="W79" s="2944"/>
      <c r="X79" s="2944"/>
      <c r="Y79" s="2944"/>
      <c r="Z79" s="2944"/>
      <c r="AA79" s="2944"/>
      <c r="AB79" s="2944"/>
      <c r="AC79" s="2934">
        <f t="shared" si="10"/>
        <v>0</v>
      </c>
      <c r="AD79" s="2954"/>
      <c r="AE79" s="2954"/>
      <c r="AF79" s="2954"/>
      <c r="AG79" s="2954"/>
      <c r="AH79" s="2954"/>
      <c r="AI79" s="2954"/>
      <c r="AJ79" s="2954"/>
      <c r="AK79" s="2954"/>
      <c r="AL79" s="2954"/>
      <c r="AM79" s="2954"/>
      <c r="AN79" s="2954"/>
      <c r="AO79" s="2954"/>
      <c r="AP79" s="2954"/>
      <c r="AQ79" s="2954"/>
      <c r="AR79" s="2954"/>
      <c r="AS79" s="2954"/>
      <c r="AT79" s="2935"/>
      <c r="AU79" s="2964"/>
      <c r="AV79" s="857">
        <f t="shared" si="11"/>
        <v>0</v>
      </c>
      <c r="AW79" s="857">
        <f t="shared" si="12"/>
        <v>0</v>
      </c>
      <c r="AX79" s="857">
        <f t="shared" si="13"/>
        <v>0</v>
      </c>
      <c r="AY79" s="807">
        <f t="shared" si="14"/>
        <v>0</v>
      </c>
      <c r="AZ79" s="2934">
        <f t="shared" si="15"/>
        <v>0</v>
      </c>
      <c r="BA79" s="2934">
        <f t="shared" si="16"/>
        <v>0</v>
      </c>
      <c r="BB79" s="2934">
        <f t="shared" si="17"/>
        <v>0</v>
      </c>
      <c r="BC79" s="2934">
        <f t="shared" si="18"/>
        <v>0</v>
      </c>
      <c r="BD79" s="2934">
        <f t="shared" si="19"/>
        <v>0</v>
      </c>
      <c r="BE79" s="2934">
        <f t="shared" si="20"/>
        <v>0</v>
      </c>
      <c r="BF79" s="2934">
        <f t="shared" si="21"/>
        <v>0</v>
      </c>
      <c r="BG79" s="2934">
        <f t="shared" si="22"/>
        <v>0</v>
      </c>
      <c r="BH79" s="2934">
        <f t="shared" si="23"/>
        <v>0</v>
      </c>
      <c r="BI79" s="2934">
        <f t="shared" si="24"/>
        <v>0</v>
      </c>
      <c r="BJ79" s="2934">
        <f t="shared" si="25"/>
        <v>0</v>
      </c>
      <c r="BK79" s="2934">
        <f t="shared" si="26"/>
        <v>0</v>
      </c>
      <c r="BL79" s="2934">
        <f t="shared" si="27"/>
        <v>0</v>
      </c>
      <c r="BM79" s="2934">
        <f t="shared" si="28"/>
        <v>0</v>
      </c>
      <c r="BN79" s="2934">
        <f t="shared" si="29"/>
        <v>0</v>
      </c>
      <c r="BO79" s="2934">
        <f t="shared" si="30"/>
        <v>0</v>
      </c>
      <c r="BP79" s="2934">
        <f t="shared" si="31"/>
        <v>0</v>
      </c>
      <c r="BQ79" s="2934">
        <f t="shared" si="32"/>
        <v>0</v>
      </c>
      <c r="BR79" s="2934">
        <f t="shared" si="33"/>
        <v>0</v>
      </c>
      <c r="BS79" s="2934">
        <f t="shared" si="34"/>
        <v>0</v>
      </c>
      <c r="BT79" s="2982">
        <f t="shared" si="35"/>
        <v>0</v>
      </c>
    </row>
    <row r="80" spans="1:72">
      <c r="A80" s="874"/>
      <c r="B80" s="882"/>
      <c r="C80" s="882"/>
      <c r="D80" s="2933"/>
      <c r="E80" s="2934">
        <f t="shared" si="7"/>
        <v>0</v>
      </c>
      <c r="F80" s="2935"/>
      <c r="G80" s="2936">
        <f t="shared" si="8"/>
        <v>0</v>
      </c>
      <c r="H80" s="2937">
        <f t="shared" si="9"/>
        <v>0</v>
      </c>
      <c r="I80" s="2944"/>
      <c r="J80" s="2944"/>
      <c r="K80" s="2944"/>
      <c r="L80" s="2944"/>
      <c r="M80" s="2944"/>
      <c r="N80" s="2944"/>
      <c r="O80" s="2944"/>
      <c r="P80" s="2944"/>
      <c r="Q80" s="2944"/>
      <c r="R80" s="2944"/>
      <c r="S80" s="2944"/>
      <c r="T80" s="2944"/>
      <c r="U80" s="2944"/>
      <c r="V80" s="2944"/>
      <c r="W80" s="2944"/>
      <c r="X80" s="2944"/>
      <c r="Y80" s="2944"/>
      <c r="Z80" s="2944"/>
      <c r="AA80" s="2944"/>
      <c r="AB80" s="2944"/>
      <c r="AC80" s="2934">
        <f t="shared" si="10"/>
        <v>0</v>
      </c>
      <c r="AD80" s="2954"/>
      <c r="AE80" s="2954"/>
      <c r="AF80" s="2954"/>
      <c r="AG80" s="2954"/>
      <c r="AH80" s="2954"/>
      <c r="AI80" s="2954"/>
      <c r="AJ80" s="2954"/>
      <c r="AK80" s="2954"/>
      <c r="AL80" s="2954"/>
      <c r="AM80" s="2954"/>
      <c r="AN80" s="2954"/>
      <c r="AO80" s="2954"/>
      <c r="AP80" s="2954"/>
      <c r="AQ80" s="2954"/>
      <c r="AR80" s="2954"/>
      <c r="AS80" s="2954"/>
      <c r="AT80" s="2935"/>
      <c r="AU80" s="2964"/>
      <c r="AV80" s="857">
        <f t="shared" si="11"/>
        <v>0</v>
      </c>
      <c r="AW80" s="857">
        <f t="shared" si="12"/>
        <v>0</v>
      </c>
      <c r="AX80" s="857">
        <f t="shared" si="13"/>
        <v>0</v>
      </c>
      <c r="AY80" s="807">
        <f t="shared" si="14"/>
        <v>0</v>
      </c>
      <c r="AZ80" s="2934">
        <f t="shared" si="15"/>
        <v>0</v>
      </c>
      <c r="BA80" s="2934">
        <f t="shared" si="16"/>
        <v>0</v>
      </c>
      <c r="BB80" s="2934">
        <f t="shared" si="17"/>
        <v>0</v>
      </c>
      <c r="BC80" s="2934">
        <f t="shared" si="18"/>
        <v>0</v>
      </c>
      <c r="BD80" s="2934">
        <f t="shared" si="19"/>
        <v>0</v>
      </c>
      <c r="BE80" s="2934">
        <f t="shared" si="20"/>
        <v>0</v>
      </c>
      <c r="BF80" s="2934">
        <f t="shared" si="21"/>
        <v>0</v>
      </c>
      <c r="BG80" s="2934">
        <f t="shared" si="22"/>
        <v>0</v>
      </c>
      <c r="BH80" s="2934">
        <f t="shared" si="23"/>
        <v>0</v>
      </c>
      <c r="BI80" s="2934">
        <f t="shared" si="24"/>
        <v>0</v>
      </c>
      <c r="BJ80" s="2934">
        <f t="shared" si="25"/>
        <v>0</v>
      </c>
      <c r="BK80" s="2934">
        <f t="shared" si="26"/>
        <v>0</v>
      </c>
      <c r="BL80" s="2934">
        <f t="shared" si="27"/>
        <v>0</v>
      </c>
      <c r="BM80" s="2934">
        <f t="shared" si="28"/>
        <v>0</v>
      </c>
      <c r="BN80" s="2934">
        <f t="shared" si="29"/>
        <v>0</v>
      </c>
      <c r="BO80" s="2934">
        <f t="shared" si="30"/>
        <v>0</v>
      </c>
      <c r="BP80" s="2934">
        <f t="shared" si="31"/>
        <v>0</v>
      </c>
      <c r="BQ80" s="2934">
        <f t="shared" si="32"/>
        <v>0</v>
      </c>
      <c r="BR80" s="2934">
        <f t="shared" si="33"/>
        <v>0</v>
      </c>
      <c r="BS80" s="2934">
        <f t="shared" si="34"/>
        <v>0</v>
      </c>
      <c r="BT80" s="2982">
        <f t="shared" si="35"/>
        <v>0</v>
      </c>
    </row>
    <row r="81" spans="1:72">
      <c r="A81" s="874"/>
      <c r="B81" s="882"/>
      <c r="C81" s="882"/>
      <c r="D81" s="2933"/>
      <c r="E81" s="2934">
        <f t="shared" si="7"/>
        <v>0</v>
      </c>
      <c r="F81" s="2935"/>
      <c r="G81" s="2936">
        <f t="shared" si="8"/>
        <v>0</v>
      </c>
      <c r="H81" s="2937">
        <f t="shared" si="9"/>
        <v>0</v>
      </c>
      <c r="I81" s="2944"/>
      <c r="J81" s="2944"/>
      <c r="K81" s="2944"/>
      <c r="L81" s="2944"/>
      <c r="M81" s="2944"/>
      <c r="N81" s="2944"/>
      <c r="O81" s="2944"/>
      <c r="P81" s="2944"/>
      <c r="Q81" s="2944"/>
      <c r="R81" s="2944"/>
      <c r="S81" s="2944"/>
      <c r="T81" s="2944"/>
      <c r="U81" s="2944"/>
      <c r="V81" s="2944"/>
      <c r="W81" s="2944"/>
      <c r="X81" s="2944"/>
      <c r="Y81" s="2944"/>
      <c r="Z81" s="2944"/>
      <c r="AA81" s="2944"/>
      <c r="AB81" s="2944"/>
      <c r="AC81" s="2934">
        <f t="shared" si="10"/>
        <v>0</v>
      </c>
      <c r="AD81" s="2954"/>
      <c r="AE81" s="2954"/>
      <c r="AF81" s="2954"/>
      <c r="AG81" s="2954"/>
      <c r="AH81" s="2954"/>
      <c r="AI81" s="2954"/>
      <c r="AJ81" s="2954"/>
      <c r="AK81" s="2954"/>
      <c r="AL81" s="2954"/>
      <c r="AM81" s="2954"/>
      <c r="AN81" s="2954"/>
      <c r="AO81" s="2954"/>
      <c r="AP81" s="2954"/>
      <c r="AQ81" s="2954"/>
      <c r="AR81" s="2954"/>
      <c r="AS81" s="2954"/>
      <c r="AT81" s="2935"/>
      <c r="AU81" s="2964"/>
      <c r="AV81" s="857">
        <f t="shared" si="11"/>
        <v>0</v>
      </c>
      <c r="AW81" s="857">
        <f t="shared" si="12"/>
        <v>0</v>
      </c>
      <c r="AX81" s="857">
        <f t="shared" si="13"/>
        <v>0</v>
      </c>
      <c r="AY81" s="807">
        <f t="shared" si="14"/>
        <v>0</v>
      </c>
      <c r="AZ81" s="2934">
        <f t="shared" si="15"/>
        <v>0</v>
      </c>
      <c r="BA81" s="2934">
        <f t="shared" si="16"/>
        <v>0</v>
      </c>
      <c r="BB81" s="2934">
        <f t="shared" si="17"/>
        <v>0</v>
      </c>
      <c r="BC81" s="2934">
        <f t="shared" si="18"/>
        <v>0</v>
      </c>
      <c r="BD81" s="2934">
        <f t="shared" si="19"/>
        <v>0</v>
      </c>
      <c r="BE81" s="2934">
        <f t="shared" si="20"/>
        <v>0</v>
      </c>
      <c r="BF81" s="2934">
        <f t="shared" si="21"/>
        <v>0</v>
      </c>
      <c r="BG81" s="2934">
        <f t="shared" si="22"/>
        <v>0</v>
      </c>
      <c r="BH81" s="2934">
        <f t="shared" si="23"/>
        <v>0</v>
      </c>
      <c r="BI81" s="2934">
        <f t="shared" si="24"/>
        <v>0</v>
      </c>
      <c r="BJ81" s="2934">
        <f t="shared" si="25"/>
        <v>0</v>
      </c>
      <c r="BK81" s="2934">
        <f t="shared" si="26"/>
        <v>0</v>
      </c>
      <c r="BL81" s="2934">
        <f t="shared" si="27"/>
        <v>0</v>
      </c>
      <c r="BM81" s="2934">
        <f t="shared" si="28"/>
        <v>0</v>
      </c>
      <c r="BN81" s="2934">
        <f t="shared" si="29"/>
        <v>0</v>
      </c>
      <c r="BO81" s="2934">
        <f t="shared" si="30"/>
        <v>0</v>
      </c>
      <c r="BP81" s="2934">
        <f t="shared" si="31"/>
        <v>0</v>
      </c>
      <c r="BQ81" s="2934">
        <f t="shared" si="32"/>
        <v>0</v>
      </c>
      <c r="BR81" s="2934">
        <f t="shared" si="33"/>
        <v>0</v>
      </c>
      <c r="BS81" s="2934">
        <f t="shared" si="34"/>
        <v>0</v>
      </c>
      <c r="BT81" s="2982">
        <f t="shared" si="35"/>
        <v>0</v>
      </c>
    </row>
    <row r="82" spans="1:72">
      <c r="A82" s="874"/>
      <c r="B82" s="882"/>
      <c r="C82" s="882"/>
      <c r="D82" s="2933"/>
      <c r="E82" s="2934">
        <f t="shared" si="7"/>
        <v>0</v>
      </c>
      <c r="F82" s="2935"/>
      <c r="G82" s="2936">
        <f t="shared" si="8"/>
        <v>0</v>
      </c>
      <c r="H82" s="2937">
        <f t="shared" si="9"/>
        <v>0</v>
      </c>
      <c r="I82" s="2944"/>
      <c r="J82" s="2944"/>
      <c r="K82" s="2944"/>
      <c r="L82" s="2944"/>
      <c r="M82" s="2944"/>
      <c r="N82" s="2944"/>
      <c r="O82" s="2944"/>
      <c r="P82" s="2944"/>
      <c r="Q82" s="2944"/>
      <c r="R82" s="2944"/>
      <c r="S82" s="2944"/>
      <c r="T82" s="2944"/>
      <c r="U82" s="2944"/>
      <c r="V82" s="2944"/>
      <c r="W82" s="2944"/>
      <c r="X82" s="2944"/>
      <c r="Y82" s="2944"/>
      <c r="Z82" s="2944"/>
      <c r="AA82" s="2944"/>
      <c r="AB82" s="2944"/>
      <c r="AC82" s="2934">
        <f t="shared" si="10"/>
        <v>0</v>
      </c>
      <c r="AD82" s="2954"/>
      <c r="AE82" s="2954"/>
      <c r="AF82" s="2954"/>
      <c r="AG82" s="2954"/>
      <c r="AH82" s="2954"/>
      <c r="AI82" s="2954"/>
      <c r="AJ82" s="2954"/>
      <c r="AK82" s="2954"/>
      <c r="AL82" s="2954"/>
      <c r="AM82" s="2954"/>
      <c r="AN82" s="2954"/>
      <c r="AO82" s="2954"/>
      <c r="AP82" s="2954"/>
      <c r="AQ82" s="2954"/>
      <c r="AR82" s="2954"/>
      <c r="AS82" s="2954"/>
      <c r="AT82" s="2935"/>
      <c r="AU82" s="2964"/>
      <c r="AV82" s="857">
        <f t="shared" si="11"/>
        <v>0</v>
      </c>
      <c r="AW82" s="857">
        <f t="shared" si="12"/>
        <v>0</v>
      </c>
      <c r="AX82" s="857">
        <f t="shared" si="13"/>
        <v>0</v>
      </c>
      <c r="AY82" s="807">
        <f t="shared" si="14"/>
        <v>0</v>
      </c>
      <c r="AZ82" s="2934">
        <f t="shared" si="15"/>
        <v>0</v>
      </c>
      <c r="BA82" s="2934">
        <f t="shared" si="16"/>
        <v>0</v>
      </c>
      <c r="BB82" s="2934">
        <f t="shared" si="17"/>
        <v>0</v>
      </c>
      <c r="BC82" s="2934">
        <f t="shared" si="18"/>
        <v>0</v>
      </c>
      <c r="BD82" s="2934">
        <f t="shared" si="19"/>
        <v>0</v>
      </c>
      <c r="BE82" s="2934">
        <f t="shared" si="20"/>
        <v>0</v>
      </c>
      <c r="BF82" s="2934">
        <f t="shared" si="21"/>
        <v>0</v>
      </c>
      <c r="BG82" s="2934">
        <f t="shared" si="22"/>
        <v>0</v>
      </c>
      <c r="BH82" s="2934">
        <f t="shared" si="23"/>
        <v>0</v>
      </c>
      <c r="BI82" s="2934">
        <f t="shared" si="24"/>
        <v>0</v>
      </c>
      <c r="BJ82" s="2934">
        <f t="shared" si="25"/>
        <v>0</v>
      </c>
      <c r="BK82" s="2934">
        <f t="shared" si="26"/>
        <v>0</v>
      </c>
      <c r="BL82" s="2934">
        <f t="shared" si="27"/>
        <v>0</v>
      </c>
      <c r="BM82" s="2934">
        <f t="shared" si="28"/>
        <v>0</v>
      </c>
      <c r="BN82" s="2934">
        <f t="shared" si="29"/>
        <v>0</v>
      </c>
      <c r="BO82" s="2934">
        <f t="shared" si="30"/>
        <v>0</v>
      </c>
      <c r="BP82" s="2934">
        <f t="shared" si="31"/>
        <v>0</v>
      </c>
      <c r="BQ82" s="2934">
        <f t="shared" si="32"/>
        <v>0</v>
      </c>
      <c r="BR82" s="2934">
        <f t="shared" si="33"/>
        <v>0</v>
      </c>
      <c r="BS82" s="2934">
        <f t="shared" si="34"/>
        <v>0</v>
      </c>
      <c r="BT82" s="2982">
        <f t="shared" si="35"/>
        <v>0</v>
      </c>
    </row>
    <row r="83" spans="1:72">
      <c r="A83" s="874"/>
      <c r="B83" s="882"/>
      <c r="C83" s="882"/>
      <c r="D83" s="2933"/>
      <c r="E83" s="2934">
        <f t="shared" si="7"/>
        <v>0</v>
      </c>
      <c r="F83" s="2935"/>
      <c r="G83" s="2936">
        <f t="shared" si="8"/>
        <v>0</v>
      </c>
      <c r="H83" s="2937">
        <f t="shared" si="9"/>
        <v>0</v>
      </c>
      <c r="I83" s="2944"/>
      <c r="J83" s="2944"/>
      <c r="K83" s="2944"/>
      <c r="L83" s="2944"/>
      <c r="M83" s="2944"/>
      <c r="N83" s="2944"/>
      <c r="O83" s="2944"/>
      <c r="P83" s="2944"/>
      <c r="Q83" s="2944"/>
      <c r="R83" s="2944"/>
      <c r="S83" s="2944"/>
      <c r="T83" s="2944"/>
      <c r="U83" s="2944"/>
      <c r="V83" s="2944"/>
      <c r="W83" s="2944"/>
      <c r="X83" s="2944"/>
      <c r="Y83" s="2944"/>
      <c r="Z83" s="2944"/>
      <c r="AA83" s="2944"/>
      <c r="AB83" s="2944"/>
      <c r="AC83" s="2934">
        <f t="shared" si="10"/>
        <v>0</v>
      </c>
      <c r="AD83" s="2954"/>
      <c r="AE83" s="2954"/>
      <c r="AF83" s="2954"/>
      <c r="AG83" s="2954"/>
      <c r="AH83" s="2954"/>
      <c r="AI83" s="2954"/>
      <c r="AJ83" s="2954"/>
      <c r="AK83" s="2954"/>
      <c r="AL83" s="2954"/>
      <c r="AM83" s="2954"/>
      <c r="AN83" s="2954"/>
      <c r="AO83" s="2954"/>
      <c r="AP83" s="2954"/>
      <c r="AQ83" s="2954"/>
      <c r="AR83" s="2954"/>
      <c r="AS83" s="2954"/>
      <c r="AT83" s="2935"/>
      <c r="AU83" s="2964"/>
      <c r="AV83" s="857">
        <f t="shared" si="11"/>
        <v>0</v>
      </c>
      <c r="AW83" s="857">
        <f t="shared" si="12"/>
        <v>0</v>
      </c>
      <c r="AX83" s="857">
        <f t="shared" si="13"/>
        <v>0</v>
      </c>
      <c r="AY83" s="807">
        <f t="shared" si="14"/>
        <v>0</v>
      </c>
      <c r="AZ83" s="2934">
        <f t="shared" si="15"/>
        <v>0</v>
      </c>
      <c r="BA83" s="2934">
        <f t="shared" si="16"/>
        <v>0</v>
      </c>
      <c r="BB83" s="2934">
        <f t="shared" si="17"/>
        <v>0</v>
      </c>
      <c r="BC83" s="2934">
        <f t="shared" si="18"/>
        <v>0</v>
      </c>
      <c r="BD83" s="2934">
        <f t="shared" si="19"/>
        <v>0</v>
      </c>
      <c r="BE83" s="2934">
        <f t="shared" si="20"/>
        <v>0</v>
      </c>
      <c r="BF83" s="2934">
        <f t="shared" si="21"/>
        <v>0</v>
      </c>
      <c r="BG83" s="2934">
        <f t="shared" si="22"/>
        <v>0</v>
      </c>
      <c r="BH83" s="2934">
        <f t="shared" si="23"/>
        <v>0</v>
      </c>
      <c r="BI83" s="2934">
        <f t="shared" si="24"/>
        <v>0</v>
      </c>
      <c r="BJ83" s="2934">
        <f t="shared" si="25"/>
        <v>0</v>
      </c>
      <c r="BK83" s="2934">
        <f t="shared" si="26"/>
        <v>0</v>
      </c>
      <c r="BL83" s="2934">
        <f t="shared" si="27"/>
        <v>0</v>
      </c>
      <c r="BM83" s="2934">
        <f t="shared" si="28"/>
        <v>0</v>
      </c>
      <c r="BN83" s="2934">
        <f t="shared" si="29"/>
        <v>0</v>
      </c>
      <c r="BO83" s="2934">
        <f t="shared" si="30"/>
        <v>0</v>
      </c>
      <c r="BP83" s="2934">
        <f t="shared" si="31"/>
        <v>0</v>
      </c>
      <c r="BQ83" s="2934">
        <f t="shared" si="32"/>
        <v>0</v>
      </c>
      <c r="BR83" s="2934">
        <f t="shared" si="33"/>
        <v>0</v>
      </c>
      <c r="BS83" s="2934">
        <f t="shared" si="34"/>
        <v>0</v>
      </c>
      <c r="BT83" s="2982">
        <f t="shared" si="35"/>
        <v>0</v>
      </c>
    </row>
    <row r="84" spans="1:72">
      <c r="A84" s="874"/>
      <c r="B84" s="882"/>
      <c r="C84" s="882"/>
      <c r="D84" s="2933"/>
      <c r="E84" s="2934">
        <f t="shared" si="7"/>
        <v>0</v>
      </c>
      <c r="F84" s="2935"/>
      <c r="G84" s="2936">
        <f t="shared" si="8"/>
        <v>0</v>
      </c>
      <c r="H84" s="2937">
        <f t="shared" si="9"/>
        <v>0</v>
      </c>
      <c r="I84" s="2944"/>
      <c r="J84" s="2944"/>
      <c r="K84" s="2944"/>
      <c r="L84" s="2944"/>
      <c r="M84" s="2944"/>
      <c r="N84" s="2944"/>
      <c r="O84" s="2944"/>
      <c r="P84" s="2944"/>
      <c r="Q84" s="2944"/>
      <c r="R84" s="2944"/>
      <c r="S84" s="2944"/>
      <c r="T84" s="2944"/>
      <c r="U84" s="2944"/>
      <c r="V84" s="2944"/>
      <c r="W84" s="2944"/>
      <c r="X84" s="2944"/>
      <c r="Y84" s="2944"/>
      <c r="Z84" s="2944"/>
      <c r="AA84" s="2944"/>
      <c r="AB84" s="2944"/>
      <c r="AC84" s="2934">
        <f t="shared" si="10"/>
        <v>0</v>
      </c>
      <c r="AD84" s="2954"/>
      <c r="AE84" s="2954"/>
      <c r="AF84" s="2954"/>
      <c r="AG84" s="2954"/>
      <c r="AH84" s="2954"/>
      <c r="AI84" s="2954"/>
      <c r="AJ84" s="2954"/>
      <c r="AK84" s="2954"/>
      <c r="AL84" s="2954"/>
      <c r="AM84" s="2954"/>
      <c r="AN84" s="2954"/>
      <c r="AO84" s="2954"/>
      <c r="AP84" s="2954"/>
      <c r="AQ84" s="2954"/>
      <c r="AR84" s="2954"/>
      <c r="AS84" s="2954"/>
      <c r="AT84" s="2935"/>
      <c r="AU84" s="2964"/>
      <c r="AV84" s="857">
        <f t="shared" si="11"/>
        <v>0</v>
      </c>
      <c r="AW84" s="857">
        <f t="shared" si="12"/>
        <v>0</v>
      </c>
      <c r="AX84" s="857">
        <f t="shared" si="13"/>
        <v>0</v>
      </c>
      <c r="AY84" s="807">
        <f t="shared" si="14"/>
        <v>0</v>
      </c>
      <c r="AZ84" s="2934">
        <f t="shared" si="15"/>
        <v>0</v>
      </c>
      <c r="BA84" s="2934">
        <f t="shared" si="16"/>
        <v>0</v>
      </c>
      <c r="BB84" s="2934">
        <f t="shared" si="17"/>
        <v>0</v>
      </c>
      <c r="BC84" s="2934">
        <f t="shared" si="18"/>
        <v>0</v>
      </c>
      <c r="BD84" s="2934">
        <f t="shared" si="19"/>
        <v>0</v>
      </c>
      <c r="BE84" s="2934">
        <f t="shared" si="20"/>
        <v>0</v>
      </c>
      <c r="BF84" s="2934">
        <f t="shared" si="21"/>
        <v>0</v>
      </c>
      <c r="BG84" s="2934">
        <f t="shared" si="22"/>
        <v>0</v>
      </c>
      <c r="BH84" s="2934">
        <f t="shared" si="23"/>
        <v>0</v>
      </c>
      <c r="BI84" s="2934">
        <f t="shared" si="24"/>
        <v>0</v>
      </c>
      <c r="BJ84" s="2934">
        <f t="shared" si="25"/>
        <v>0</v>
      </c>
      <c r="BK84" s="2934">
        <f t="shared" si="26"/>
        <v>0</v>
      </c>
      <c r="BL84" s="2934">
        <f t="shared" si="27"/>
        <v>0</v>
      </c>
      <c r="BM84" s="2934">
        <f t="shared" si="28"/>
        <v>0</v>
      </c>
      <c r="BN84" s="2934">
        <f t="shared" si="29"/>
        <v>0</v>
      </c>
      <c r="BO84" s="2934">
        <f t="shared" si="30"/>
        <v>0</v>
      </c>
      <c r="BP84" s="2934">
        <f t="shared" si="31"/>
        <v>0</v>
      </c>
      <c r="BQ84" s="2934">
        <f t="shared" si="32"/>
        <v>0</v>
      </c>
      <c r="BR84" s="2934">
        <f t="shared" si="33"/>
        <v>0</v>
      </c>
      <c r="BS84" s="2934">
        <f t="shared" si="34"/>
        <v>0</v>
      </c>
      <c r="BT84" s="2982">
        <f t="shared" si="35"/>
        <v>0</v>
      </c>
    </row>
    <row r="85" spans="1:72">
      <c r="A85" s="874"/>
      <c r="B85" s="882"/>
      <c r="C85" s="882"/>
      <c r="D85" s="2933"/>
      <c r="E85" s="2934">
        <f t="shared" si="7"/>
        <v>0</v>
      </c>
      <c r="F85" s="2935"/>
      <c r="G85" s="2936">
        <f t="shared" si="8"/>
        <v>0</v>
      </c>
      <c r="H85" s="2937">
        <f t="shared" si="9"/>
        <v>0</v>
      </c>
      <c r="I85" s="2944"/>
      <c r="J85" s="2944"/>
      <c r="K85" s="2944"/>
      <c r="L85" s="2944"/>
      <c r="M85" s="2944"/>
      <c r="N85" s="2944"/>
      <c r="O85" s="2944"/>
      <c r="P85" s="2944"/>
      <c r="Q85" s="2944"/>
      <c r="R85" s="2944"/>
      <c r="S85" s="2944"/>
      <c r="T85" s="2944"/>
      <c r="U85" s="2944"/>
      <c r="V85" s="2944"/>
      <c r="W85" s="2944"/>
      <c r="X85" s="2944"/>
      <c r="Y85" s="2944"/>
      <c r="Z85" s="2944"/>
      <c r="AA85" s="2944"/>
      <c r="AB85" s="2944"/>
      <c r="AC85" s="2934">
        <f t="shared" si="10"/>
        <v>0</v>
      </c>
      <c r="AD85" s="2954"/>
      <c r="AE85" s="2954"/>
      <c r="AF85" s="2954"/>
      <c r="AG85" s="2954"/>
      <c r="AH85" s="2954"/>
      <c r="AI85" s="2954"/>
      <c r="AJ85" s="2954"/>
      <c r="AK85" s="2954"/>
      <c r="AL85" s="2954"/>
      <c r="AM85" s="2954"/>
      <c r="AN85" s="2954"/>
      <c r="AO85" s="2954"/>
      <c r="AP85" s="2954"/>
      <c r="AQ85" s="2954"/>
      <c r="AR85" s="2954"/>
      <c r="AS85" s="2954"/>
      <c r="AT85" s="2935"/>
      <c r="AU85" s="2964"/>
      <c r="AV85" s="857">
        <f t="shared" si="11"/>
        <v>0</v>
      </c>
      <c r="AW85" s="857">
        <f t="shared" si="12"/>
        <v>0</v>
      </c>
      <c r="AX85" s="857">
        <f t="shared" si="13"/>
        <v>0</v>
      </c>
      <c r="AY85" s="807">
        <f t="shared" si="14"/>
        <v>0</v>
      </c>
      <c r="AZ85" s="2934">
        <f t="shared" si="15"/>
        <v>0</v>
      </c>
      <c r="BA85" s="2934">
        <f t="shared" si="16"/>
        <v>0</v>
      </c>
      <c r="BB85" s="2934">
        <f t="shared" si="17"/>
        <v>0</v>
      </c>
      <c r="BC85" s="2934">
        <f t="shared" si="18"/>
        <v>0</v>
      </c>
      <c r="BD85" s="2934">
        <f t="shared" si="19"/>
        <v>0</v>
      </c>
      <c r="BE85" s="2934">
        <f t="shared" si="20"/>
        <v>0</v>
      </c>
      <c r="BF85" s="2934">
        <f t="shared" si="21"/>
        <v>0</v>
      </c>
      <c r="BG85" s="2934">
        <f t="shared" si="22"/>
        <v>0</v>
      </c>
      <c r="BH85" s="2934">
        <f t="shared" si="23"/>
        <v>0</v>
      </c>
      <c r="BI85" s="2934">
        <f t="shared" si="24"/>
        <v>0</v>
      </c>
      <c r="BJ85" s="2934">
        <f t="shared" si="25"/>
        <v>0</v>
      </c>
      <c r="BK85" s="2934">
        <f t="shared" si="26"/>
        <v>0</v>
      </c>
      <c r="BL85" s="2934">
        <f t="shared" si="27"/>
        <v>0</v>
      </c>
      <c r="BM85" s="2934">
        <f t="shared" si="28"/>
        <v>0</v>
      </c>
      <c r="BN85" s="2934">
        <f t="shared" si="29"/>
        <v>0</v>
      </c>
      <c r="BO85" s="2934">
        <f t="shared" si="30"/>
        <v>0</v>
      </c>
      <c r="BP85" s="2934">
        <f t="shared" si="31"/>
        <v>0</v>
      </c>
      <c r="BQ85" s="2934">
        <f t="shared" si="32"/>
        <v>0</v>
      </c>
      <c r="BR85" s="2934">
        <f t="shared" si="33"/>
        <v>0</v>
      </c>
      <c r="BS85" s="2934">
        <f t="shared" si="34"/>
        <v>0</v>
      </c>
      <c r="BT85" s="2982">
        <f t="shared" si="35"/>
        <v>0</v>
      </c>
    </row>
    <row r="86" spans="1:72">
      <c r="A86" s="874"/>
      <c r="B86" s="882"/>
      <c r="C86" s="882"/>
      <c r="D86" s="2933"/>
      <c r="E86" s="2934">
        <f t="shared" si="7"/>
        <v>0</v>
      </c>
      <c r="F86" s="2935"/>
      <c r="G86" s="2936">
        <f t="shared" si="8"/>
        <v>0</v>
      </c>
      <c r="H86" s="2937">
        <f t="shared" si="9"/>
        <v>0</v>
      </c>
      <c r="I86" s="2944"/>
      <c r="J86" s="2944"/>
      <c r="K86" s="2944"/>
      <c r="L86" s="2944"/>
      <c r="M86" s="2944"/>
      <c r="N86" s="2944"/>
      <c r="O86" s="2944"/>
      <c r="P86" s="2944"/>
      <c r="Q86" s="2944"/>
      <c r="R86" s="2944"/>
      <c r="S86" s="2944"/>
      <c r="T86" s="2944"/>
      <c r="U86" s="2944"/>
      <c r="V86" s="2944"/>
      <c r="W86" s="2944"/>
      <c r="X86" s="2944"/>
      <c r="Y86" s="2944"/>
      <c r="Z86" s="2944"/>
      <c r="AA86" s="2944"/>
      <c r="AB86" s="2944"/>
      <c r="AC86" s="2934">
        <f t="shared" si="10"/>
        <v>0</v>
      </c>
      <c r="AD86" s="2954"/>
      <c r="AE86" s="2954"/>
      <c r="AF86" s="2954"/>
      <c r="AG86" s="2954"/>
      <c r="AH86" s="2954"/>
      <c r="AI86" s="2954"/>
      <c r="AJ86" s="2954"/>
      <c r="AK86" s="2954"/>
      <c r="AL86" s="2954"/>
      <c r="AM86" s="2954"/>
      <c r="AN86" s="2954"/>
      <c r="AO86" s="2954"/>
      <c r="AP86" s="2954"/>
      <c r="AQ86" s="2954"/>
      <c r="AR86" s="2954"/>
      <c r="AS86" s="2954"/>
      <c r="AT86" s="2935"/>
      <c r="AU86" s="2964"/>
      <c r="AV86" s="857">
        <f t="shared" si="11"/>
        <v>0</v>
      </c>
      <c r="AW86" s="857">
        <f t="shared" si="12"/>
        <v>0</v>
      </c>
      <c r="AX86" s="857">
        <f t="shared" si="13"/>
        <v>0</v>
      </c>
      <c r="AY86" s="807">
        <f t="shared" si="14"/>
        <v>0</v>
      </c>
      <c r="AZ86" s="2934">
        <f t="shared" si="15"/>
        <v>0</v>
      </c>
      <c r="BA86" s="2934">
        <f t="shared" si="16"/>
        <v>0</v>
      </c>
      <c r="BB86" s="2934">
        <f t="shared" si="17"/>
        <v>0</v>
      </c>
      <c r="BC86" s="2934">
        <f t="shared" si="18"/>
        <v>0</v>
      </c>
      <c r="BD86" s="2934">
        <f t="shared" si="19"/>
        <v>0</v>
      </c>
      <c r="BE86" s="2934">
        <f t="shared" si="20"/>
        <v>0</v>
      </c>
      <c r="BF86" s="2934">
        <f t="shared" si="21"/>
        <v>0</v>
      </c>
      <c r="BG86" s="2934">
        <f t="shared" si="22"/>
        <v>0</v>
      </c>
      <c r="BH86" s="2934">
        <f t="shared" si="23"/>
        <v>0</v>
      </c>
      <c r="BI86" s="2934">
        <f t="shared" si="24"/>
        <v>0</v>
      </c>
      <c r="BJ86" s="2934">
        <f t="shared" si="25"/>
        <v>0</v>
      </c>
      <c r="BK86" s="2934">
        <f t="shared" si="26"/>
        <v>0</v>
      </c>
      <c r="BL86" s="2934">
        <f t="shared" si="27"/>
        <v>0</v>
      </c>
      <c r="BM86" s="2934">
        <f t="shared" si="28"/>
        <v>0</v>
      </c>
      <c r="BN86" s="2934">
        <f t="shared" si="29"/>
        <v>0</v>
      </c>
      <c r="BO86" s="2934">
        <f t="shared" si="30"/>
        <v>0</v>
      </c>
      <c r="BP86" s="2934">
        <f t="shared" si="31"/>
        <v>0</v>
      </c>
      <c r="BQ86" s="2934">
        <f t="shared" si="32"/>
        <v>0</v>
      </c>
      <c r="BR86" s="2934">
        <f t="shared" si="33"/>
        <v>0</v>
      </c>
      <c r="BS86" s="2934">
        <f t="shared" si="34"/>
        <v>0</v>
      </c>
      <c r="BT86" s="2982">
        <f t="shared" si="35"/>
        <v>0</v>
      </c>
    </row>
    <row r="87" spans="1:72">
      <c r="A87" s="874"/>
      <c r="B87" s="882"/>
      <c r="C87" s="882"/>
      <c r="D87" s="2933"/>
      <c r="E87" s="2934">
        <f t="shared" si="7"/>
        <v>0</v>
      </c>
      <c r="F87" s="2935"/>
      <c r="G87" s="2936">
        <f t="shared" si="8"/>
        <v>0</v>
      </c>
      <c r="H87" s="2937">
        <f t="shared" si="9"/>
        <v>0</v>
      </c>
      <c r="I87" s="2944"/>
      <c r="J87" s="2944"/>
      <c r="K87" s="2944"/>
      <c r="L87" s="2944"/>
      <c r="M87" s="2944"/>
      <c r="N87" s="2944"/>
      <c r="O87" s="2944"/>
      <c r="P87" s="2944"/>
      <c r="Q87" s="2944"/>
      <c r="R87" s="2944"/>
      <c r="S87" s="2944"/>
      <c r="T87" s="2944"/>
      <c r="U87" s="2944"/>
      <c r="V87" s="2944"/>
      <c r="W87" s="2944"/>
      <c r="X87" s="2944"/>
      <c r="Y87" s="2944"/>
      <c r="Z87" s="2944"/>
      <c r="AA87" s="2944"/>
      <c r="AB87" s="2944"/>
      <c r="AC87" s="2934">
        <f t="shared" si="10"/>
        <v>0</v>
      </c>
      <c r="AD87" s="2954"/>
      <c r="AE87" s="2954"/>
      <c r="AF87" s="2954"/>
      <c r="AG87" s="2954"/>
      <c r="AH87" s="2954"/>
      <c r="AI87" s="2954"/>
      <c r="AJ87" s="2954"/>
      <c r="AK87" s="2954"/>
      <c r="AL87" s="2954"/>
      <c r="AM87" s="2954"/>
      <c r="AN87" s="2954"/>
      <c r="AO87" s="2954"/>
      <c r="AP87" s="2954"/>
      <c r="AQ87" s="2954"/>
      <c r="AR87" s="2954"/>
      <c r="AS87" s="2954"/>
      <c r="AT87" s="2935"/>
      <c r="AU87" s="2964"/>
      <c r="AV87" s="857">
        <f t="shared" si="11"/>
        <v>0</v>
      </c>
      <c r="AW87" s="857">
        <f t="shared" si="12"/>
        <v>0</v>
      </c>
      <c r="AX87" s="857">
        <f t="shared" si="13"/>
        <v>0</v>
      </c>
      <c r="AY87" s="807">
        <f t="shared" si="14"/>
        <v>0</v>
      </c>
      <c r="AZ87" s="2934">
        <f t="shared" si="15"/>
        <v>0</v>
      </c>
      <c r="BA87" s="2934">
        <f t="shared" si="16"/>
        <v>0</v>
      </c>
      <c r="BB87" s="2934">
        <f t="shared" si="17"/>
        <v>0</v>
      </c>
      <c r="BC87" s="2934">
        <f t="shared" si="18"/>
        <v>0</v>
      </c>
      <c r="BD87" s="2934">
        <f t="shared" si="19"/>
        <v>0</v>
      </c>
      <c r="BE87" s="2934">
        <f t="shared" si="20"/>
        <v>0</v>
      </c>
      <c r="BF87" s="2934">
        <f t="shared" si="21"/>
        <v>0</v>
      </c>
      <c r="BG87" s="2934">
        <f t="shared" si="22"/>
        <v>0</v>
      </c>
      <c r="BH87" s="2934">
        <f t="shared" si="23"/>
        <v>0</v>
      </c>
      <c r="BI87" s="2934">
        <f t="shared" si="24"/>
        <v>0</v>
      </c>
      <c r="BJ87" s="2934">
        <f t="shared" si="25"/>
        <v>0</v>
      </c>
      <c r="BK87" s="2934">
        <f t="shared" si="26"/>
        <v>0</v>
      </c>
      <c r="BL87" s="2934">
        <f t="shared" si="27"/>
        <v>0</v>
      </c>
      <c r="BM87" s="2934">
        <f t="shared" si="28"/>
        <v>0</v>
      </c>
      <c r="BN87" s="2934">
        <f t="shared" si="29"/>
        <v>0</v>
      </c>
      <c r="BO87" s="2934">
        <f t="shared" si="30"/>
        <v>0</v>
      </c>
      <c r="BP87" s="2934">
        <f t="shared" si="31"/>
        <v>0</v>
      </c>
      <c r="BQ87" s="2934">
        <f t="shared" si="32"/>
        <v>0</v>
      </c>
      <c r="BR87" s="2934">
        <f t="shared" si="33"/>
        <v>0</v>
      </c>
      <c r="BS87" s="2934">
        <f t="shared" si="34"/>
        <v>0</v>
      </c>
      <c r="BT87" s="2982">
        <f t="shared" si="35"/>
        <v>0</v>
      </c>
    </row>
    <row r="88" spans="1:72">
      <c r="A88" s="874"/>
      <c r="B88" s="882"/>
      <c r="C88" s="882"/>
      <c r="D88" s="2933"/>
      <c r="E88" s="2934">
        <f t="shared" si="7"/>
        <v>0</v>
      </c>
      <c r="F88" s="2935"/>
      <c r="G88" s="2936">
        <f t="shared" si="8"/>
        <v>0</v>
      </c>
      <c r="H88" s="2937">
        <f t="shared" si="9"/>
        <v>0</v>
      </c>
      <c r="I88" s="2944"/>
      <c r="J88" s="2944"/>
      <c r="K88" s="2944"/>
      <c r="L88" s="2944"/>
      <c r="M88" s="2944"/>
      <c r="N88" s="2944"/>
      <c r="O88" s="2944"/>
      <c r="P88" s="2944"/>
      <c r="Q88" s="2944"/>
      <c r="R88" s="2944"/>
      <c r="S88" s="2944"/>
      <c r="T88" s="2944"/>
      <c r="U88" s="2944"/>
      <c r="V88" s="2944"/>
      <c r="W88" s="2944"/>
      <c r="X88" s="2944"/>
      <c r="Y88" s="2944"/>
      <c r="Z88" s="2944"/>
      <c r="AA88" s="2944"/>
      <c r="AB88" s="2944"/>
      <c r="AC88" s="2934">
        <f t="shared" si="10"/>
        <v>0</v>
      </c>
      <c r="AD88" s="2954"/>
      <c r="AE88" s="2954"/>
      <c r="AF88" s="2954"/>
      <c r="AG88" s="2954"/>
      <c r="AH88" s="2954"/>
      <c r="AI88" s="2954"/>
      <c r="AJ88" s="2954"/>
      <c r="AK88" s="2954"/>
      <c r="AL88" s="2954"/>
      <c r="AM88" s="2954"/>
      <c r="AN88" s="2954"/>
      <c r="AO88" s="2954"/>
      <c r="AP88" s="2954"/>
      <c r="AQ88" s="2954"/>
      <c r="AR88" s="2954"/>
      <c r="AS88" s="2954"/>
      <c r="AT88" s="2935"/>
      <c r="AU88" s="2964"/>
      <c r="AV88" s="857">
        <f t="shared" si="11"/>
        <v>0</v>
      </c>
      <c r="AW88" s="857">
        <f t="shared" si="12"/>
        <v>0</v>
      </c>
      <c r="AX88" s="857">
        <f t="shared" si="13"/>
        <v>0</v>
      </c>
      <c r="AY88" s="807">
        <f t="shared" si="14"/>
        <v>0</v>
      </c>
      <c r="AZ88" s="2934">
        <f t="shared" si="15"/>
        <v>0</v>
      </c>
      <c r="BA88" s="2934">
        <f t="shared" si="16"/>
        <v>0</v>
      </c>
      <c r="BB88" s="2934">
        <f t="shared" si="17"/>
        <v>0</v>
      </c>
      <c r="BC88" s="2934">
        <f t="shared" si="18"/>
        <v>0</v>
      </c>
      <c r="BD88" s="2934">
        <f t="shared" si="19"/>
        <v>0</v>
      </c>
      <c r="BE88" s="2934">
        <f t="shared" si="20"/>
        <v>0</v>
      </c>
      <c r="BF88" s="2934">
        <f t="shared" si="21"/>
        <v>0</v>
      </c>
      <c r="BG88" s="2934">
        <f t="shared" si="22"/>
        <v>0</v>
      </c>
      <c r="BH88" s="2934">
        <f t="shared" si="23"/>
        <v>0</v>
      </c>
      <c r="BI88" s="2934">
        <f t="shared" si="24"/>
        <v>0</v>
      </c>
      <c r="BJ88" s="2934">
        <f t="shared" si="25"/>
        <v>0</v>
      </c>
      <c r="BK88" s="2934">
        <f t="shared" si="26"/>
        <v>0</v>
      </c>
      <c r="BL88" s="2934">
        <f t="shared" si="27"/>
        <v>0</v>
      </c>
      <c r="BM88" s="2934">
        <f t="shared" si="28"/>
        <v>0</v>
      </c>
      <c r="BN88" s="2934">
        <f t="shared" si="29"/>
        <v>0</v>
      </c>
      <c r="BO88" s="2934">
        <f t="shared" si="30"/>
        <v>0</v>
      </c>
      <c r="BP88" s="2934">
        <f t="shared" si="31"/>
        <v>0</v>
      </c>
      <c r="BQ88" s="2934">
        <f t="shared" si="32"/>
        <v>0</v>
      </c>
      <c r="BR88" s="2934">
        <f t="shared" si="33"/>
        <v>0</v>
      </c>
      <c r="BS88" s="2934">
        <f t="shared" si="34"/>
        <v>0</v>
      </c>
      <c r="BT88" s="2982">
        <f t="shared" si="35"/>
        <v>0</v>
      </c>
    </row>
    <row r="89" spans="1:72">
      <c r="A89" s="874"/>
      <c r="B89" s="882"/>
      <c r="C89" s="882"/>
      <c r="D89" s="2933"/>
      <c r="E89" s="2934">
        <f t="shared" si="7"/>
        <v>0</v>
      </c>
      <c r="F89" s="2935"/>
      <c r="G89" s="2936">
        <f t="shared" si="8"/>
        <v>0</v>
      </c>
      <c r="H89" s="2937">
        <f t="shared" si="9"/>
        <v>0</v>
      </c>
      <c r="I89" s="2944"/>
      <c r="J89" s="2944"/>
      <c r="K89" s="2944"/>
      <c r="L89" s="2944"/>
      <c r="M89" s="2944"/>
      <c r="N89" s="2944"/>
      <c r="O89" s="2944"/>
      <c r="P89" s="2944"/>
      <c r="Q89" s="2944"/>
      <c r="R89" s="2944"/>
      <c r="S89" s="2944"/>
      <c r="T89" s="2944"/>
      <c r="U89" s="2944"/>
      <c r="V89" s="2944"/>
      <c r="W89" s="2944"/>
      <c r="X89" s="2944"/>
      <c r="Y89" s="2944"/>
      <c r="Z89" s="2944"/>
      <c r="AA89" s="2944"/>
      <c r="AB89" s="2944"/>
      <c r="AC89" s="2934">
        <f t="shared" si="10"/>
        <v>0</v>
      </c>
      <c r="AD89" s="2954"/>
      <c r="AE89" s="2954"/>
      <c r="AF89" s="2954"/>
      <c r="AG89" s="2954"/>
      <c r="AH89" s="2954"/>
      <c r="AI89" s="2954"/>
      <c r="AJ89" s="2954"/>
      <c r="AK89" s="2954"/>
      <c r="AL89" s="2954"/>
      <c r="AM89" s="2954"/>
      <c r="AN89" s="2954"/>
      <c r="AO89" s="2954"/>
      <c r="AP89" s="2954"/>
      <c r="AQ89" s="2954"/>
      <c r="AR89" s="2954"/>
      <c r="AS89" s="2954"/>
      <c r="AT89" s="2935"/>
      <c r="AU89" s="2964"/>
      <c r="AV89" s="857">
        <f t="shared" si="11"/>
        <v>0</v>
      </c>
      <c r="AW89" s="857">
        <f t="shared" si="12"/>
        <v>0</v>
      </c>
      <c r="AX89" s="857">
        <f t="shared" si="13"/>
        <v>0</v>
      </c>
      <c r="AY89" s="807">
        <f t="shared" si="14"/>
        <v>0</v>
      </c>
      <c r="AZ89" s="2934">
        <f t="shared" si="15"/>
        <v>0</v>
      </c>
      <c r="BA89" s="2934">
        <f t="shared" si="16"/>
        <v>0</v>
      </c>
      <c r="BB89" s="2934">
        <f t="shared" si="17"/>
        <v>0</v>
      </c>
      <c r="BC89" s="2934">
        <f t="shared" si="18"/>
        <v>0</v>
      </c>
      <c r="BD89" s="2934">
        <f t="shared" si="19"/>
        <v>0</v>
      </c>
      <c r="BE89" s="2934">
        <f t="shared" si="20"/>
        <v>0</v>
      </c>
      <c r="BF89" s="2934">
        <f t="shared" si="21"/>
        <v>0</v>
      </c>
      <c r="BG89" s="2934">
        <f t="shared" si="22"/>
        <v>0</v>
      </c>
      <c r="BH89" s="2934">
        <f t="shared" si="23"/>
        <v>0</v>
      </c>
      <c r="BI89" s="2934">
        <f t="shared" si="24"/>
        <v>0</v>
      </c>
      <c r="BJ89" s="2934">
        <f t="shared" si="25"/>
        <v>0</v>
      </c>
      <c r="BK89" s="2934">
        <f t="shared" si="26"/>
        <v>0</v>
      </c>
      <c r="BL89" s="2934">
        <f t="shared" si="27"/>
        <v>0</v>
      </c>
      <c r="BM89" s="2934">
        <f t="shared" si="28"/>
        <v>0</v>
      </c>
      <c r="BN89" s="2934">
        <f t="shared" si="29"/>
        <v>0</v>
      </c>
      <c r="BO89" s="2934">
        <f t="shared" si="30"/>
        <v>0</v>
      </c>
      <c r="BP89" s="2934">
        <f t="shared" si="31"/>
        <v>0</v>
      </c>
      <c r="BQ89" s="2934">
        <f t="shared" si="32"/>
        <v>0</v>
      </c>
      <c r="BR89" s="2934">
        <f t="shared" si="33"/>
        <v>0</v>
      </c>
      <c r="BS89" s="2934">
        <f t="shared" si="34"/>
        <v>0</v>
      </c>
      <c r="BT89" s="2982">
        <f t="shared" si="35"/>
        <v>0</v>
      </c>
    </row>
    <row r="90" spans="1:72">
      <c r="A90" s="874"/>
      <c r="B90" s="882"/>
      <c r="C90" s="882"/>
      <c r="D90" s="2933"/>
      <c r="E90" s="2934">
        <f t="shared" si="7"/>
        <v>0</v>
      </c>
      <c r="F90" s="2935"/>
      <c r="G90" s="2936">
        <f t="shared" si="8"/>
        <v>0</v>
      </c>
      <c r="H90" s="2937">
        <f t="shared" si="9"/>
        <v>0</v>
      </c>
      <c r="I90" s="2944"/>
      <c r="J90" s="2944"/>
      <c r="K90" s="2944"/>
      <c r="L90" s="2944"/>
      <c r="M90" s="2944"/>
      <c r="N90" s="2944"/>
      <c r="O90" s="2944"/>
      <c r="P90" s="2944"/>
      <c r="Q90" s="2944"/>
      <c r="R90" s="2944"/>
      <c r="S90" s="2944"/>
      <c r="T90" s="2944"/>
      <c r="U90" s="2944"/>
      <c r="V90" s="2944"/>
      <c r="W90" s="2944"/>
      <c r="X90" s="2944"/>
      <c r="Y90" s="2944"/>
      <c r="Z90" s="2944"/>
      <c r="AA90" s="2944"/>
      <c r="AB90" s="2944"/>
      <c r="AC90" s="2934">
        <f t="shared" si="10"/>
        <v>0</v>
      </c>
      <c r="AD90" s="2954"/>
      <c r="AE90" s="2954"/>
      <c r="AF90" s="2954"/>
      <c r="AG90" s="2954"/>
      <c r="AH90" s="2954"/>
      <c r="AI90" s="2954"/>
      <c r="AJ90" s="2954"/>
      <c r="AK90" s="2954"/>
      <c r="AL90" s="2954"/>
      <c r="AM90" s="2954"/>
      <c r="AN90" s="2954"/>
      <c r="AO90" s="2954"/>
      <c r="AP90" s="2954"/>
      <c r="AQ90" s="2954"/>
      <c r="AR90" s="2954"/>
      <c r="AS90" s="2954"/>
      <c r="AT90" s="2935"/>
      <c r="AU90" s="2964"/>
      <c r="AV90" s="857">
        <f t="shared" si="11"/>
        <v>0</v>
      </c>
      <c r="AW90" s="857">
        <f t="shared" si="12"/>
        <v>0</v>
      </c>
      <c r="AX90" s="857">
        <f t="shared" si="13"/>
        <v>0</v>
      </c>
      <c r="AY90" s="807">
        <f t="shared" si="14"/>
        <v>0</v>
      </c>
      <c r="AZ90" s="2934">
        <f t="shared" si="15"/>
        <v>0</v>
      </c>
      <c r="BA90" s="2934">
        <f t="shared" si="16"/>
        <v>0</v>
      </c>
      <c r="BB90" s="2934">
        <f t="shared" si="17"/>
        <v>0</v>
      </c>
      <c r="BC90" s="2934">
        <f t="shared" si="18"/>
        <v>0</v>
      </c>
      <c r="BD90" s="2934">
        <f t="shared" si="19"/>
        <v>0</v>
      </c>
      <c r="BE90" s="2934">
        <f t="shared" si="20"/>
        <v>0</v>
      </c>
      <c r="BF90" s="2934">
        <f t="shared" si="21"/>
        <v>0</v>
      </c>
      <c r="BG90" s="2934">
        <f t="shared" si="22"/>
        <v>0</v>
      </c>
      <c r="BH90" s="2934">
        <f t="shared" si="23"/>
        <v>0</v>
      </c>
      <c r="BI90" s="2934">
        <f t="shared" si="24"/>
        <v>0</v>
      </c>
      <c r="BJ90" s="2934">
        <f t="shared" si="25"/>
        <v>0</v>
      </c>
      <c r="BK90" s="2934">
        <f t="shared" si="26"/>
        <v>0</v>
      </c>
      <c r="BL90" s="2934">
        <f t="shared" si="27"/>
        <v>0</v>
      </c>
      <c r="BM90" s="2934">
        <f t="shared" si="28"/>
        <v>0</v>
      </c>
      <c r="BN90" s="2934">
        <f t="shared" si="29"/>
        <v>0</v>
      </c>
      <c r="BO90" s="2934">
        <f t="shared" si="30"/>
        <v>0</v>
      </c>
      <c r="BP90" s="2934">
        <f t="shared" si="31"/>
        <v>0</v>
      </c>
      <c r="BQ90" s="2934">
        <f t="shared" si="32"/>
        <v>0</v>
      </c>
      <c r="BR90" s="2934">
        <f t="shared" si="33"/>
        <v>0</v>
      </c>
      <c r="BS90" s="2934">
        <f t="shared" si="34"/>
        <v>0</v>
      </c>
      <c r="BT90" s="2982">
        <f t="shared" si="35"/>
        <v>0</v>
      </c>
    </row>
    <row r="91" spans="1:72">
      <c r="A91" s="874"/>
      <c r="B91" s="882"/>
      <c r="C91" s="882"/>
      <c r="D91" s="2933"/>
      <c r="E91" s="2934">
        <f t="shared" si="7"/>
        <v>0</v>
      </c>
      <c r="F91" s="2935"/>
      <c r="G91" s="2936">
        <f t="shared" si="8"/>
        <v>0</v>
      </c>
      <c r="H91" s="2937">
        <f t="shared" si="9"/>
        <v>0</v>
      </c>
      <c r="I91" s="2944"/>
      <c r="J91" s="2944"/>
      <c r="K91" s="2944"/>
      <c r="L91" s="2944"/>
      <c r="M91" s="2944"/>
      <c r="N91" s="2944"/>
      <c r="O91" s="2944"/>
      <c r="P91" s="2944"/>
      <c r="Q91" s="2944"/>
      <c r="R91" s="2944"/>
      <c r="S91" s="2944"/>
      <c r="T91" s="2944"/>
      <c r="U91" s="2944"/>
      <c r="V91" s="2944"/>
      <c r="W91" s="2944"/>
      <c r="X91" s="2944"/>
      <c r="Y91" s="2944"/>
      <c r="Z91" s="2944"/>
      <c r="AA91" s="2944"/>
      <c r="AB91" s="2944"/>
      <c r="AC91" s="2934">
        <f t="shared" si="10"/>
        <v>0</v>
      </c>
      <c r="AD91" s="2954"/>
      <c r="AE91" s="2954"/>
      <c r="AF91" s="2954"/>
      <c r="AG91" s="2954"/>
      <c r="AH91" s="2954"/>
      <c r="AI91" s="2954"/>
      <c r="AJ91" s="2954"/>
      <c r="AK91" s="2954"/>
      <c r="AL91" s="2954"/>
      <c r="AM91" s="2954"/>
      <c r="AN91" s="2954"/>
      <c r="AO91" s="2954"/>
      <c r="AP91" s="2954"/>
      <c r="AQ91" s="2954"/>
      <c r="AR91" s="2954"/>
      <c r="AS91" s="2954"/>
      <c r="AT91" s="2935"/>
      <c r="AU91" s="2964"/>
      <c r="AV91" s="857">
        <f t="shared" si="11"/>
        <v>0</v>
      </c>
      <c r="AW91" s="857">
        <f t="shared" si="12"/>
        <v>0</v>
      </c>
      <c r="AX91" s="857">
        <f t="shared" si="13"/>
        <v>0</v>
      </c>
      <c r="AY91" s="807">
        <f t="shared" si="14"/>
        <v>0</v>
      </c>
      <c r="AZ91" s="2934">
        <f t="shared" si="15"/>
        <v>0</v>
      </c>
      <c r="BA91" s="2934">
        <f t="shared" si="16"/>
        <v>0</v>
      </c>
      <c r="BB91" s="2934">
        <f t="shared" si="17"/>
        <v>0</v>
      </c>
      <c r="BC91" s="2934">
        <f t="shared" si="18"/>
        <v>0</v>
      </c>
      <c r="BD91" s="2934">
        <f t="shared" si="19"/>
        <v>0</v>
      </c>
      <c r="BE91" s="2934">
        <f t="shared" si="20"/>
        <v>0</v>
      </c>
      <c r="BF91" s="2934">
        <f t="shared" si="21"/>
        <v>0</v>
      </c>
      <c r="BG91" s="2934">
        <f t="shared" si="22"/>
        <v>0</v>
      </c>
      <c r="BH91" s="2934">
        <f t="shared" si="23"/>
        <v>0</v>
      </c>
      <c r="BI91" s="2934">
        <f t="shared" si="24"/>
        <v>0</v>
      </c>
      <c r="BJ91" s="2934">
        <f t="shared" si="25"/>
        <v>0</v>
      </c>
      <c r="BK91" s="2934">
        <f t="shared" si="26"/>
        <v>0</v>
      </c>
      <c r="BL91" s="2934">
        <f t="shared" si="27"/>
        <v>0</v>
      </c>
      <c r="BM91" s="2934">
        <f t="shared" si="28"/>
        <v>0</v>
      </c>
      <c r="BN91" s="2934">
        <f t="shared" si="29"/>
        <v>0</v>
      </c>
      <c r="BO91" s="2934">
        <f t="shared" si="30"/>
        <v>0</v>
      </c>
      <c r="BP91" s="2934">
        <f t="shared" si="31"/>
        <v>0</v>
      </c>
      <c r="BQ91" s="2934">
        <f t="shared" si="32"/>
        <v>0</v>
      </c>
      <c r="BR91" s="2934">
        <f t="shared" si="33"/>
        <v>0</v>
      </c>
      <c r="BS91" s="2934">
        <f t="shared" si="34"/>
        <v>0</v>
      </c>
      <c r="BT91" s="2982">
        <f t="shared" si="35"/>
        <v>0</v>
      </c>
    </row>
    <row r="92" spans="1:72">
      <c r="A92" s="874"/>
      <c r="B92" s="882"/>
      <c r="C92" s="882"/>
      <c r="D92" s="2933"/>
      <c r="E92" s="2934">
        <f t="shared" si="7"/>
        <v>0</v>
      </c>
      <c r="F92" s="2935"/>
      <c r="G92" s="2936">
        <f t="shared" si="8"/>
        <v>0</v>
      </c>
      <c r="H92" s="2937">
        <f t="shared" si="9"/>
        <v>0</v>
      </c>
      <c r="I92" s="2944"/>
      <c r="J92" s="2944"/>
      <c r="K92" s="2944"/>
      <c r="L92" s="2944"/>
      <c r="M92" s="2944"/>
      <c r="N92" s="2944"/>
      <c r="O92" s="2944"/>
      <c r="P92" s="2944"/>
      <c r="Q92" s="2944"/>
      <c r="R92" s="2944"/>
      <c r="S92" s="2944"/>
      <c r="T92" s="2944"/>
      <c r="U92" s="2944"/>
      <c r="V92" s="2944"/>
      <c r="W92" s="2944"/>
      <c r="X92" s="2944"/>
      <c r="Y92" s="2944"/>
      <c r="Z92" s="2944"/>
      <c r="AA92" s="2944"/>
      <c r="AB92" s="2944"/>
      <c r="AC92" s="2934">
        <f t="shared" si="10"/>
        <v>0</v>
      </c>
      <c r="AD92" s="2954"/>
      <c r="AE92" s="2954"/>
      <c r="AF92" s="2954"/>
      <c r="AG92" s="2954"/>
      <c r="AH92" s="2954"/>
      <c r="AI92" s="2954"/>
      <c r="AJ92" s="2954"/>
      <c r="AK92" s="2954"/>
      <c r="AL92" s="2954"/>
      <c r="AM92" s="2954"/>
      <c r="AN92" s="2954"/>
      <c r="AO92" s="2954"/>
      <c r="AP92" s="2954"/>
      <c r="AQ92" s="2954"/>
      <c r="AR92" s="2954"/>
      <c r="AS92" s="2954"/>
      <c r="AT92" s="2935"/>
      <c r="AU92" s="2964"/>
      <c r="AV92" s="857">
        <f t="shared" si="11"/>
        <v>0</v>
      </c>
      <c r="AW92" s="857">
        <f t="shared" si="12"/>
        <v>0</v>
      </c>
      <c r="AX92" s="857">
        <f t="shared" si="13"/>
        <v>0</v>
      </c>
      <c r="AY92" s="807">
        <f t="shared" si="14"/>
        <v>0</v>
      </c>
      <c r="AZ92" s="2934">
        <f t="shared" si="15"/>
        <v>0</v>
      </c>
      <c r="BA92" s="2934">
        <f t="shared" si="16"/>
        <v>0</v>
      </c>
      <c r="BB92" s="2934">
        <f t="shared" si="17"/>
        <v>0</v>
      </c>
      <c r="BC92" s="2934">
        <f t="shared" si="18"/>
        <v>0</v>
      </c>
      <c r="BD92" s="2934">
        <f t="shared" si="19"/>
        <v>0</v>
      </c>
      <c r="BE92" s="2934">
        <f t="shared" si="20"/>
        <v>0</v>
      </c>
      <c r="BF92" s="2934">
        <f t="shared" si="21"/>
        <v>0</v>
      </c>
      <c r="BG92" s="2934">
        <f t="shared" si="22"/>
        <v>0</v>
      </c>
      <c r="BH92" s="2934">
        <f t="shared" si="23"/>
        <v>0</v>
      </c>
      <c r="BI92" s="2934">
        <f t="shared" si="24"/>
        <v>0</v>
      </c>
      <c r="BJ92" s="2934">
        <f t="shared" si="25"/>
        <v>0</v>
      </c>
      <c r="BK92" s="2934">
        <f t="shared" si="26"/>
        <v>0</v>
      </c>
      <c r="BL92" s="2934">
        <f t="shared" si="27"/>
        <v>0</v>
      </c>
      <c r="BM92" s="2934">
        <f t="shared" si="28"/>
        <v>0</v>
      </c>
      <c r="BN92" s="2934">
        <f t="shared" si="29"/>
        <v>0</v>
      </c>
      <c r="BO92" s="2934">
        <f t="shared" si="30"/>
        <v>0</v>
      </c>
      <c r="BP92" s="2934">
        <f t="shared" si="31"/>
        <v>0</v>
      </c>
      <c r="BQ92" s="2934">
        <f t="shared" si="32"/>
        <v>0</v>
      </c>
      <c r="BR92" s="2934">
        <f t="shared" si="33"/>
        <v>0</v>
      </c>
      <c r="BS92" s="2934">
        <f t="shared" si="34"/>
        <v>0</v>
      </c>
      <c r="BT92" s="2982">
        <f t="shared" si="35"/>
        <v>0</v>
      </c>
    </row>
    <row r="93" spans="1:72">
      <c r="A93" s="874"/>
      <c r="B93" s="882"/>
      <c r="C93" s="882"/>
      <c r="D93" s="2933"/>
      <c r="E93" s="2934">
        <f t="shared" si="7"/>
        <v>0</v>
      </c>
      <c r="F93" s="2935"/>
      <c r="G93" s="2936">
        <f t="shared" si="8"/>
        <v>0</v>
      </c>
      <c r="H93" s="2937">
        <f t="shared" si="9"/>
        <v>0</v>
      </c>
      <c r="I93" s="2944"/>
      <c r="J93" s="2944"/>
      <c r="K93" s="2944"/>
      <c r="L93" s="2944"/>
      <c r="M93" s="2944"/>
      <c r="N93" s="2944"/>
      <c r="O93" s="2944"/>
      <c r="P93" s="2944"/>
      <c r="Q93" s="2944"/>
      <c r="R93" s="2944"/>
      <c r="S93" s="2944"/>
      <c r="T93" s="2944"/>
      <c r="U93" s="2944"/>
      <c r="V93" s="2944"/>
      <c r="W93" s="2944"/>
      <c r="X93" s="2944"/>
      <c r="Y93" s="2944"/>
      <c r="Z93" s="2944"/>
      <c r="AA93" s="2944"/>
      <c r="AB93" s="2944"/>
      <c r="AC93" s="2934">
        <f t="shared" si="10"/>
        <v>0</v>
      </c>
      <c r="AD93" s="2954"/>
      <c r="AE93" s="2954"/>
      <c r="AF93" s="2954"/>
      <c r="AG93" s="2954"/>
      <c r="AH93" s="2954"/>
      <c r="AI93" s="2954"/>
      <c r="AJ93" s="2954"/>
      <c r="AK93" s="2954"/>
      <c r="AL93" s="2954"/>
      <c r="AM93" s="2954"/>
      <c r="AN93" s="2954"/>
      <c r="AO93" s="2954"/>
      <c r="AP93" s="2954"/>
      <c r="AQ93" s="2954"/>
      <c r="AR93" s="2954"/>
      <c r="AS93" s="2954"/>
      <c r="AT93" s="2935"/>
      <c r="AU93" s="2964"/>
      <c r="AV93" s="857">
        <f t="shared" si="11"/>
        <v>0</v>
      </c>
      <c r="AW93" s="857">
        <f t="shared" si="12"/>
        <v>0</v>
      </c>
      <c r="AX93" s="857">
        <f t="shared" si="13"/>
        <v>0</v>
      </c>
      <c r="AY93" s="807">
        <f t="shared" si="14"/>
        <v>0</v>
      </c>
      <c r="AZ93" s="2934">
        <f t="shared" si="15"/>
        <v>0</v>
      </c>
      <c r="BA93" s="2934">
        <f t="shared" si="16"/>
        <v>0</v>
      </c>
      <c r="BB93" s="2934">
        <f t="shared" si="17"/>
        <v>0</v>
      </c>
      <c r="BC93" s="2934">
        <f t="shared" si="18"/>
        <v>0</v>
      </c>
      <c r="BD93" s="2934">
        <f t="shared" si="19"/>
        <v>0</v>
      </c>
      <c r="BE93" s="2934">
        <f t="shared" si="20"/>
        <v>0</v>
      </c>
      <c r="BF93" s="2934">
        <f t="shared" si="21"/>
        <v>0</v>
      </c>
      <c r="BG93" s="2934">
        <f t="shared" si="22"/>
        <v>0</v>
      </c>
      <c r="BH93" s="2934">
        <f t="shared" si="23"/>
        <v>0</v>
      </c>
      <c r="BI93" s="2934">
        <f t="shared" si="24"/>
        <v>0</v>
      </c>
      <c r="BJ93" s="2934">
        <f t="shared" si="25"/>
        <v>0</v>
      </c>
      <c r="BK93" s="2934">
        <f t="shared" si="26"/>
        <v>0</v>
      </c>
      <c r="BL93" s="2934">
        <f t="shared" si="27"/>
        <v>0</v>
      </c>
      <c r="BM93" s="2934">
        <f t="shared" si="28"/>
        <v>0</v>
      </c>
      <c r="BN93" s="2934">
        <f t="shared" si="29"/>
        <v>0</v>
      </c>
      <c r="BO93" s="2934">
        <f t="shared" si="30"/>
        <v>0</v>
      </c>
      <c r="BP93" s="2934">
        <f t="shared" si="31"/>
        <v>0</v>
      </c>
      <c r="BQ93" s="2934">
        <f t="shared" si="32"/>
        <v>0</v>
      </c>
      <c r="BR93" s="2934">
        <f t="shared" si="33"/>
        <v>0</v>
      </c>
      <c r="BS93" s="2934">
        <f t="shared" si="34"/>
        <v>0</v>
      </c>
      <c r="BT93" s="2982">
        <f t="shared" si="35"/>
        <v>0</v>
      </c>
    </row>
    <row r="94" spans="1:72">
      <c r="A94" s="874"/>
      <c r="B94" s="882"/>
      <c r="C94" s="882"/>
      <c r="D94" s="2933"/>
      <c r="E94" s="2934">
        <f t="shared" si="7"/>
        <v>0</v>
      </c>
      <c r="F94" s="2935"/>
      <c r="G94" s="2936">
        <f t="shared" si="8"/>
        <v>0</v>
      </c>
      <c r="H94" s="2937">
        <f t="shared" si="9"/>
        <v>0</v>
      </c>
      <c r="I94" s="2944"/>
      <c r="J94" s="2944"/>
      <c r="K94" s="2944"/>
      <c r="L94" s="2944"/>
      <c r="M94" s="2944"/>
      <c r="N94" s="2944"/>
      <c r="O94" s="2944"/>
      <c r="P94" s="2944"/>
      <c r="Q94" s="2944"/>
      <c r="R94" s="2944"/>
      <c r="S94" s="2944"/>
      <c r="T94" s="2944"/>
      <c r="U94" s="2944"/>
      <c r="V94" s="2944"/>
      <c r="W94" s="2944"/>
      <c r="X94" s="2944"/>
      <c r="Y94" s="2944"/>
      <c r="Z94" s="2944"/>
      <c r="AA94" s="2944"/>
      <c r="AB94" s="2944"/>
      <c r="AC94" s="2934">
        <f t="shared" si="10"/>
        <v>0</v>
      </c>
      <c r="AD94" s="2954"/>
      <c r="AE94" s="2954"/>
      <c r="AF94" s="2954"/>
      <c r="AG94" s="2954"/>
      <c r="AH94" s="2954"/>
      <c r="AI94" s="2954"/>
      <c r="AJ94" s="2954"/>
      <c r="AK94" s="2954"/>
      <c r="AL94" s="2954"/>
      <c r="AM94" s="2954"/>
      <c r="AN94" s="2954"/>
      <c r="AO94" s="2954"/>
      <c r="AP94" s="2954"/>
      <c r="AQ94" s="2954"/>
      <c r="AR94" s="2954"/>
      <c r="AS94" s="2954"/>
      <c r="AT94" s="2935"/>
      <c r="AU94" s="2964"/>
      <c r="AV94" s="857">
        <f t="shared" si="11"/>
        <v>0</v>
      </c>
      <c r="AW94" s="857">
        <f t="shared" si="12"/>
        <v>0</v>
      </c>
      <c r="AX94" s="857">
        <f t="shared" si="13"/>
        <v>0</v>
      </c>
      <c r="AY94" s="807">
        <f t="shared" si="14"/>
        <v>0</v>
      </c>
      <c r="AZ94" s="2934">
        <f t="shared" si="15"/>
        <v>0</v>
      </c>
      <c r="BA94" s="2934">
        <f t="shared" si="16"/>
        <v>0</v>
      </c>
      <c r="BB94" s="2934">
        <f t="shared" si="17"/>
        <v>0</v>
      </c>
      <c r="BC94" s="2934">
        <f t="shared" si="18"/>
        <v>0</v>
      </c>
      <c r="BD94" s="2934">
        <f t="shared" si="19"/>
        <v>0</v>
      </c>
      <c r="BE94" s="2934">
        <f t="shared" si="20"/>
        <v>0</v>
      </c>
      <c r="BF94" s="2934">
        <f t="shared" si="21"/>
        <v>0</v>
      </c>
      <c r="BG94" s="2934">
        <f t="shared" si="22"/>
        <v>0</v>
      </c>
      <c r="BH94" s="2934">
        <f t="shared" si="23"/>
        <v>0</v>
      </c>
      <c r="BI94" s="2934">
        <f t="shared" si="24"/>
        <v>0</v>
      </c>
      <c r="BJ94" s="2934">
        <f t="shared" si="25"/>
        <v>0</v>
      </c>
      <c r="BK94" s="2934">
        <f t="shared" si="26"/>
        <v>0</v>
      </c>
      <c r="BL94" s="2934">
        <f t="shared" si="27"/>
        <v>0</v>
      </c>
      <c r="BM94" s="2934">
        <f t="shared" si="28"/>
        <v>0</v>
      </c>
      <c r="BN94" s="2934">
        <f t="shared" si="29"/>
        <v>0</v>
      </c>
      <c r="BO94" s="2934">
        <f t="shared" si="30"/>
        <v>0</v>
      </c>
      <c r="BP94" s="2934">
        <f t="shared" si="31"/>
        <v>0</v>
      </c>
      <c r="BQ94" s="2934">
        <f t="shared" si="32"/>
        <v>0</v>
      </c>
      <c r="BR94" s="2934">
        <f t="shared" si="33"/>
        <v>0</v>
      </c>
      <c r="BS94" s="2934">
        <f t="shared" si="34"/>
        <v>0</v>
      </c>
      <c r="BT94" s="2982">
        <f t="shared" si="35"/>
        <v>0</v>
      </c>
    </row>
    <row r="95" spans="1:72">
      <c r="A95" s="874"/>
      <c r="B95" s="882"/>
      <c r="C95" s="882"/>
      <c r="D95" s="2933"/>
      <c r="E95" s="2934">
        <f t="shared" si="7"/>
        <v>0</v>
      </c>
      <c r="F95" s="2935"/>
      <c r="G95" s="2936">
        <f t="shared" si="8"/>
        <v>0</v>
      </c>
      <c r="H95" s="2937">
        <f t="shared" si="9"/>
        <v>0</v>
      </c>
      <c r="I95" s="2944"/>
      <c r="J95" s="2944"/>
      <c r="K95" s="2944"/>
      <c r="L95" s="2944"/>
      <c r="M95" s="2944"/>
      <c r="N95" s="2944"/>
      <c r="O95" s="2944"/>
      <c r="P95" s="2944"/>
      <c r="Q95" s="2944"/>
      <c r="R95" s="2944"/>
      <c r="S95" s="2944"/>
      <c r="T95" s="2944"/>
      <c r="U95" s="2944"/>
      <c r="V95" s="2944"/>
      <c r="W95" s="2944"/>
      <c r="X95" s="2944"/>
      <c r="Y95" s="2944"/>
      <c r="Z95" s="2944"/>
      <c r="AA95" s="2944"/>
      <c r="AB95" s="2944"/>
      <c r="AC95" s="2934">
        <f t="shared" si="10"/>
        <v>0</v>
      </c>
      <c r="AD95" s="2954"/>
      <c r="AE95" s="2954"/>
      <c r="AF95" s="2954"/>
      <c r="AG95" s="2954"/>
      <c r="AH95" s="2954"/>
      <c r="AI95" s="2954"/>
      <c r="AJ95" s="2954"/>
      <c r="AK95" s="2954"/>
      <c r="AL95" s="2954"/>
      <c r="AM95" s="2954"/>
      <c r="AN95" s="2954"/>
      <c r="AO95" s="2954"/>
      <c r="AP95" s="2954"/>
      <c r="AQ95" s="2954"/>
      <c r="AR95" s="2954"/>
      <c r="AS95" s="2954"/>
      <c r="AT95" s="2935"/>
      <c r="AU95" s="2964"/>
      <c r="AV95" s="857">
        <f t="shared" si="11"/>
        <v>0</v>
      </c>
      <c r="AW95" s="857">
        <f t="shared" si="12"/>
        <v>0</v>
      </c>
      <c r="AX95" s="857">
        <f t="shared" si="13"/>
        <v>0</v>
      </c>
      <c r="AY95" s="807">
        <f t="shared" si="14"/>
        <v>0</v>
      </c>
      <c r="AZ95" s="2934">
        <f t="shared" si="15"/>
        <v>0</v>
      </c>
      <c r="BA95" s="2934">
        <f t="shared" si="16"/>
        <v>0</v>
      </c>
      <c r="BB95" s="2934">
        <f t="shared" si="17"/>
        <v>0</v>
      </c>
      <c r="BC95" s="2934">
        <f t="shared" si="18"/>
        <v>0</v>
      </c>
      <c r="BD95" s="2934">
        <f t="shared" si="19"/>
        <v>0</v>
      </c>
      <c r="BE95" s="2934">
        <f t="shared" si="20"/>
        <v>0</v>
      </c>
      <c r="BF95" s="2934">
        <f t="shared" si="21"/>
        <v>0</v>
      </c>
      <c r="BG95" s="2934">
        <f t="shared" si="22"/>
        <v>0</v>
      </c>
      <c r="BH95" s="2934">
        <f t="shared" si="23"/>
        <v>0</v>
      </c>
      <c r="BI95" s="2934">
        <f t="shared" si="24"/>
        <v>0</v>
      </c>
      <c r="BJ95" s="2934">
        <f t="shared" si="25"/>
        <v>0</v>
      </c>
      <c r="BK95" s="2934">
        <f t="shared" si="26"/>
        <v>0</v>
      </c>
      <c r="BL95" s="2934">
        <f t="shared" si="27"/>
        <v>0</v>
      </c>
      <c r="BM95" s="2934">
        <f t="shared" si="28"/>
        <v>0</v>
      </c>
      <c r="BN95" s="2934">
        <f t="shared" si="29"/>
        <v>0</v>
      </c>
      <c r="BO95" s="2934">
        <f t="shared" si="30"/>
        <v>0</v>
      </c>
      <c r="BP95" s="2934">
        <f t="shared" si="31"/>
        <v>0</v>
      </c>
      <c r="BQ95" s="2934">
        <f t="shared" si="32"/>
        <v>0</v>
      </c>
      <c r="BR95" s="2934">
        <f t="shared" si="33"/>
        <v>0</v>
      </c>
      <c r="BS95" s="2934">
        <f t="shared" si="34"/>
        <v>0</v>
      </c>
      <c r="BT95" s="2982">
        <f t="shared" si="35"/>
        <v>0</v>
      </c>
    </row>
    <row r="96" spans="1:72">
      <c r="A96" s="874"/>
      <c r="B96" s="882"/>
      <c r="C96" s="882"/>
      <c r="D96" s="2933"/>
      <c r="E96" s="2934">
        <f t="shared" si="7"/>
        <v>0</v>
      </c>
      <c r="F96" s="2935"/>
      <c r="G96" s="2936">
        <f t="shared" si="8"/>
        <v>0</v>
      </c>
      <c r="H96" s="2937">
        <f t="shared" si="9"/>
        <v>0</v>
      </c>
      <c r="I96" s="2944"/>
      <c r="J96" s="2944"/>
      <c r="K96" s="2944"/>
      <c r="L96" s="2944"/>
      <c r="M96" s="2944"/>
      <c r="N96" s="2944"/>
      <c r="O96" s="2944"/>
      <c r="P96" s="2944"/>
      <c r="Q96" s="2944"/>
      <c r="R96" s="2944"/>
      <c r="S96" s="2944"/>
      <c r="T96" s="2944"/>
      <c r="U96" s="2944"/>
      <c r="V96" s="2944"/>
      <c r="W96" s="2944"/>
      <c r="X96" s="2944"/>
      <c r="Y96" s="2944"/>
      <c r="Z96" s="2944"/>
      <c r="AA96" s="2944"/>
      <c r="AB96" s="2944"/>
      <c r="AC96" s="2934">
        <f t="shared" si="10"/>
        <v>0</v>
      </c>
      <c r="AD96" s="2954"/>
      <c r="AE96" s="2954"/>
      <c r="AF96" s="2954"/>
      <c r="AG96" s="2954"/>
      <c r="AH96" s="2954"/>
      <c r="AI96" s="2954"/>
      <c r="AJ96" s="2954"/>
      <c r="AK96" s="2954"/>
      <c r="AL96" s="2954"/>
      <c r="AM96" s="2954"/>
      <c r="AN96" s="2954"/>
      <c r="AO96" s="2954"/>
      <c r="AP96" s="2954"/>
      <c r="AQ96" s="2954"/>
      <c r="AR96" s="2954"/>
      <c r="AS96" s="2954"/>
      <c r="AT96" s="2935"/>
      <c r="AU96" s="2964"/>
      <c r="AV96" s="857">
        <f t="shared" si="11"/>
        <v>0</v>
      </c>
      <c r="AW96" s="857">
        <f t="shared" si="12"/>
        <v>0</v>
      </c>
      <c r="AX96" s="857">
        <f t="shared" si="13"/>
        <v>0</v>
      </c>
      <c r="AY96" s="807">
        <f t="shared" si="14"/>
        <v>0</v>
      </c>
      <c r="AZ96" s="2934">
        <f t="shared" si="15"/>
        <v>0</v>
      </c>
      <c r="BA96" s="2934">
        <f t="shared" si="16"/>
        <v>0</v>
      </c>
      <c r="BB96" s="2934">
        <f t="shared" si="17"/>
        <v>0</v>
      </c>
      <c r="BC96" s="2934">
        <f t="shared" si="18"/>
        <v>0</v>
      </c>
      <c r="BD96" s="2934">
        <f t="shared" si="19"/>
        <v>0</v>
      </c>
      <c r="BE96" s="2934">
        <f t="shared" si="20"/>
        <v>0</v>
      </c>
      <c r="BF96" s="2934">
        <f t="shared" si="21"/>
        <v>0</v>
      </c>
      <c r="BG96" s="2934">
        <f t="shared" si="22"/>
        <v>0</v>
      </c>
      <c r="BH96" s="2934">
        <f t="shared" si="23"/>
        <v>0</v>
      </c>
      <c r="BI96" s="2934">
        <f t="shared" si="24"/>
        <v>0</v>
      </c>
      <c r="BJ96" s="2934">
        <f t="shared" si="25"/>
        <v>0</v>
      </c>
      <c r="BK96" s="2934">
        <f t="shared" si="26"/>
        <v>0</v>
      </c>
      <c r="BL96" s="2934">
        <f t="shared" si="27"/>
        <v>0</v>
      </c>
      <c r="BM96" s="2934">
        <f t="shared" si="28"/>
        <v>0</v>
      </c>
      <c r="BN96" s="2934">
        <f t="shared" si="29"/>
        <v>0</v>
      </c>
      <c r="BO96" s="2934">
        <f t="shared" si="30"/>
        <v>0</v>
      </c>
      <c r="BP96" s="2934">
        <f t="shared" si="31"/>
        <v>0</v>
      </c>
      <c r="BQ96" s="2934">
        <f t="shared" si="32"/>
        <v>0</v>
      </c>
      <c r="BR96" s="2934">
        <f t="shared" si="33"/>
        <v>0</v>
      </c>
      <c r="BS96" s="2934">
        <f t="shared" si="34"/>
        <v>0</v>
      </c>
      <c r="BT96" s="2982">
        <f t="shared" si="35"/>
        <v>0</v>
      </c>
    </row>
    <row r="97" spans="1:72">
      <c r="A97" s="874"/>
      <c r="B97" s="882"/>
      <c r="C97" s="882"/>
      <c r="D97" s="2933"/>
      <c r="E97" s="2934">
        <f t="shared" si="7"/>
        <v>0</v>
      </c>
      <c r="F97" s="2935"/>
      <c r="G97" s="2936">
        <f t="shared" si="8"/>
        <v>0</v>
      </c>
      <c r="H97" s="2937">
        <f t="shared" si="9"/>
        <v>0</v>
      </c>
      <c r="I97" s="2944"/>
      <c r="J97" s="2944"/>
      <c r="K97" s="2944"/>
      <c r="L97" s="2944"/>
      <c r="M97" s="2944"/>
      <c r="N97" s="2944"/>
      <c r="O97" s="2944"/>
      <c r="P97" s="2944"/>
      <c r="Q97" s="2944"/>
      <c r="R97" s="2944"/>
      <c r="S97" s="2944"/>
      <c r="T97" s="2944"/>
      <c r="U97" s="2944"/>
      <c r="V97" s="2944"/>
      <c r="W97" s="2944"/>
      <c r="X97" s="2944"/>
      <c r="Y97" s="2944"/>
      <c r="Z97" s="2944"/>
      <c r="AA97" s="2944"/>
      <c r="AB97" s="2944"/>
      <c r="AC97" s="2934">
        <f t="shared" si="10"/>
        <v>0</v>
      </c>
      <c r="AD97" s="2954"/>
      <c r="AE97" s="2954"/>
      <c r="AF97" s="2954"/>
      <c r="AG97" s="2954"/>
      <c r="AH97" s="2954"/>
      <c r="AI97" s="2954"/>
      <c r="AJ97" s="2954"/>
      <c r="AK97" s="2954"/>
      <c r="AL97" s="2954"/>
      <c r="AM97" s="2954"/>
      <c r="AN97" s="2954"/>
      <c r="AO97" s="2954"/>
      <c r="AP97" s="2954"/>
      <c r="AQ97" s="2954"/>
      <c r="AR97" s="2954"/>
      <c r="AS97" s="2954"/>
      <c r="AT97" s="2935"/>
      <c r="AU97" s="2964"/>
      <c r="AV97" s="857">
        <f t="shared" si="11"/>
        <v>0</v>
      </c>
      <c r="AW97" s="857">
        <f t="shared" si="12"/>
        <v>0</v>
      </c>
      <c r="AX97" s="857">
        <f t="shared" si="13"/>
        <v>0</v>
      </c>
      <c r="AY97" s="807">
        <f t="shared" si="14"/>
        <v>0</v>
      </c>
      <c r="AZ97" s="2934">
        <f t="shared" si="15"/>
        <v>0</v>
      </c>
      <c r="BA97" s="2934">
        <f t="shared" si="16"/>
        <v>0</v>
      </c>
      <c r="BB97" s="2934">
        <f t="shared" si="17"/>
        <v>0</v>
      </c>
      <c r="BC97" s="2934">
        <f t="shared" si="18"/>
        <v>0</v>
      </c>
      <c r="BD97" s="2934">
        <f t="shared" si="19"/>
        <v>0</v>
      </c>
      <c r="BE97" s="2934">
        <f t="shared" si="20"/>
        <v>0</v>
      </c>
      <c r="BF97" s="2934">
        <f t="shared" si="21"/>
        <v>0</v>
      </c>
      <c r="BG97" s="2934">
        <f t="shared" si="22"/>
        <v>0</v>
      </c>
      <c r="BH97" s="2934">
        <f t="shared" si="23"/>
        <v>0</v>
      </c>
      <c r="BI97" s="2934">
        <f t="shared" si="24"/>
        <v>0</v>
      </c>
      <c r="BJ97" s="2934">
        <f t="shared" si="25"/>
        <v>0</v>
      </c>
      <c r="BK97" s="2934">
        <f t="shared" si="26"/>
        <v>0</v>
      </c>
      <c r="BL97" s="2934">
        <f t="shared" si="27"/>
        <v>0</v>
      </c>
      <c r="BM97" s="2934">
        <f t="shared" si="28"/>
        <v>0</v>
      </c>
      <c r="BN97" s="2934">
        <f t="shared" si="29"/>
        <v>0</v>
      </c>
      <c r="BO97" s="2934">
        <f t="shared" si="30"/>
        <v>0</v>
      </c>
      <c r="BP97" s="2934">
        <f t="shared" si="31"/>
        <v>0</v>
      </c>
      <c r="BQ97" s="2934">
        <f t="shared" si="32"/>
        <v>0</v>
      </c>
      <c r="BR97" s="2934">
        <f t="shared" si="33"/>
        <v>0</v>
      </c>
      <c r="BS97" s="2934">
        <f t="shared" si="34"/>
        <v>0</v>
      </c>
      <c r="BT97" s="2982">
        <f t="shared" si="35"/>
        <v>0</v>
      </c>
    </row>
    <row r="98" spans="1:72">
      <c r="A98" s="874"/>
      <c r="B98" s="882"/>
      <c r="C98" s="882"/>
      <c r="D98" s="2933"/>
      <c r="E98" s="2934">
        <f t="shared" si="7"/>
        <v>0</v>
      </c>
      <c r="F98" s="2935"/>
      <c r="G98" s="2936">
        <f t="shared" si="8"/>
        <v>0</v>
      </c>
      <c r="H98" s="2937">
        <f t="shared" si="9"/>
        <v>0</v>
      </c>
      <c r="I98" s="2944"/>
      <c r="J98" s="2944"/>
      <c r="K98" s="2944"/>
      <c r="L98" s="2944"/>
      <c r="M98" s="2944"/>
      <c r="N98" s="2944"/>
      <c r="O98" s="2944"/>
      <c r="P98" s="2944"/>
      <c r="Q98" s="2944"/>
      <c r="R98" s="2944"/>
      <c r="S98" s="2944"/>
      <c r="T98" s="2944"/>
      <c r="U98" s="2944"/>
      <c r="V98" s="2944"/>
      <c r="W98" s="2944"/>
      <c r="X98" s="2944"/>
      <c r="Y98" s="2944"/>
      <c r="Z98" s="2944"/>
      <c r="AA98" s="2944"/>
      <c r="AB98" s="2944"/>
      <c r="AC98" s="2934">
        <f t="shared" si="10"/>
        <v>0</v>
      </c>
      <c r="AD98" s="2954"/>
      <c r="AE98" s="2954"/>
      <c r="AF98" s="2954"/>
      <c r="AG98" s="2954"/>
      <c r="AH98" s="2954"/>
      <c r="AI98" s="2954"/>
      <c r="AJ98" s="2954"/>
      <c r="AK98" s="2954"/>
      <c r="AL98" s="2954"/>
      <c r="AM98" s="2954"/>
      <c r="AN98" s="2954"/>
      <c r="AO98" s="2954"/>
      <c r="AP98" s="2954"/>
      <c r="AQ98" s="2954"/>
      <c r="AR98" s="2954"/>
      <c r="AS98" s="2954"/>
      <c r="AT98" s="2935"/>
      <c r="AU98" s="2964"/>
      <c r="AV98" s="857">
        <f t="shared" si="11"/>
        <v>0</v>
      </c>
      <c r="AW98" s="857">
        <f t="shared" si="12"/>
        <v>0</v>
      </c>
      <c r="AX98" s="857">
        <f t="shared" si="13"/>
        <v>0</v>
      </c>
      <c r="AY98" s="807">
        <f t="shared" si="14"/>
        <v>0</v>
      </c>
      <c r="AZ98" s="2934">
        <f t="shared" si="15"/>
        <v>0</v>
      </c>
      <c r="BA98" s="2934">
        <f t="shared" si="16"/>
        <v>0</v>
      </c>
      <c r="BB98" s="2934">
        <f t="shared" si="17"/>
        <v>0</v>
      </c>
      <c r="BC98" s="2934">
        <f t="shared" si="18"/>
        <v>0</v>
      </c>
      <c r="BD98" s="2934">
        <f t="shared" si="19"/>
        <v>0</v>
      </c>
      <c r="BE98" s="2934">
        <f t="shared" si="20"/>
        <v>0</v>
      </c>
      <c r="BF98" s="2934">
        <f t="shared" si="21"/>
        <v>0</v>
      </c>
      <c r="BG98" s="2934">
        <f t="shared" si="22"/>
        <v>0</v>
      </c>
      <c r="BH98" s="2934">
        <f t="shared" si="23"/>
        <v>0</v>
      </c>
      <c r="BI98" s="2934">
        <f t="shared" si="24"/>
        <v>0</v>
      </c>
      <c r="BJ98" s="2934">
        <f t="shared" si="25"/>
        <v>0</v>
      </c>
      <c r="BK98" s="2934">
        <f t="shared" si="26"/>
        <v>0</v>
      </c>
      <c r="BL98" s="2934">
        <f t="shared" si="27"/>
        <v>0</v>
      </c>
      <c r="BM98" s="2934">
        <f t="shared" si="28"/>
        <v>0</v>
      </c>
      <c r="BN98" s="2934">
        <f t="shared" si="29"/>
        <v>0</v>
      </c>
      <c r="BO98" s="2934">
        <f t="shared" si="30"/>
        <v>0</v>
      </c>
      <c r="BP98" s="2934">
        <f t="shared" si="31"/>
        <v>0</v>
      </c>
      <c r="BQ98" s="2934">
        <f t="shared" si="32"/>
        <v>0</v>
      </c>
      <c r="BR98" s="2934">
        <f t="shared" si="33"/>
        <v>0</v>
      </c>
      <c r="BS98" s="2934">
        <f t="shared" si="34"/>
        <v>0</v>
      </c>
      <c r="BT98" s="2982">
        <f t="shared" si="35"/>
        <v>0</v>
      </c>
    </row>
    <row r="99" spans="1:72">
      <c r="A99" s="874"/>
      <c r="B99" s="882"/>
      <c r="C99" s="882"/>
      <c r="D99" s="2933"/>
      <c r="E99" s="2934">
        <f t="shared" si="7"/>
        <v>0</v>
      </c>
      <c r="F99" s="2935"/>
      <c r="G99" s="2936">
        <f t="shared" si="8"/>
        <v>0</v>
      </c>
      <c r="H99" s="2937">
        <f t="shared" si="9"/>
        <v>0</v>
      </c>
      <c r="I99" s="2944"/>
      <c r="J99" s="2944"/>
      <c r="K99" s="2944"/>
      <c r="L99" s="2944"/>
      <c r="M99" s="2944"/>
      <c r="N99" s="2944"/>
      <c r="O99" s="2944"/>
      <c r="P99" s="2944"/>
      <c r="Q99" s="2944"/>
      <c r="R99" s="2944"/>
      <c r="S99" s="2944"/>
      <c r="T99" s="2944"/>
      <c r="U99" s="2944"/>
      <c r="V99" s="2944"/>
      <c r="W99" s="2944"/>
      <c r="X99" s="2944"/>
      <c r="Y99" s="2944"/>
      <c r="Z99" s="2944"/>
      <c r="AA99" s="2944"/>
      <c r="AB99" s="2944"/>
      <c r="AC99" s="2934">
        <f t="shared" si="10"/>
        <v>0</v>
      </c>
      <c r="AD99" s="2954"/>
      <c r="AE99" s="2954"/>
      <c r="AF99" s="2954"/>
      <c r="AG99" s="2954"/>
      <c r="AH99" s="2954"/>
      <c r="AI99" s="2954"/>
      <c r="AJ99" s="2954"/>
      <c r="AK99" s="2954"/>
      <c r="AL99" s="2954"/>
      <c r="AM99" s="2954"/>
      <c r="AN99" s="2954"/>
      <c r="AO99" s="2954"/>
      <c r="AP99" s="2954"/>
      <c r="AQ99" s="2954"/>
      <c r="AR99" s="2954"/>
      <c r="AS99" s="2954"/>
      <c r="AT99" s="2935"/>
      <c r="AU99" s="2964"/>
      <c r="AV99" s="857">
        <f t="shared" si="11"/>
        <v>0</v>
      </c>
      <c r="AW99" s="857">
        <f t="shared" si="12"/>
        <v>0</v>
      </c>
      <c r="AX99" s="857">
        <f t="shared" si="13"/>
        <v>0</v>
      </c>
      <c r="AY99" s="807">
        <f t="shared" si="14"/>
        <v>0</v>
      </c>
      <c r="AZ99" s="2934">
        <f t="shared" si="15"/>
        <v>0</v>
      </c>
      <c r="BA99" s="2934">
        <f t="shared" si="16"/>
        <v>0</v>
      </c>
      <c r="BB99" s="2934">
        <f t="shared" si="17"/>
        <v>0</v>
      </c>
      <c r="BC99" s="2934">
        <f t="shared" si="18"/>
        <v>0</v>
      </c>
      <c r="BD99" s="2934">
        <f t="shared" si="19"/>
        <v>0</v>
      </c>
      <c r="BE99" s="2934">
        <f t="shared" si="20"/>
        <v>0</v>
      </c>
      <c r="BF99" s="2934">
        <f t="shared" si="21"/>
        <v>0</v>
      </c>
      <c r="BG99" s="2934">
        <f t="shared" si="22"/>
        <v>0</v>
      </c>
      <c r="BH99" s="2934">
        <f t="shared" si="23"/>
        <v>0</v>
      </c>
      <c r="BI99" s="2934">
        <f t="shared" si="24"/>
        <v>0</v>
      </c>
      <c r="BJ99" s="2934">
        <f t="shared" si="25"/>
        <v>0</v>
      </c>
      <c r="BK99" s="2934">
        <f t="shared" si="26"/>
        <v>0</v>
      </c>
      <c r="BL99" s="2934">
        <f t="shared" si="27"/>
        <v>0</v>
      </c>
      <c r="BM99" s="2934">
        <f t="shared" si="28"/>
        <v>0</v>
      </c>
      <c r="BN99" s="2934">
        <f t="shared" si="29"/>
        <v>0</v>
      </c>
      <c r="BO99" s="2934">
        <f t="shared" si="30"/>
        <v>0</v>
      </c>
      <c r="BP99" s="2934">
        <f t="shared" si="31"/>
        <v>0</v>
      </c>
      <c r="BQ99" s="2934">
        <f t="shared" si="32"/>
        <v>0</v>
      </c>
      <c r="BR99" s="2934">
        <f t="shared" si="33"/>
        <v>0</v>
      </c>
      <c r="BS99" s="2934">
        <f t="shared" si="34"/>
        <v>0</v>
      </c>
      <c r="BT99" s="2982">
        <f t="shared" si="35"/>
        <v>0</v>
      </c>
    </row>
    <row r="100" spans="1:72">
      <c r="A100" s="874"/>
      <c r="B100" s="882"/>
      <c r="C100" s="882"/>
      <c r="D100" s="2933"/>
      <c r="E100" s="2934">
        <f t="shared" si="7"/>
        <v>0</v>
      </c>
      <c r="F100" s="2935"/>
      <c r="G100" s="2936">
        <f t="shared" si="8"/>
        <v>0</v>
      </c>
      <c r="H100" s="2937">
        <f t="shared" si="9"/>
        <v>0</v>
      </c>
      <c r="I100" s="2944"/>
      <c r="J100" s="2944"/>
      <c r="K100" s="2944"/>
      <c r="L100" s="2944"/>
      <c r="M100" s="2944"/>
      <c r="N100" s="2944"/>
      <c r="O100" s="2944"/>
      <c r="P100" s="2944"/>
      <c r="Q100" s="2944"/>
      <c r="R100" s="2944"/>
      <c r="S100" s="2944"/>
      <c r="T100" s="2944"/>
      <c r="U100" s="2944"/>
      <c r="V100" s="2944"/>
      <c r="W100" s="2944"/>
      <c r="X100" s="2944"/>
      <c r="Y100" s="2944"/>
      <c r="Z100" s="2944"/>
      <c r="AA100" s="2944"/>
      <c r="AB100" s="2944"/>
      <c r="AC100" s="2934">
        <f t="shared" si="10"/>
        <v>0</v>
      </c>
      <c r="AD100" s="2954"/>
      <c r="AE100" s="2954"/>
      <c r="AF100" s="2954"/>
      <c r="AG100" s="2954"/>
      <c r="AH100" s="2954"/>
      <c r="AI100" s="2954"/>
      <c r="AJ100" s="2954"/>
      <c r="AK100" s="2954"/>
      <c r="AL100" s="2954"/>
      <c r="AM100" s="2954"/>
      <c r="AN100" s="2954"/>
      <c r="AO100" s="2954"/>
      <c r="AP100" s="2954"/>
      <c r="AQ100" s="2954"/>
      <c r="AR100" s="2954"/>
      <c r="AS100" s="2954"/>
      <c r="AT100" s="2935"/>
      <c r="AU100" s="2964"/>
      <c r="AV100" s="857">
        <f t="shared" si="11"/>
        <v>0</v>
      </c>
      <c r="AW100" s="857">
        <f t="shared" si="12"/>
        <v>0</v>
      </c>
      <c r="AX100" s="857">
        <f t="shared" si="13"/>
        <v>0</v>
      </c>
      <c r="AY100" s="807">
        <f t="shared" si="14"/>
        <v>0</v>
      </c>
      <c r="AZ100" s="2934">
        <f t="shared" si="15"/>
        <v>0</v>
      </c>
      <c r="BA100" s="2934">
        <f t="shared" si="16"/>
        <v>0</v>
      </c>
      <c r="BB100" s="2934">
        <f t="shared" si="17"/>
        <v>0</v>
      </c>
      <c r="BC100" s="2934">
        <f t="shared" si="18"/>
        <v>0</v>
      </c>
      <c r="BD100" s="2934">
        <f t="shared" si="19"/>
        <v>0</v>
      </c>
      <c r="BE100" s="2934">
        <f t="shared" si="20"/>
        <v>0</v>
      </c>
      <c r="BF100" s="2934">
        <f t="shared" si="21"/>
        <v>0</v>
      </c>
      <c r="BG100" s="2934">
        <f t="shared" si="22"/>
        <v>0</v>
      </c>
      <c r="BH100" s="2934">
        <f t="shared" si="23"/>
        <v>0</v>
      </c>
      <c r="BI100" s="2934">
        <f t="shared" si="24"/>
        <v>0</v>
      </c>
      <c r="BJ100" s="2934">
        <f t="shared" si="25"/>
        <v>0</v>
      </c>
      <c r="BK100" s="2934">
        <f t="shared" si="26"/>
        <v>0</v>
      </c>
      <c r="BL100" s="2934">
        <f t="shared" si="27"/>
        <v>0</v>
      </c>
      <c r="BM100" s="2934">
        <f t="shared" si="28"/>
        <v>0</v>
      </c>
      <c r="BN100" s="2934">
        <f t="shared" si="29"/>
        <v>0</v>
      </c>
      <c r="BO100" s="2934">
        <f t="shared" si="30"/>
        <v>0</v>
      </c>
      <c r="BP100" s="2934">
        <f t="shared" si="31"/>
        <v>0</v>
      </c>
      <c r="BQ100" s="2934">
        <f t="shared" si="32"/>
        <v>0</v>
      </c>
      <c r="BR100" s="2934">
        <f t="shared" si="33"/>
        <v>0</v>
      </c>
      <c r="BS100" s="2934">
        <f t="shared" si="34"/>
        <v>0</v>
      </c>
      <c r="BT100" s="2982">
        <f t="shared" si="35"/>
        <v>0</v>
      </c>
    </row>
    <row r="101" spans="1:72">
      <c r="A101" s="874"/>
      <c r="B101" s="882"/>
      <c r="C101" s="882"/>
      <c r="D101" s="2933"/>
      <c r="E101" s="2934">
        <f t="shared" si="7"/>
        <v>0</v>
      </c>
      <c r="F101" s="2935"/>
      <c r="G101" s="2936">
        <f t="shared" si="8"/>
        <v>0</v>
      </c>
      <c r="H101" s="2937">
        <f t="shared" si="9"/>
        <v>0</v>
      </c>
      <c r="I101" s="2944"/>
      <c r="J101" s="2944"/>
      <c r="K101" s="2944"/>
      <c r="L101" s="2944"/>
      <c r="M101" s="2944"/>
      <c r="N101" s="2944"/>
      <c r="O101" s="2944"/>
      <c r="P101" s="2944"/>
      <c r="Q101" s="2944"/>
      <c r="R101" s="2944"/>
      <c r="S101" s="2944"/>
      <c r="T101" s="2944"/>
      <c r="U101" s="2944"/>
      <c r="V101" s="2944"/>
      <c r="W101" s="2944"/>
      <c r="X101" s="2944"/>
      <c r="Y101" s="2944"/>
      <c r="Z101" s="2944"/>
      <c r="AA101" s="2944"/>
      <c r="AB101" s="2944"/>
      <c r="AC101" s="2934">
        <f t="shared" si="10"/>
        <v>0</v>
      </c>
      <c r="AD101" s="2954"/>
      <c r="AE101" s="2954"/>
      <c r="AF101" s="2954"/>
      <c r="AG101" s="2954"/>
      <c r="AH101" s="2954"/>
      <c r="AI101" s="2954"/>
      <c r="AJ101" s="2954"/>
      <c r="AK101" s="2954"/>
      <c r="AL101" s="2954"/>
      <c r="AM101" s="2954"/>
      <c r="AN101" s="2954"/>
      <c r="AO101" s="2954"/>
      <c r="AP101" s="2954"/>
      <c r="AQ101" s="2954"/>
      <c r="AR101" s="2954"/>
      <c r="AS101" s="2954"/>
      <c r="AT101" s="2935"/>
      <c r="AU101" s="2964"/>
      <c r="AV101" s="857">
        <f t="shared" si="11"/>
        <v>0</v>
      </c>
      <c r="AW101" s="857">
        <f t="shared" si="12"/>
        <v>0</v>
      </c>
      <c r="AX101" s="857">
        <f t="shared" si="13"/>
        <v>0</v>
      </c>
      <c r="AY101" s="807">
        <f t="shared" si="14"/>
        <v>0</v>
      </c>
      <c r="AZ101" s="2934">
        <f t="shared" si="15"/>
        <v>0</v>
      </c>
      <c r="BA101" s="2934">
        <f t="shared" si="16"/>
        <v>0</v>
      </c>
      <c r="BB101" s="2934">
        <f t="shared" si="17"/>
        <v>0</v>
      </c>
      <c r="BC101" s="2934">
        <f t="shared" si="18"/>
        <v>0</v>
      </c>
      <c r="BD101" s="2934">
        <f t="shared" si="19"/>
        <v>0</v>
      </c>
      <c r="BE101" s="2934">
        <f t="shared" si="20"/>
        <v>0</v>
      </c>
      <c r="BF101" s="2934">
        <f t="shared" si="21"/>
        <v>0</v>
      </c>
      <c r="BG101" s="2934">
        <f t="shared" si="22"/>
        <v>0</v>
      </c>
      <c r="BH101" s="2934">
        <f t="shared" si="23"/>
        <v>0</v>
      </c>
      <c r="BI101" s="2934">
        <f t="shared" si="24"/>
        <v>0</v>
      </c>
      <c r="BJ101" s="2934">
        <f t="shared" si="25"/>
        <v>0</v>
      </c>
      <c r="BK101" s="2934">
        <f t="shared" si="26"/>
        <v>0</v>
      </c>
      <c r="BL101" s="2934">
        <f t="shared" si="27"/>
        <v>0</v>
      </c>
      <c r="BM101" s="2934">
        <f t="shared" si="28"/>
        <v>0</v>
      </c>
      <c r="BN101" s="2934">
        <f t="shared" si="29"/>
        <v>0</v>
      </c>
      <c r="BO101" s="2934">
        <f t="shared" si="30"/>
        <v>0</v>
      </c>
      <c r="BP101" s="2934">
        <f t="shared" si="31"/>
        <v>0</v>
      </c>
      <c r="BQ101" s="2934">
        <f t="shared" si="32"/>
        <v>0</v>
      </c>
      <c r="BR101" s="2934">
        <f t="shared" si="33"/>
        <v>0</v>
      </c>
      <c r="BS101" s="2934">
        <f t="shared" si="34"/>
        <v>0</v>
      </c>
      <c r="BT101" s="2982">
        <f t="shared" si="35"/>
        <v>0</v>
      </c>
    </row>
    <row r="102" spans="1:72">
      <c r="A102" s="874"/>
      <c r="B102" s="882"/>
      <c r="C102" s="882"/>
      <c r="D102" s="2933"/>
      <c r="E102" s="2934">
        <f t="shared" si="7"/>
        <v>0</v>
      </c>
      <c r="F102" s="2935"/>
      <c r="G102" s="2936">
        <f t="shared" si="8"/>
        <v>0</v>
      </c>
      <c r="H102" s="2937">
        <f t="shared" si="9"/>
        <v>0</v>
      </c>
      <c r="I102" s="2944"/>
      <c r="J102" s="2944"/>
      <c r="K102" s="2944"/>
      <c r="L102" s="2944"/>
      <c r="M102" s="2944"/>
      <c r="N102" s="2944"/>
      <c r="O102" s="2944"/>
      <c r="P102" s="2944"/>
      <c r="Q102" s="2944"/>
      <c r="R102" s="2944"/>
      <c r="S102" s="2944"/>
      <c r="T102" s="2944"/>
      <c r="U102" s="2944"/>
      <c r="V102" s="2944"/>
      <c r="W102" s="2944"/>
      <c r="X102" s="2944"/>
      <c r="Y102" s="2944"/>
      <c r="Z102" s="2944"/>
      <c r="AA102" s="2944"/>
      <c r="AB102" s="2944"/>
      <c r="AC102" s="2934">
        <f t="shared" si="10"/>
        <v>0</v>
      </c>
      <c r="AD102" s="2954"/>
      <c r="AE102" s="2954"/>
      <c r="AF102" s="2954"/>
      <c r="AG102" s="2954"/>
      <c r="AH102" s="2954"/>
      <c r="AI102" s="2954"/>
      <c r="AJ102" s="2954"/>
      <c r="AK102" s="2954"/>
      <c r="AL102" s="2954"/>
      <c r="AM102" s="2954"/>
      <c r="AN102" s="2954"/>
      <c r="AO102" s="2954"/>
      <c r="AP102" s="2954"/>
      <c r="AQ102" s="2954"/>
      <c r="AR102" s="2954"/>
      <c r="AS102" s="2954"/>
      <c r="AT102" s="2935"/>
      <c r="AU102" s="2964"/>
      <c r="AV102" s="857">
        <f t="shared" si="11"/>
        <v>0</v>
      </c>
      <c r="AW102" s="857">
        <f t="shared" si="12"/>
        <v>0</v>
      </c>
      <c r="AX102" s="857">
        <f t="shared" si="13"/>
        <v>0</v>
      </c>
      <c r="AY102" s="807">
        <f t="shared" si="14"/>
        <v>0</v>
      </c>
      <c r="AZ102" s="2934">
        <f t="shared" si="15"/>
        <v>0</v>
      </c>
      <c r="BA102" s="2934">
        <f t="shared" si="16"/>
        <v>0</v>
      </c>
      <c r="BB102" s="2934">
        <f t="shared" si="17"/>
        <v>0</v>
      </c>
      <c r="BC102" s="2934">
        <f t="shared" si="18"/>
        <v>0</v>
      </c>
      <c r="BD102" s="2934">
        <f t="shared" si="19"/>
        <v>0</v>
      </c>
      <c r="BE102" s="2934">
        <f t="shared" si="20"/>
        <v>0</v>
      </c>
      <c r="BF102" s="2934">
        <f t="shared" si="21"/>
        <v>0</v>
      </c>
      <c r="BG102" s="2934">
        <f t="shared" si="22"/>
        <v>0</v>
      </c>
      <c r="BH102" s="2934">
        <f t="shared" si="23"/>
        <v>0</v>
      </c>
      <c r="BI102" s="2934">
        <f t="shared" si="24"/>
        <v>0</v>
      </c>
      <c r="BJ102" s="2934">
        <f t="shared" si="25"/>
        <v>0</v>
      </c>
      <c r="BK102" s="2934">
        <f t="shared" si="26"/>
        <v>0</v>
      </c>
      <c r="BL102" s="2934">
        <f t="shared" si="27"/>
        <v>0</v>
      </c>
      <c r="BM102" s="2934">
        <f t="shared" si="28"/>
        <v>0</v>
      </c>
      <c r="BN102" s="2934">
        <f t="shared" si="29"/>
        <v>0</v>
      </c>
      <c r="BO102" s="2934">
        <f t="shared" si="30"/>
        <v>0</v>
      </c>
      <c r="BP102" s="2934">
        <f t="shared" si="31"/>
        <v>0</v>
      </c>
      <c r="BQ102" s="2934">
        <f t="shared" si="32"/>
        <v>0</v>
      </c>
      <c r="BR102" s="2934">
        <f t="shared" si="33"/>
        <v>0</v>
      </c>
      <c r="BS102" s="2934">
        <f t="shared" si="34"/>
        <v>0</v>
      </c>
      <c r="BT102" s="2982">
        <f t="shared" si="35"/>
        <v>0</v>
      </c>
    </row>
    <row r="103" spans="1:72">
      <c r="A103" s="874"/>
      <c r="B103" s="882"/>
      <c r="C103" s="882"/>
      <c r="D103" s="2933"/>
      <c r="E103" s="2934">
        <f t="shared" si="7"/>
        <v>0</v>
      </c>
      <c r="F103" s="2935"/>
      <c r="G103" s="2936">
        <f t="shared" si="8"/>
        <v>0</v>
      </c>
      <c r="H103" s="2937">
        <f t="shared" si="9"/>
        <v>0</v>
      </c>
      <c r="I103" s="2944"/>
      <c r="J103" s="2944"/>
      <c r="K103" s="2944"/>
      <c r="L103" s="2944"/>
      <c r="M103" s="2944"/>
      <c r="N103" s="2944"/>
      <c r="O103" s="2944"/>
      <c r="P103" s="2944"/>
      <c r="Q103" s="2944"/>
      <c r="R103" s="2944"/>
      <c r="S103" s="2944"/>
      <c r="T103" s="2944"/>
      <c r="U103" s="2944"/>
      <c r="V103" s="2944"/>
      <c r="W103" s="2944"/>
      <c r="X103" s="2944"/>
      <c r="Y103" s="2944"/>
      <c r="Z103" s="2944"/>
      <c r="AA103" s="2944"/>
      <c r="AB103" s="2944"/>
      <c r="AC103" s="2934">
        <f t="shared" si="10"/>
        <v>0</v>
      </c>
      <c r="AD103" s="2954"/>
      <c r="AE103" s="2954"/>
      <c r="AF103" s="2954"/>
      <c r="AG103" s="2954"/>
      <c r="AH103" s="2954"/>
      <c r="AI103" s="2954"/>
      <c r="AJ103" s="2954"/>
      <c r="AK103" s="2954"/>
      <c r="AL103" s="2954"/>
      <c r="AM103" s="2954"/>
      <c r="AN103" s="2954"/>
      <c r="AO103" s="2954"/>
      <c r="AP103" s="2954"/>
      <c r="AQ103" s="2954"/>
      <c r="AR103" s="2954"/>
      <c r="AS103" s="2954"/>
      <c r="AT103" s="2935"/>
      <c r="AU103" s="2964"/>
      <c r="AV103" s="857">
        <f t="shared" si="11"/>
        <v>0</v>
      </c>
      <c r="AW103" s="857">
        <f t="shared" si="12"/>
        <v>0</v>
      </c>
      <c r="AX103" s="857">
        <f t="shared" si="13"/>
        <v>0</v>
      </c>
      <c r="AY103" s="807">
        <f t="shared" si="14"/>
        <v>0</v>
      </c>
      <c r="AZ103" s="2934">
        <f t="shared" si="15"/>
        <v>0</v>
      </c>
      <c r="BA103" s="2934">
        <f t="shared" si="16"/>
        <v>0</v>
      </c>
      <c r="BB103" s="2934">
        <f t="shared" si="17"/>
        <v>0</v>
      </c>
      <c r="BC103" s="2934">
        <f t="shared" si="18"/>
        <v>0</v>
      </c>
      <c r="BD103" s="2934">
        <f t="shared" si="19"/>
        <v>0</v>
      </c>
      <c r="BE103" s="2934">
        <f t="shared" si="20"/>
        <v>0</v>
      </c>
      <c r="BF103" s="2934">
        <f t="shared" si="21"/>
        <v>0</v>
      </c>
      <c r="BG103" s="2934">
        <f t="shared" si="22"/>
        <v>0</v>
      </c>
      <c r="BH103" s="2934">
        <f t="shared" si="23"/>
        <v>0</v>
      </c>
      <c r="BI103" s="2934">
        <f t="shared" si="24"/>
        <v>0</v>
      </c>
      <c r="BJ103" s="2934">
        <f t="shared" si="25"/>
        <v>0</v>
      </c>
      <c r="BK103" s="2934">
        <f t="shared" si="26"/>
        <v>0</v>
      </c>
      <c r="BL103" s="2934">
        <f t="shared" si="27"/>
        <v>0</v>
      </c>
      <c r="BM103" s="2934">
        <f t="shared" si="28"/>
        <v>0</v>
      </c>
      <c r="BN103" s="2934">
        <f t="shared" si="29"/>
        <v>0</v>
      </c>
      <c r="BO103" s="2934">
        <f t="shared" si="30"/>
        <v>0</v>
      </c>
      <c r="BP103" s="2934">
        <f t="shared" si="31"/>
        <v>0</v>
      </c>
      <c r="BQ103" s="2934">
        <f t="shared" si="32"/>
        <v>0</v>
      </c>
      <c r="BR103" s="2934">
        <f t="shared" si="33"/>
        <v>0</v>
      </c>
      <c r="BS103" s="2934">
        <f t="shared" si="34"/>
        <v>0</v>
      </c>
      <c r="BT103" s="2982">
        <f t="shared" si="35"/>
        <v>0</v>
      </c>
    </row>
    <row r="104" spans="1:72">
      <c r="A104" s="874"/>
      <c r="B104" s="882"/>
      <c r="C104" s="882"/>
      <c r="D104" s="2933"/>
      <c r="E104" s="2934">
        <f t="shared" si="7"/>
        <v>0</v>
      </c>
      <c r="F104" s="2935"/>
      <c r="G104" s="2936">
        <f t="shared" si="8"/>
        <v>0</v>
      </c>
      <c r="H104" s="2937">
        <f t="shared" si="9"/>
        <v>0</v>
      </c>
      <c r="I104" s="2944"/>
      <c r="J104" s="2944"/>
      <c r="K104" s="2944"/>
      <c r="L104" s="2944"/>
      <c r="M104" s="2944"/>
      <c r="N104" s="2944"/>
      <c r="O104" s="2944"/>
      <c r="P104" s="2944"/>
      <c r="Q104" s="2944"/>
      <c r="R104" s="2944"/>
      <c r="S104" s="2944"/>
      <c r="T104" s="2944"/>
      <c r="U104" s="2944"/>
      <c r="V104" s="2944"/>
      <c r="W104" s="2944"/>
      <c r="X104" s="2944"/>
      <c r="Y104" s="2944"/>
      <c r="Z104" s="2944"/>
      <c r="AA104" s="2944"/>
      <c r="AB104" s="2944"/>
      <c r="AC104" s="2934">
        <f t="shared" si="10"/>
        <v>0</v>
      </c>
      <c r="AD104" s="2954"/>
      <c r="AE104" s="2954"/>
      <c r="AF104" s="2954"/>
      <c r="AG104" s="2954"/>
      <c r="AH104" s="2954"/>
      <c r="AI104" s="2954"/>
      <c r="AJ104" s="2954"/>
      <c r="AK104" s="2954"/>
      <c r="AL104" s="2954"/>
      <c r="AM104" s="2954"/>
      <c r="AN104" s="2954"/>
      <c r="AO104" s="2954"/>
      <c r="AP104" s="2954"/>
      <c r="AQ104" s="2954"/>
      <c r="AR104" s="2954"/>
      <c r="AS104" s="2954"/>
      <c r="AT104" s="2935"/>
      <c r="AU104" s="2964"/>
      <c r="AV104" s="857">
        <f t="shared" si="11"/>
        <v>0</v>
      </c>
      <c r="AW104" s="857">
        <f t="shared" si="12"/>
        <v>0</v>
      </c>
      <c r="AX104" s="857">
        <f t="shared" si="13"/>
        <v>0</v>
      </c>
      <c r="AY104" s="807">
        <f t="shared" si="14"/>
        <v>0</v>
      </c>
      <c r="AZ104" s="2934">
        <f t="shared" si="15"/>
        <v>0</v>
      </c>
      <c r="BA104" s="2934">
        <f t="shared" si="16"/>
        <v>0</v>
      </c>
      <c r="BB104" s="2934">
        <f t="shared" si="17"/>
        <v>0</v>
      </c>
      <c r="BC104" s="2934">
        <f t="shared" si="18"/>
        <v>0</v>
      </c>
      <c r="BD104" s="2934">
        <f t="shared" si="19"/>
        <v>0</v>
      </c>
      <c r="BE104" s="2934">
        <f t="shared" si="20"/>
        <v>0</v>
      </c>
      <c r="BF104" s="2934">
        <f t="shared" si="21"/>
        <v>0</v>
      </c>
      <c r="BG104" s="2934">
        <f t="shared" si="22"/>
        <v>0</v>
      </c>
      <c r="BH104" s="2934">
        <f t="shared" si="23"/>
        <v>0</v>
      </c>
      <c r="BI104" s="2934">
        <f t="shared" si="24"/>
        <v>0</v>
      </c>
      <c r="BJ104" s="2934">
        <f t="shared" si="25"/>
        <v>0</v>
      </c>
      <c r="BK104" s="2934">
        <f t="shared" si="26"/>
        <v>0</v>
      </c>
      <c r="BL104" s="2934">
        <f t="shared" si="27"/>
        <v>0</v>
      </c>
      <c r="BM104" s="2934">
        <f t="shared" si="28"/>
        <v>0</v>
      </c>
      <c r="BN104" s="2934">
        <f t="shared" si="29"/>
        <v>0</v>
      </c>
      <c r="BO104" s="2934">
        <f t="shared" si="30"/>
        <v>0</v>
      </c>
      <c r="BP104" s="2934">
        <f t="shared" si="31"/>
        <v>0</v>
      </c>
      <c r="BQ104" s="2934">
        <f t="shared" si="32"/>
        <v>0</v>
      </c>
      <c r="BR104" s="2934">
        <f t="shared" si="33"/>
        <v>0</v>
      </c>
      <c r="BS104" s="2934">
        <f t="shared" si="34"/>
        <v>0</v>
      </c>
      <c r="BT104" s="2982">
        <f t="shared" si="35"/>
        <v>0</v>
      </c>
    </row>
    <row r="105" spans="1:72">
      <c r="A105" s="874"/>
      <c r="B105" s="882"/>
      <c r="C105" s="882"/>
      <c r="D105" s="2933"/>
      <c r="E105" s="2934">
        <f t="shared" si="7"/>
        <v>0</v>
      </c>
      <c r="F105" s="2935"/>
      <c r="G105" s="2936">
        <f t="shared" si="8"/>
        <v>0</v>
      </c>
      <c r="H105" s="2937">
        <f t="shared" si="9"/>
        <v>0</v>
      </c>
      <c r="I105" s="2944"/>
      <c r="J105" s="2944"/>
      <c r="K105" s="2944"/>
      <c r="L105" s="2944"/>
      <c r="M105" s="2944"/>
      <c r="N105" s="2944"/>
      <c r="O105" s="2944"/>
      <c r="P105" s="2944"/>
      <c r="Q105" s="2944"/>
      <c r="R105" s="2944"/>
      <c r="S105" s="2944"/>
      <c r="T105" s="2944"/>
      <c r="U105" s="2944"/>
      <c r="V105" s="2944"/>
      <c r="W105" s="2944"/>
      <c r="X105" s="2944"/>
      <c r="Y105" s="2944"/>
      <c r="Z105" s="2944"/>
      <c r="AA105" s="2944"/>
      <c r="AB105" s="2944"/>
      <c r="AC105" s="2934">
        <f t="shared" si="10"/>
        <v>0</v>
      </c>
      <c r="AD105" s="2954"/>
      <c r="AE105" s="2954"/>
      <c r="AF105" s="2954"/>
      <c r="AG105" s="2954"/>
      <c r="AH105" s="2954"/>
      <c r="AI105" s="2954"/>
      <c r="AJ105" s="2954"/>
      <c r="AK105" s="2954"/>
      <c r="AL105" s="2954"/>
      <c r="AM105" s="2954"/>
      <c r="AN105" s="2954"/>
      <c r="AO105" s="2954"/>
      <c r="AP105" s="2954"/>
      <c r="AQ105" s="2954"/>
      <c r="AR105" s="2954"/>
      <c r="AS105" s="2954"/>
      <c r="AT105" s="2935"/>
      <c r="AU105" s="2964"/>
      <c r="AV105" s="857">
        <f t="shared" si="11"/>
        <v>0</v>
      </c>
      <c r="AW105" s="857">
        <f t="shared" si="12"/>
        <v>0</v>
      </c>
      <c r="AX105" s="857">
        <f t="shared" si="13"/>
        <v>0</v>
      </c>
      <c r="AY105" s="807">
        <f t="shared" si="14"/>
        <v>0</v>
      </c>
      <c r="AZ105" s="2934">
        <f t="shared" si="15"/>
        <v>0</v>
      </c>
      <c r="BA105" s="2934">
        <f t="shared" si="16"/>
        <v>0</v>
      </c>
      <c r="BB105" s="2934">
        <f t="shared" si="17"/>
        <v>0</v>
      </c>
      <c r="BC105" s="2934">
        <f t="shared" si="18"/>
        <v>0</v>
      </c>
      <c r="BD105" s="2934">
        <f t="shared" si="19"/>
        <v>0</v>
      </c>
      <c r="BE105" s="2934">
        <f t="shared" si="20"/>
        <v>0</v>
      </c>
      <c r="BF105" s="2934">
        <f t="shared" si="21"/>
        <v>0</v>
      </c>
      <c r="BG105" s="2934">
        <f t="shared" si="22"/>
        <v>0</v>
      </c>
      <c r="BH105" s="2934">
        <f t="shared" si="23"/>
        <v>0</v>
      </c>
      <c r="BI105" s="2934">
        <f t="shared" si="24"/>
        <v>0</v>
      </c>
      <c r="BJ105" s="2934">
        <f t="shared" si="25"/>
        <v>0</v>
      </c>
      <c r="BK105" s="2934">
        <f t="shared" si="26"/>
        <v>0</v>
      </c>
      <c r="BL105" s="2934">
        <f t="shared" si="27"/>
        <v>0</v>
      </c>
      <c r="BM105" s="2934">
        <f t="shared" si="28"/>
        <v>0</v>
      </c>
      <c r="BN105" s="2934">
        <f t="shared" si="29"/>
        <v>0</v>
      </c>
      <c r="BO105" s="2934">
        <f t="shared" si="30"/>
        <v>0</v>
      </c>
      <c r="BP105" s="2934">
        <f t="shared" si="31"/>
        <v>0</v>
      </c>
      <c r="BQ105" s="2934">
        <f t="shared" si="32"/>
        <v>0</v>
      </c>
      <c r="BR105" s="2934">
        <f t="shared" si="33"/>
        <v>0</v>
      </c>
      <c r="BS105" s="2934">
        <f t="shared" si="34"/>
        <v>0</v>
      </c>
      <c r="BT105" s="2982">
        <f t="shared" si="35"/>
        <v>0</v>
      </c>
    </row>
    <row r="106" spans="1:72">
      <c r="A106" s="874"/>
      <c r="B106" s="882"/>
      <c r="C106" s="882"/>
      <c r="D106" s="2933"/>
      <c r="E106" s="2934">
        <f t="shared" si="7"/>
        <v>0</v>
      </c>
      <c r="F106" s="2935"/>
      <c r="G106" s="2936">
        <f t="shared" si="8"/>
        <v>0</v>
      </c>
      <c r="H106" s="2937">
        <f t="shared" si="9"/>
        <v>0</v>
      </c>
      <c r="I106" s="2944"/>
      <c r="J106" s="2944"/>
      <c r="K106" s="2944"/>
      <c r="L106" s="2944"/>
      <c r="M106" s="2944"/>
      <c r="N106" s="2944"/>
      <c r="O106" s="2944"/>
      <c r="P106" s="2944"/>
      <c r="Q106" s="2944"/>
      <c r="R106" s="2944"/>
      <c r="S106" s="2944"/>
      <c r="T106" s="2944"/>
      <c r="U106" s="2944"/>
      <c r="V106" s="2944"/>
      <c r="W106" s="2944"/>
      <c r="X106" s="2944"/>
      <c r="Y106" s="2944"/>
      <c r="Z106" s="2944"/>
      <c r="AA106" s="2944"/>
      <c r="AB106" s="2944"/>
      <c r="AC106" s="2934">
        <f t="shared" si="10"/>
        <v>0</v>
      </c>
      <c r="AD106" s="2954"/>
      <c r="AE106" s="2954"/>
      <c r="AF106" s="2954"/>
      <c r="AG106" s="2954"/>
      <c r="AH106" s="2954"/>
      <c r="AI106" s="2954"/>
      <c r="AJ106" s="2954"/>
      <c r="AK106" s="2954"/>
      <c r="AL106" s="2954"/>
      <c r="AM106" s="2954"/>
      <c r="AN106" s="2954"/>
      <c r="AO106" s="2954"/>
      <c r="AP106" s="2954"/>
      <c r="AQ106" s="2954"/>
      <c r="AR106" s="2954"/>
      <c r="AS106" s="2954"/>
      <c r="AT106" s="2935"/>
      <c r="AU106" s="2964"/>
      <c r="AV106" s="857">
        <f t="shared" si="11"/>
        <v>0</v>
      </c>
      <c r="AW106" s="857">
        <f t="shared" si="12"/>
        <v>0</v>
      </c>
      <c r="AX106" s="857">
        <f t="shared" si="13"/>
        <v>0</v>
      </c>
      <c r="AY106" s="807">
        <f t="shared" si="14"/>
        <v>0</v>
      </c>
      <c r="AZ106" s="2934">
        <f t="shared" si="15"/>
        <v>0</v>
      </c>
      <c r="BA106" s="2934">
        <f t="shared" si="16"/>
        <v>0</v>
      </c>
      <c r="BB106" s="2934">
        <f t="shared" si="17"/>
        <v>0</v>
      </c>
      <c r="BC106" s="2934">
        <f t="shared" si="18"/>
        <v>0</v>
      </c>
      <c r="BD106" s="2934">
        <f t="shared" si="19"/>
        <v>0</v>
      </c>
      <c r="BE106" s="2934">
        <f t="shared" si="20"/>
        <v>0</v>
      </c>
      <c r="BF106" s="2934">
        <f t="shared" si="21"/>
        <v>0</v>
      </c>
      <c r="BG106" s="2934">
        <f t="shared" si="22"/>
        <v>0</v>
      </c>
      <c r="BH106" s="2934">
        <f t="shared" si="23"/>
        <v>0</v>
      </c>
      <c r="BI106" s="2934">
        <f t="shared" si="24"/>
        <v>0</v>
      </c>
      <c r="BJ106" s="2934">
        <f t="shared" si="25"/>
        <v>0</v>
      </c>
      <c r="BK106" s="2934">
        <f t="shared" si="26"/>
        <v>0</v>
      </c>
      <c r="BL106" s="2934">
        <f t="shared" si="27"/>
        <v>0</v>
      </c>
      <c r="BM106" s="2934">
        <f t="shared" si="28"/>
        <v>0</v>
      </c>
      <c r="BN106" s="2934">
        <f t="shared" si="29"/>
        <v>0</v>
      </c>
      <c r="BO106" s="2934">
        <f t="shared" si="30"/>
        <v>0</v>
      </c>
      <c r="BP106" s="2934">
        <f t="shared" si="31"/>
        <v>0</v>
      </c>
      <c r="BQ106" s="2934">
        <f t="shared" si="32"/>
        <v>0</v>
      </c>
      <c r="BR106" s="2934">
        <f t="shared" si="33"/>
        <v>0</v>
      </c>
      <c r="BS106" s="2934">
        <f t="shared" si="34"/>
        <v>0</v>
      </c>
      <c r="BT106" s="2982">
        <f t="shared" si="35"/>
        <v>0</v>
      </c>
    </row>
    <row r="107" spans="1:72">
      <c r="A107" s="874"/>
      <c r="B107" s="882"/>
      <c r="C107" s="882"/>
      <c r="D107" s="2933"/>
      <c r="E107" s="2934">
        <f t="shared" si="7"/>
        <v>0</v>
      </c>
      <c r="F107" s="2935"/>
      <c r="G107" s="2936">
        <f t="shared" si="8"/>
        <v>0</v>
      </c>
      <c r="H107" s="2937">
        <f t="shared" si="9"/>
        <v>0</v>
      </c>
      <c r="I107" s="2944"/>
      <c r="J107" s="2944"/>
      <c r="K107" s="2944"/>
      <c r="L107" s="2944"/>
      <c r="M107" s="2944"/>
      <c r="N107" s="2944"/>
      <c r="O107" s="2944"/>
      <c r="P107" s="2944"/>
      <c r="Q107" s="2944"/>
      <c r="R107" s="2944"/>
      <c r="S107" s="2944"/>
      <c r="T107" s="2944"/>
      <c r="U107" s="2944"/>
      <c r="V107" s="2944"/>
      <c r="W107" s="2944"/>
      <c r="X107" s="2944"/>
      <c r="Y107" s="2944"/>
      <c r="Z107" s="2944"/>
      <c r="AA107" s="2944"/>
      <c r="AB107" s="2944"/>
      <c r="AC107" s="2934">
        <f t="shared" si="10"/>
        <v>0</v>
      </c>
      <c r="AD107" s="2954"/>
      <c r="AE107" s="2954"/>
      <c r="AF107" s="2954"/>
      <c r="AG107" s="2954"/>
      <c r="AH107" s="2954"/>
      <c r="AI107" s="2954"/>
      <c r="AJ107" s="2954"/>
      <c r="AK107" s="2954"/>
      <c r="AL107" s="2954"/>
      <c r="AM107" s="2954"/>
      <c r="AN107" s="2954"/>
      <c r="AO107" s="2954"/>
      <c r="AP107" s="2954"/>
      <c r="AQ107" s="2954"/>
      <c r="AR107" s="2954"/>
      <c r="AS107" s="2954"/>
      <c r="AT107" s="2935"/>
      <c r="AU107" s="2964"/>
      <c r="AV107" s="857">
        <f t="shared" si="11"/>
        <v>0</v>
      </c>
      <c r="AW107" s="857">
        <f t="shared" si="12"/>
        <v>0</v>
      </c>
      <c r="AX107" s="857">
        <f t="shared" si="13"/>
        <v>0</v>
      </c>
      <c r="AY107" s="807">
        <f t="shared" si="14"/>
        <v>0</v>
      </c>
      <c r="AZ107" s="2934">
        <f t="shared" si="15"/>
        <v>0</v>
      </c>
      <c r="BA107" s="2934">
        <f t="shared" si="16"/>
        <v>0</v>
      </c>
      <c r="BB107" s="2934">
        <f t="shared" si="17"/>
        <v>0</v>
      </c>
      <c r="BC107" s="2934">
        <f t="shared" si="18"/>
        <v>0</v>
      </c>
      <c r="BD107" s="2934">
        <f t="shared" si="19"/>
        <v>0</v>
      </c>
      <c r="BE107" s="2934">
        <f t="shared" si="20"/>
        <v>0</v>
      </c>
      <c r="BF107" s="2934">
        <f t="shared" si="21"/>
        <v>0</v>
      </c>
      <c r="BG107" s="2934">
        <f t="shared" si="22"/>
        <v>0</v>
      </c>
      <c r="BH107" s="2934">
        <f t="shared" si="23"/>
        <v>0</v>
      </c>
      <c r="BI107" s="2934">
        <f t="shared" si="24"/>
        <v>0</v>
      </c>
      <c r="BJ107" s="2934">
        <f t="shared" si="25"/>
        <v>0</v>
      </c>
      <c r="BK107" s="2934">
        <f t="shared" si="26"/>
        <v>0</v>
      </c>
      <c r="BL107" s="2934">
        <f t="shared" si="27"/>
        <v>0</v>
      </c>
      <c r="BM107" s="2934">
        <f t="shared" si="28"/>
        <v>0</v>
      </c>
      <c r="BN107" s="2934">
        <f t="shared" si="29"/>
        <v>0</v>
      </c>
      <c r="BO107" s="2934">
        <f t="shared" si="30"/>
        <v>0</v>
      </c>
      <c r="BP107" s="2934">
        <f t="shared" si="31"/>
        <v>0</v>
      </c>
      <c r="BQ107" s="2934">
        <f t="shared" si="32"/>
        <v>0</v>
      </c>
      <c r="BR107" s="2934">
        <f t="shared" si="33"/>
        <v>0</v>
      </c>
      <c r="BS107" s="2934">
        <f t="shared" si="34"/>
        <v>0</v>
      </c>
      <c r="BT107" s="2982">
        <f t="shared" si="35"/>
        <v>0</v>
      </c>
    </row>
    <row r="108" spans="1:72">
      <c r="A108" s="874"/>
      <c r="B108" s="882"/>
      <c r="C108" s="882"/>
      <c r="D108" s="2933"/>
      <c r="E108" s="2934">
        <f t="shared" si="7"/>
        <v>0</v>
      </c>
      <c r="F108" s="2935"/>
      <c r="G108" s="2936">
        <f t="shared" si="8"/>
        <v>0</v>
      </c>
      <c r="H108" s="2937">
        <f t="shared" si="9"/>
        <v>0</v>
      </c>
      <c r="I108" s="2944"/>
      <c r="J108" s="2944"/>
      <c r="K108" s="2944"/>
      <c r="L108" s="2944"/>
      <c r="M108" s="2944"/>
      <c r="N108" s="2944"/>
      <c r="O108" s="2944"/>
      <c r="P108" s="2944"/>
      <c r="Q108" s="2944"/>
      <c r="R108" s="2944"/>
      <c r="S108" s="2944"/>
      <c r="T108" s="2944"/>
      <c r="U108" s="2944"/>
      <c r="V108" s="2944"/>
      <c r="W108" s="2944"/>
      <c r="X108" s="2944"/>
      <c r="Y108" s="2944"/>
      <c r="Z108" s="2944"/>
      <c r="AA108" s="2944"/>
      <c r="AB108" s="2944"/>
      <c r="AC108" s="2934">
        <f t="shared" si="10"/>
        <v>0</v>
      </c>
      <c r="AD108" s="2954"/>
      <c r="AE108" s="2954"/>
      <c r="AF108" s="2954"/>
      <c r="AG108" s="2954"/>
      <c r="AH108" s="2954"/>
      <c r="AI108" s="2954"/>
      <c r="AJ108" s="2954"/>
      <c r="AK108" s="2954"/>
      <c r="AL108" s="2954"/>
      <c r="AM108" s="2954"/>
      <c r="AN108" s="2954"/>
      <c r="AO108" s="2954"/>
      <c r="AP108" s="2954"/>
      <c r="AQ108" s="2954"/>
      <c r="AR108" s="2954"/>
      <c r="AS108" s="2954"/>
      <c r="AT108" s="2935"/>
      <c r="AU108" s="2964"/>
      <c r="AV108" s="857">
        <f t="shared" si="11"/>
        <v>0</v>
      </c>
      <c r="AW108" s="857">
        <f t="shared" si="12"/>
        <v>0</v>
      </c>
      <c r="AX108" s="857">
        <f t="shared" si="13"/>
        <v>0</v>
      </c>
      <c r="AY108" s="807">
        <f t="shared" si="14"/>
        <v>0</v>
      </c>
      <c r="AZ108" s="2934">
        <f t="shared" si="15"/>
        <v>0</v>
      </c>
      <c r="BA108" s="2934">
        <f t="shared" si="16"/>
        <v>0</v>
      </c>
      <c r="BB108" s="2934">
        <f t="shared" si="17"/>
        <v>0</v>
      </c>
      <c r="BC108" s="2934">
        <f t="shared" si="18"/>
        <v>0</v>
      </c>
      <c r="BD108" s="2934">
        <f t="shared" si="19"/>
        <v>0</v>
      </c>
      <c r="BE108" s="2934">
        <f t="shared" si="20"/>
        <v>0</v>
      </c>
      <c r="BF108" s="2934">
        <f t="shared" si="21"/>
        <v>0</v>
      </c>
      <c r="BG108" s="2934">
        <f t="shared" si="22"/>
        <v>0</v>
      </c>
      <c r="BH108" s="2934">
        <f t="shared" si="23"/>
        <v>0</v>
      </c>
      <c r="BI108" s="2934">
        <f t="shared" si="24"/>
        <v>0</v>
      </c>
      <c r="BJ108" s="2934">
        <f t="shared" si="25"/>
        <v>0</v>
      </c>
      <c r="BK108" s="2934">
        <f t="shared" si="26"/>
        <v>0</v>
      </c>
      <c r="BL108" s="2934">
        <f t="shared" si="27"/>
        <v>0</v>
      </c>
      <c r="BM108" s="2934">
        <f t="shared" si="28"/>
        <v>0</v>
      </c>
      <c r="BN108" s="2934">
        <f t="shared" si="29"/>
        <v>0</v>
      </c>
      <c r="BO108" s="2934">
        <f t="shared" si="30"/>
        <v>0</v>
      </c>
      <c r="BP108" s="2934">
        <f t="shared" si="31"/>
        <v>0</v>
      </c>
      <c r="BQ108" s="2934">
        <f t="shared" si="32"/>
        <v>0</v>
      </c>
      <c r="BR108" s="2934">
        <f t="shared" si="33"/>
        <v>0</v>
      </c>
      <c r="BS108" s="2934">
        <f t="shared" si="34"/>
        <v>0</v>
      </c>
      <c r="BT108" s="2982">
        <f t="shared" si="35"/>
        <v>0</v>
      </c>
    </row>
    <row r="109" spans="1:72">
      <c r="A109" s="874"/>
      <c r="B109" s="882"/>
      <c r="C109" s="882"/>
      <c r="D109" s="2933"/>
      <c r="E109" s="2934">
        <f t="shared" si="7"/>
        <v>0</v>
      </c>
      <c r="F109" s="2935"/>
      <c r="G109" s="2936">
        <f t="shared" si="8"/>
        <v>0</v>
      </c>
      <c r="H109" s="2937">
        <f t="shared" si="9"/>
        <v>0</v>
      </c>
      <c r="I109" s="2944"/>
      <c r="J109" s="2944"/>
      <c r="K109" s="2944"/>
      <c r="L109" s="2944"/>
      <c r="M109" s="2944"/>
      <c r="N109" s="2944"/>
      <c r="O109" s="2944"/>
      <c r="P109" s="2944"/>
      <c r="Q109" s="2944"/>
      <c r="R109" s="2944"/>
      <c r="S109" s="2944"/>
      <c r="T109" s="2944"/>
      <c r="U109" s="2944"/>
      <c r="V109" s="2944"/>
      <c r="W109" s="2944"/>
      <c r="X109" s="2944"/>
      <c r="Y109" s="2944"/>
      <c r="Z109" s="2944"/>
      <c r="AA109" s="2944"/>
      <c r="AB109" s="2944"/>
      <c r="AC109" s="2934">
        <f t="shared" si="10"/>
        <v>0</v>
      </c>
      <c r="AD109" s="2954"/>
      <c r="AE109" s="2954"/>
      <c r="AF109" s="2954"/>
      <c r="AG109" s="2954"/>
      <c r="AH109" s="2954"/>
      <c r="AI109" s="2954"/>
      <c r="AJ109" s="2954"/>
      <c r="AK109" s="2954"/>
      <c r="AL109" s="2954"/>
      <c r="AM109" s="2954"/>
      <c r="AN109" s="2954"/>
      <c r="AO109" s="2954"/>
      <c r="AP109" s="2954"/>
      <c r="AQ109" s="2954"/>
      <c r="AR109" s="2954"/>
      <c r="AS109" s="2954"/>
      <c r="AT109" s="2935"/>
      <c r="AU109" s="2964"/>
      <c r="AV109" s="857">
        <f t="shared" si="11"/>
        <v>0</v>
      </c>
      <c r="AW109" s="857">
        <f t="shared" si="12"/>
        <v>0</v>
      </c>
      <c r="AX109" s="857">
        <f t="shared" si="13"/>
        <v>0</v>
      </c>
      <c r="AY109" s="807">
        <f t="shared" si="14"/>
        <v>0</v>
      </c>
      <c r="AZ109" s="2934">
        <f t="shared" si="15"/>
        <v>0</v>
      </c>
      <c r="BA109" s="2934">
        <f t="shared" si="16"/>
        <v>0</v>
      </c>
      <c r="BB109" s="2934">
        <f t="shared" si="17"/>
        <v>0</v>
      </c>
      <c r="BC109" s="2934">
        <f t="shared" si="18"/>
        <v>0</v>
      </c>
      <c r="BD109" s="2934">
        <f t="shared" si="19"/>
        <v>0</v>
      </c>
      <c r="BE109" s="2934">
        <f t="shared" si="20"/>
        <v>0</v>
      </c>
      <c r="BF109" s="2934">
        <f t="shared" si="21"/>
        <v>0</v>
      </c>
      <c r="BG109" s="2934">
        <f t="shared" si="22"/>
        <v>0</v>
      </c>
      <c r="BH109" s="2934">
        <f t="shared" si="23"/>
        <v>0</v>
      </c>
      <c r="BI109" s="2934">
        <f t="shared" si="24"/>
        <v>0</v>
      </c>
      <c r="BJ109" s="2934">
        <f t="shared" si="25"/>
        <v>0</v>
      </c>
      <c r="BK109" s="2934">
        <f t="shared" si="26"/>
        <v>0</v>
      </c>
      <c r="BL109" s="2934">
        <f t="shared" si="27"/>
        <v>0</v>
      </c>
      <c r="BM109" s="2934">
        <f t="shared" si="28"/>
        <v>0</v>
      </c>
      <c r="BN109" s="2934">
        <f t="shared" si="29"/>
        <v>0</v>
      </c>
      <c r="BO109" s="2934">
        <f t="shared" si="30"/>
        <v>0</v>
      </c>
      <c r="BP109" s="2934">
        <f t="shared" si="31"/>
        <v>0</v>
      </c>
      <c r="BQ109" s="2934">
        <f t="shared" si="32"/>
        <v>0</v>
      </c>
      <c r="BR109" s="2934">
        <f t="shared" si="33"/>
        <v>0</v>
      </c>
      <c r="BS109" s="2934">
        <f t="shared" si="34"/>
        <v>0</v>
      </c>
      <c r="BT109" s="2982">
        <f t="shared" si="35"/>
        <v>0</v>
      </c>
    </row>
    <row r="110" spans="1:72">
      <c r="A110" s="874"/>
      <c r="B110" s="874"/>
      <c r="C110" s="874"/>
      <c r="D110" s="2933"/>
      <c r="E110" s="2934">
        <f t="shared" si="7"/>
        <v>0</v>
      </c>
      <c r="F110" s="2954"/>
      <c r="G110" s="2936">
        <f t="shared" ref="G110:G141" si="36">H110+AC110+AT110</f>
        <v>0</v>
      </c>
      <c r="H110" s="2937">
        <f t="shared" ref="H110:H141" si="37">SUMIF(I$12:AB$12,"总值",I110:AB110)</f>
        <v>0</v>
      </c>
      <c r="I110" s="2983"/>
      <c r="J110" s="2983"/>
      <c r="K110" s="2944"/>
      <c r="L110" s="2944"/>
      <c r="M110" s="2944"/>
      <c r="N110" s="2944"/>
      <c r="O110" s="2944"/>
      <c r="P110" s="2944"/>
      <c r="Q110" s="2944"/>
      <c r="R110" s="2944"/>
      <c r="S110" s="2944"/>
      <c r="T110" s="2944"/>
      <c r="U110" s="2944"/>
      <c r="V110" s="2944"/>
      <c r="W110" s="2944"/>
      <c r="X110" s="2944"/>
      <c r="Y110" s="2944"/>
      <c r="Z110" s="2944"/>
      <c r="AA110" s="2944"/>
      <c r="AB110" s="2944"/>
      <c r="AC110" s="2934">
        <f t="shared" ref="AC110:AC141" si="38">SUMIF(AD$12:AS$12,"总值",AD110:AS110)</f>
        <v>0</v>
      </c>
      <c r="AD110" s="2954"/>
      <c r="AE110" s="2954"/>
      <c r="AF110" s="2954"/>
      <c r="AG110" s="2954"/>
      <c r="AH110" s="2954"/>
      <c r="AI110" s="2954"/>
      <c r="AJ110" s="2954"/>
      <c r="AK110" s="2954"/>
      <c r="AL110" s="2954"/>
      <c r="AM110" s="2954"/>
      <c r="AN110" s="2954"/>
      <c r="AO110" s="2954"/>
      <c r="AP110" s="2954"/>
      <c r="AQ110" s="2954"/>
      <c r="AR110" s="2954"/>
      <c r="AS110" s="2954"/>
      <c r="AT110" s="2954"/>
      <c r="AU110" s="917"/>
      <c r="AV110" s="857">
        <f t="shared" si="11"/>
        <v>0</v>
      </c>
      <c r="AW110" s="857">
        <f t="shared" si="12"/>
        <v>0</v>
      </c>
      <c r="AX110" s="857">
        <f t="shared" si="13"/>
        <v>0</v>
      </c>
      <c r="AY110" s="807">
        <f t="shared" ref="AY110:AY141" si="39">ROUND($AY$6*AZ110/$AZ$5,2)</f>
        <v>0</v>
      </c>
      <c r="AZ110" s="2934">
        <f t="shared" ref="AZ110:AZ141" si="40">BA110+BL110</f>
        <v>0</v>
      </c>
      <c r="BA110" s="2934">
        <f t="shared" ref="BA110:BA141" si="41">SUM(BB110:BK110)</f>
        <v>0</v>
      </c>
      <c r="BB110" s="2934">
        <f t="shared" ref="BB110:BB141" si="42">IF($D110="是",I110-J110,0)</f>
        <v>0</v>
      </c>
      <c r="BC110" s="2934">
        <f t="shared" ref="BC110:BC141" si="43">IF($D110="是",K110-L110,0)</f>
        <v>0</v>
      </c>
      <c r="BD110" s="2934">
        <f t="shared" ref="BD110:BD141" si="44">IF($D110="是",M110-N110,0)</f>
        <v>0</v>
      </c>
      <c r="BE110" s="2934">
        <f t="shared" ref="BE110:BE141" si="45">IF($D110="是",O110-P110,0)</f>
        <v>0</v>
      </c>
      <c r="BF110" s="2934">
        <f t="shared" ref="BF110:BF141" si="46">IF($D110="是",Q110-R110,0)</f>
        <v>0</v>
      </c>
      <c r="BG110" s="2934">
        <f t="shared" ref="BG110:BG141" si="47">IF($D110="是",S110-T110,0)</f>
        <v>0</v>
      </c>
      <c r="BH110" s="2934">
        <f t="shared" ref="BH110:BH141" si="48">IF($D110="是",U110-V110,0)</f>
        <v>0</v>
      </c>
      <c r="BI110" s="2934">
        <f t="shared" ref="BI110:BI141" si="49">IF($D110="是",W110-X110,0)</f>
        <v>0</v>
      </c>
      <c r="BJ110" s="2934">
        <f t="shared" ref="BJ110:BJ141" si="50">IF($D110="是",Y110-Z110,0)</f>
        <v>0</v>
      </c>
      <c r="BK110" s="2934">
        <f t="shared" ref="BK110:BK141" si="51">IF($D110="是",AA110-AB110,0)</f>
        <v>0</v>
      </c>
      <c r="BL110" s="2934">
        <f t="shared" ref="BL110:BL141" si="52">SUM(BM110:BT110)</f>
        <v>0</v>
      </c>
      <c r="BM110" s="2934">
        <f t="shared" ref="BM110:BM141" si="53">IF($D110="是",AD110-AE110,0)</f>
        <v>0</v>
      </c>
      <c r="BN110" s="2934">
        <f t="shared" ref="BN110:BN141" si="54">IF($D110="是",AF110-AG110,0)</f>
        <v>0</v>
      </c>
      <c r="BO110" s="2934">
        <f t="shared" ref="BO110:BO141" si="55">IF($D110="是",AH110-AI110,0)</f>
        <v>0</v>
      </c>
      <c r="BP110" s="2934">
        <f t="shared" ref="BP110:BP141" si="56">IF($D110="是",AJ110-AK110,0)</f>
        <v>0</v>
      </c>
      <c r="BQ110" s="2934">
        <f t="shared" ref="BQ110:BQ141" si="57">IF($D110="是",AL110-AM110,0)</f>
        <v>0</v>
      </c>
      <c r="BR110" s="2934">
        <f t="shared" ref="BR110:BR141" si="58">IF($D110="是",AN110-AO110,0)</f>
        <v>0</v>
      </c>
      <c r="BS110" s="2934">
        <f t="shared" ref="BS110:BS141" si="59">IF($D110="是",AP110-AQ110,0)</f>
        <v>0</v>
      </c>
      <c r="BT110" s="2982">
        <f t="shared" ref="BT110:BT141" si="60">IF($D110="是",AR110-AS110,0)</f>
        <v>0</v>
      </c>
    </row>
    <row r="111" spans="1:72">
      <c r="A111" s="874"/>
      <c r="B111" s="874"/>
      <c r="C111" s="874"/>
      <c r="D111" s="2933"/>
      <c r="E111" s="2934">
        <f t="shared" si="7"/>
        <v>0</v>
      </c>
      <c r="F111" s="2954"/>
      <c r="G111" s="2936">
        <f t="shared" si="36"/>
        <v>0</v>
      </c>
      <c r="H111" s="2937">
        <f t="shared" si="37"/>
        <v>0</v>
      </c>
      <c r="I111" s="2944"/>
      <c r="J111" s="2944"/>
      <c r="K111" s="2944"/>
      <c r="L111" s="2944"/>
      <c r="M111" s="2944"/>
      <c r="N111" s="2944"/>
      <c r="O111" s="2944"/>
      <c r="P111" s="2944"/>
      <c r="Q111" s="2944"/>
      <c r="R111" s="2944"/>
      <c r="S111" s="2944"/>
      <c r="T111" s="2944"/>
      <c r="U111" s="2944"/>
      <c r="V111" s="2944"/>
      <c r="W111" s="2944"/>
      <c r="X111" s="2944"/>
      <c r="Y111" s="2944"/>
      <c r="Z111" s="2944"/>
      <c r="AA111" s="2944"/>
      <c r="AB111" s="2944"/>
      <c r="AC111" s="2934">
        <f t="shared" si="38"/>
        <v>0</v>
      </c>
      <c r="AD111" s="2954"/>
      <c r="AE111" s="2954"/>
      <c r="AF111" s="2954"/>
      <c r="AG111" s="2954"/>
      <c r="AH111" s="2954"/>
      <c r="AI111" s="2954"/>
      <c r="AJ111" s="2954"/>
      <c r="AK111" s="2954"/>
      <c r="AL111" s="2954"/>
      <c r="AM111" s="2954"/>
      <c r="AN111" s="2954"/>
      <c r="AO111" s="2954"/>
      <c r="AP111" s="2954"/>
      <c r="AQ111" s="2954"/>
      <c r="AR111" s="2954"/>
      <c r="AS111" s="2954"/>
      <c r="AT111" s="2954"/>
      <c r="AU111" s="917"/>
      <c r="AV111" s="857">
        <f t="shared" si="11"/>
        <v>0</v>
      </c>
      <c r="AW111" s="857">
        <f t="shared" si="12"/>
        <v>0</v>
      </c>
      <c r="AX111" s="857">
        <f t="shared" si="13"/>
        <v>0</v>
      </c>
      <c r="AY111" s="807">
        <f t="shared" si="39"/>
        <v>0</v>
      </c>
      <c r="AZ111" s="2934">
        <f t="shared" si="40"/>
        <v>0</v>
      </c>
      <c r="BA111" s="2934">
        <f t="shared" si="41"/>
        <v>0</v>
      </c>
      <c r="BB111" s="2934">
        <f t="shared" si="42"/>
        <v>0</v>
      </c>
      <c r="BC111" s="2934">
        <f t="shared" si="43"/>
        <v>0</v>
      </c>
      <c r="BD111" s="2934">
        <f t="shared" si="44"/>
        <v>0</v>
      </c>
      <c r="BE111" s="2934">
        <f t="shared" si="45"/>
        <v>0</v>
      </c>
      <c r="BF111" s="2934">
        <f t="shared" si="46"/>
        <v>0</v>
      </c>
      <c r="BG111" s="2934">
        <f t="shared" si="47"/>
        <v>0</v>
      </c>
      <c r="BH111" s="2934">
        <f t="shared" si="48"/>
        <v>0</v>
      </c>
      <c r="BI111" s="2934">
        <f t="shared" si="49"/>
        <v>0</v>
      </c>
      <c r="BJ111" s="2934">
        <f t="shared" si="50"/>
        <v>0</v>
      </c>
      <c r="BK111" s="2934">
        <f t="shared" si="51"/>
        <v>0</v>
      </c>
      <c r="BL111" s="2934">
        <f t="shared" si="52"/>
        <v>0</v>
      </c>
      <c r="BM111" s="2934">
        <f t="shared" si="53"/>
        <v>0</v>
      </c>
      <c r="BN111" s="2934">
        <f t="shared" si="54"/>
        <v>0</v>
      </c>
      <c r="BO111" s="2934">
        <f t="shared" si="55"/>
        <v>0</v>
      </c>
      <c r="BP111" s="2934">
        <f t="shared" si="56"/>
        <v>0</v>
      </c>
      <c r="BQ111" s="2934">
        <f t="shared" si="57"/>
        <v>0</v>
      </c>
      <c r="BR111" s="2934">
        <f t="shared" si="58"/>
        <v>0</v>
      </c>
      <c r="BS111" s="2934">
        <f t="shared" si="59"/>
        <v>0</v>
      </c>
      <c r="BT111" s="2982">
        <f t="shared" si="60"/>
        <v>0</v>
      </c>
    </row>
    <row r="112" spans="1:72">
      <c r="A112" s="874"/>
      <c r="B112" s="874"/>
      <c r="C112" s="874"/>
      <c r="D112" s="2933"/>
      <c r="E112" s="2934">
        <f t="shared" si="7"/>
        <v>0</v>
      </c>
      <c r="F112" s="2954"/>
      <c r="G112" s="2936">
        <f t="shared" si="36"/>
        <v>0</v>
      </c>
      <c r="H112" s="2937">
        <f t="shared" si="37"/>
        <v>0</v>
      </c>
      <c r="I112" s="2944"/>
      <c r="J112" s="2944"/>
      <c r="K112" s="2944"/>
      <c r="L112" s="2944"/>
      <c r="M112" s="2944"/>
      <c r="N112" s="2944"/>
      <c r="O112" s="2944"/>
      <c r="P112" s="2944"/>
      <c r="Q112" s="2944"/>
      <c r="R112" s="2944"/>
      <c r="S112" s="2944"/>
      <c r="T112" s="2944"/>
      <c r="U112" s="2944"/>
      <c r="V112" s="2944"/>
      <c r="W112" s="2944"/>
      <c r="X112" s="2944"/>
      <c r="Y112" s="2944"/>
      <c r="Z112" s="2944"/>
      <c r="AA112" s="2944"/>
      <c r="AB112" s="2944"/>
      <c r="AC112" s="2934">
        <f t="shared" si="38"/>
        <v>0</v>
      </c>
      <c r="AD112" s="2954"/>
      <c r="AE112" s="2954"/>
      <c r="AF112" s="2954"/>
      <c r="AG112" s="2954"/>
      <c r="AH112" s="2954"/>
      <c r="AI112" s="2954"/>
      <c r="AJ112" s="2954"/>
      <c r="AK112" s="2954"/>
      <c r="AL112" s="2954"/>
      <c r="AM112" s="2954"/>
      <c r="AN112" s="2954"/>
      <c r="AO112" s="2954"/>
      <c r="AP112" s="2954"/>
      <c r="AQ112" s="2954"/>
      <c r="AR112" s="2954"/>
      <c r="AS112" s="2954"/>
      <c r="AT112" s="2954"/>
      <c r="AU112" s="917"/>
      <c r="AV112" s="857">
        <f t="shared" si="11"/>
        <v>0</v>
      </c>
      <c r="AW112" s="857">
        <f t="shared" si="12"/>
        <v>0</v>
      </c>
      <c r="AX112" s="857">
        <f t="shared" si="13"/>
        <v>0</v>
      </c>
      <c r="AY112" s="807">
        <f t="shared" si="39"/>
        <v>0</v>
      </c>
      <c r="AZ112" s="2934">
        <f t="shared" si="40"/>
        <v>0</v>
      </c>
      <c r="BA112" s="2934">
        <f t="shared" si="41"/>
        <v>0</v>
      </c>
      <c r="BB112" s="2934">
        <f t="shared" si="42"/>
        <v>0</v>
      </c>
      <c r="BC112" s="2934">
        <f t="shared" si="43"/>
        <v>0</v>
      </c>
      <c r="BD112" s="2934">
        <f t="shared" si="44"/>
        <v>0</v>
      </c>
      <c r="BE112" s="2934">
        <f t="shared" si="45"/>
        <v>0</v>
      </c>
      <c r="BF112" s="2934">
        <f t="shared" si="46"/>
        <v>0</v>
      </c>
      <c r="BG112" s="2934">
        <f t="shared" si="47"/>
        <v>0</v>
      </c>
      <c r="BH112" s="2934">
        <f t="shared" si="48"/>
        <v>0</v>
      </c>
      <c r="BI112" s="2934">
        <f t="shared" si="49"/>
        <v>0</v>
      </c>
      <c r="BJ112" s="2934">
        <f t="shared" si="50"/>
        <v>0</v>
      </c>
      <c r="BK112" s="2934">
        <f t="shared" si="51"/>
        <v>0</v>
      </c>
      <c r="BL112" s="2934">
        <f t="shared" si="52"/>
        <v>0</v>
      </c>
      <c r="BM112" s="2934">
        <f t="shared" si="53"/>
        <v>0</v>
      </c>
      <c r="BN112" s="2934">
        <f t="shared" si="54"/>
        <v>0</v>
      </c>
      <c r="BO112" s="2934">
        <f t="shared" si="55"/>
        <v>0</v>
      </c>
      <c r="BP112" s="2934">
        <f t="shared" si="56"/>
        <v>0</v>
      </c>
      <c r="BQ112" s="2934">
        <f t="shared" si="57"/>
        <v>0</v>
      </c>
      <c r="BR112" s="2934">
        <f t="shared" si="58"/>
        <v>0</v>
      </c>
      <c r="BS112" s="2934">
        <f t="shared" si="59"/>
        <v>0</v>
      </c>
      <c r="BT112" s="2982">
        <f t="shared" si="60"/>
        <v>0</v>
      </c>
    </row>
    <row r="113" spans="1:72">
      <c r="A113" s="874"/>
      <c r="B113" s="882"/>
      <c r="C113" s="882"/>
      <c r="D113" s="2933"/>
      <c r="E113" s="2934">
        <f t="shared" ref="E113:E144" si="61">IF($C$3="是",ROUND($A$3*G113/$B$3,2),ROUND($A$3*(G113-AT113)/$B$3,2))</f>
        <v>0</v>
      </c>
      <c r="F113" s="2935"/>
      <c r="G113" s="2936">
        <f t="shared" si="36"/>
        <v>0</v>
      </c>
      <c r="H113" s="2937">
        <f t="shared" si="37"/>
        <v>0</v>
      </c>
      <c r="I113" s="2944"/>
      <c r="J113" s="2944"/>
      <c r="K113" s="2944"/>
      <c r="L113" s="2944"/>
      <c r="M113" s="2944"/>
      <c r="N113" s="2944"/>
      <c r="O113" s="2944"/>
      <c r="P113" s="2944"/>
      <c r="Q113" s="2944"/>
      <c r="R113" s="2944"/>
      <c r="S113" s="2944"/>
      <c r="T113" s="2944"/>
      <c r="U113" s="2944"/>
      <c r="V113" s="2944"/>
      <c r="W113" s="2944"/>
      <c r="X113" s="2944"/>
      <c r="Y113" s="2944"/>
      <c r="Z113" s="2944"/>
      <c r="AA113" s="2944"/>
      <c r="AB113" s="2944"/>
      <c r="AC113" s="2934">
        <f t="shared" si="38"/>
        <v>0</v>
      </c>
      <c r="AD113" s="2954"/>
      <c r="AE113" s="2954"/>
      <c r="AF113" s="2954"/>
      <c r="AG113" s="2954"/>
      <c r="AH113" s="2954"/>
      <c r="AI113" s="2954"/>
      <c r="AJ113" s="2954"/>
      <c r="AK113" s="2954"/>
      <c r="AL113" s="2954"/>
      <c r="AM113" s="2954"/>
      <c r="AN113" s="2954"/>
      <c r="AO113" s="2954"/>
      <c r="AP113" s="2954"/>
      <c r="AQ113" s="2954"/>
      <c r="AR113" s="2954"/>
      <c r="AS113" s="2954"/>
      <c r="AT113" s="2935"/>
      <c r="AU113" s="2964"/>
      <c r="AV113" s="857">
        <f t="shared" ref="AV113:AV144" si="62">A113</f>
        <v>0</v>
      </c>
      <c r="AW113" s="857">
        <f t="shared" ref="AW113:AW144" si="63">B113</f>
        <v>0</v>
      </c>
      <c r="AX113" s="857">
        <f t="shared" ref="AX113:AX144" si="64">C113</f>
        <v>0</v>
      </c>
      <c r="AY113" s="807">
        <f t="shared" si="39"/>
        <v>0</v>
      </c>
      <c r="AZ113" s="2934">
        <f t="shared" si="40"/>
        <v>0</v>
      </c>
      <c r="BA113" s="2934">
        <f t="shared" si="41"/>
        <v>0</v>
      </c>
      <c r="BB113" s="2934">
        <f t="shared" si="42"/>
        <v>0</v>
      </c>
      <c r="BC113" s="2934">
        <f t="shared" si="43"/>
        <v>0</v>
      </c>
      <c r="BD113" s="2934">
        <f t="shared" si="44"/>
        <v>0</v>
      </c>
      <c r="BE113" s="2934">
        <f t="shared" si="45"/>
        <v>0</v>
      </c>
      <c r="BF113" s="2934">
        <f t="shared" si="46"/>
        <v>0</v>
      </c>
      <c r="BG113" s="2934">
        <f t="shared" si="47"/>
        <v>0</v>
      </c>
      <c r="BH113" s="2934">
        <f t="shared" si="48"/>
        <v>0</v>
      </c>
      <c r="BI113" s="2934">
        <f t="shared" si="49"/>
        <v>0</v>
      </c>
      <c r="BJ113" s="2934">
        <f t="shared" si="50"/>
        <v>0</v>
      </c>
      <c r="BK113" s="2934">
        <f t="shared" si="51"/>
        <v>0</v>
      </c>
      <c r="BL113" s="2934">
        <f t="shared" si="52"/>
        <v>0</v>
      </c>
      <c r="BM113" s="2934">
        <f t="shared" si="53"/>
        <v>0</v>
      </c>
      <c r="BN113" s="2934">
        <f t="shared" si="54"/>
        <v>0</v>
      </c>
      <c r="BO113" s="2934">
        <f t="shared" si="55"/>
        <v>0</v>
      </c>
      <c r="BP113" s="2934">
        <f t="shared" si="56"/>
        <v>0</v>
      </c>
      <c r="BQ113" s="2934">
        <f t="shared" si="57"/>
        <v>0</v>
      </c>
      <c r="BR113" s="2934">
        <f t="shared" si="58"/>
        <v>0</v>
      </c>
      <c r="BS113" s="2934">
        <f t="shared" si="59"/>
        <v>0</v>
      </c>
      <c r="BT113" s="2982">
        <f t="shared" si="60"/>
        <v>0</v>
      </c>
    </row>
    <row r="114" spans="1:72">
      <c r="A114" s="874"/>
      <c r="B114" s="882"/>
      <c r="C114" s="882"/>
      <c r="D114" s="2933"/>
      <c r="E114" s="2934">
        <f t="shared" si="61"/>
        <v>0</v>
      </c>
      <c r="F114" s="2935"/>
      <c r="G114" s="2936">
        <f t="shared" si="36"/>
        <v>0</v>
      </c>
      <c r="H114" s="2937">
        <f t="shared" si="37"/>
        <v>0</v>
      </c>
      <c r="I114" s="2944"/>
      <c r="J114" s="2944"/>
      <c r="K114" s="2944"/>
      <c r="L114" s="2944"/>
      <c r="M114" s="2944"/>
      <c r="N114" s="2944"/>
      <c r="O114" s="2944"/>
      <c r="P114" s="2944"/>
      <c r="Q114" s="2944"/>
      <c r="R114" s="2944"/>
      <c r="S114" s="2944"/>
      <c r="T114" s="2944"/>
      <c r="U114" s="2944"/>
      <c r="V114" s="2944"/>
      <c r="W114" s="2944"/>
      <c r="X114" s="2944"/>
      <c r="Y114" s="2944"/>
      <c r="Z114" s="2944"/>
      <c r="AA114" s="2944"/>
      <c r="AB114" s="2944"/>
      <c r="AC114" s="2934">
        <f t="shared" si="38"/>
        <v>0</v>
      </c>
      <c r="AD114" s="2954"/>
      <c r="AE114" s="2954"/>
      <c r="AF114" s="2954"/>
      <c r="AG114" s="2954"/>
      <c r="AH114" s="2954"/>
      <c r="AI114" s="2954"/>
      <c r="AJ114" s="2954"/>
      <c r="AK114" s="2954"/>
      <c r="AL114" s="2954"/>
      <c r="AM114" s="2954"/>
      <c r="AN114" s="2954"/>
      <c r="AO114" s="2954"/>
      <c r="AP114" s="2954"/>
      <c r="AQ114" s="2954"/>
      <c r="AR114" s="2954"/>
      <c r="AS114" s="2954"/>
      <c r="AT114" s="2935"/>
      <c r="AU114" s="2964"/>
      <c r="AV114" s="857">
        <f t="shared" si="62"/>
        <v>0</v>
      </c>
      <c r="AW114" s="857">
        <f t="shared" si="63"/>
        <v>0</v>
      </c>
      <c r="AX114" s="857">
        <f t="shared" si="64"/>
        <v>0</v>
      </c>
      <c r="AY114" s="807">
        <f t="shared" si="39"/>
        <v>0</v>
      </c>
      <c r="AZ114" s="2934">
        <f t="shared" si="40"/>
        <v>0</v>
      </c>
      <c r="BA114" s="2934">
        <f t="shared" si="41"/>
        <v>0</v>
      </c>
      <c r="BB114" s="2934">
        <f t="shared" si="42"/>
        <v>0</v>
      </c>
      <c r="BC114" s="2934">
        <f t="shared" si="43"/>
        <v>0</v>
      </c>
      <c r="BD114" s="2934">
        <f t="shared" si="44"/>
        <v>0</v>
      </c>
      <c r="BE114" s="2934">
        <f t="shared" si="45"/>
        <v>0</v>
      </c>
      <c r="BF114" s="2934">
        <f t="shared" si="46"/>
        <v>0</v>
      </c>
      <c r="BG114" s="2934">
        <f t="shared" si="47"/>
        <v>0</v>
      </c>
      <c r="BH114" s="2934">
        <f t="shared" si="48"/>
        <v>0</v>
      </c>
      <c r="BI114" s="2934">
        <f t="shared" si="49"/>
        <v>0</v>
      </c>
      <c r="BJ114" s="2934">
        <f t="shared" si="50"/>
        <v>0</v>
      </c>
      <c r="BK114" s="2934">
        <f t="shared" si="51"/>
        <v>0</v>
      </c>
      <c r="BL114" s="2934">
        <f t="shared" si="52"/>
        <v>0</v>
      </c>
      <c r="BM114" s="2934">
        <f t="shared" si="53"/>
        <v>0</v>
      </c>
      <c r="BN114" s="2934">
        <f t="shared" si="54"/>
        <v>0</v>
      </c>
      <c r="BO114" s="2934">
        <f t="shared" si="55"/>
        <v>0</v>
      </c>
      <c r="BP114" s="2934">
        <f t="shared" si="56"/>
        <v>0</v>
      </c>
      <c r="BQ114" s="2934">
        <f t="shared" si="57"/>
        <v>0</v>
      </c>
      <c r="BR114" s="2934">
        <f t="shared" si="58"/>
        <v>0</v>
      </c>
      <c r="BS114" s="2934">
        <f t="shared" si="59"/>
        <v>0</v>
      </c>
      <c r="BT114" s="2982">
        <f t="shared" si="60"/>
        <v>0</v>
      </c>
    </row>
    <row r="115" spans="1:72">
      <c r="A115" s="874"/>
      <c r="B115" s="882"/>
      <c r="C115" s="882"/>
      <c r="D115" s="2933"/>
      <c r="E115" s="2934">
        <f t="shared" si="61"/>
        <v>0</v>
      </c>
      <c r="F115" s="2935"/>
      <c r="G115" s="2936">
        <f t="shared" si="36"/>
        <v>0</v>
      </c>
      <c r="H115" s="2937">
        <f t="shared" si="37"/>
        <v>0</v>
      </c>
      <c r="I115" s="2944"/>
      <c r="J115" s="2944"/>
      <c r="K115" s="2944"/>
      <c r="L115" s="2944"/>
      <c r="M115" s="2944"/>
      <c r="N115" s="2944"/>
      <c r="O115" s="2944"/>
      <c r="P115" s="2944"/>
      <c r="Q115" s="2944"/>
      <c r="R115" s="2944"/>
      <c r="S115" s="2944"/>
      <c r="T115" s="2944"/>
      <c r="U115" s="2944"/>
      <c r="V115" s="2944"/>
      <c r="W115" s="2944"/>
      <c r="X115" s="2944"/>
      <c r="Y115" s="2944"/>
      <c r="Z115" s="2944"/>
      <c r="AA115" s="2944"/>
      <c r="AB115" s="2944"/>
      <c r="AC115" s="2934">
        <f t="shared" si="38"/>
        <v>0</v>
      </c>
      <c r="AD115" s="2954"/>
      <c r="AE115" s="2954"/>
      <c r="AF115" s="2954"/>
      <c r="AG115" s="2954"/>
      <c r="AH115" s="2954"/>
      <c r="AI115" s="2954"/>
      <c r="AJ115" s="2954"/>
      <c r="AK115" s="2954"/>
      <c r="AL115" s="2954"/>
      <c r="AM115" s="2954"/>
      <c r="AN115" s="2954"/>
      <c r="AO115" s="2954"/>
      <c r="AP115" s="2954"/>
      <c r="AQ115" s="2954"/>
      <c r="AR115" s="2954"/>
      <c r="AS115" s="2954"/>
      <c r="AT115" s="2935"/>
      <c r="AU115" s="2964"/>
      <c r="AV115" s="857">
        <f t="shared" si="62"/>
        <v>0</v>
      </c>
      <c r="AW115" s="857">
        <f t="shared" si="63"/>
        <v>0</v>
      </c>
      <c r="AX115" s="857">
        <f t="shared" si="64"/>
        <v>0</v>
      </c>
      <c r="AY115" s="807">
        <f t="shared" si="39"/>
        <v>0</v>
      </c>
      <c r="AZ115" s="2934">
        <f t="shared" si="40"/>
        <v>0</v>
      </c>
      <c r="BA115" s="2934">
        <f t="shared" si="41"/>
        <v>0</v>
      </c>
      <c r="BB115" s="2934">
        <f t="shared" si="42"/>
        <v>0</v>
      </c>
      <c r="BC115" s="2934">
        <f t="shared" si="43"/>
        <v>0</v>
      </c>
      <c r="BD115" s="2934">
        <f t="shared" si="44"/>
        <v>0</v>
      </c>
      <c r="BE115" s="2934">
        <f t="shared" si="45"/>
        <v>0</v>
      </c>
      <c r="BF115" s="2934">
        <f t="shared" si="46"/>
        <v>0</v>
      </c>
      <c r="BG115" s="2934">
        <f t="shared" si="47"/>
        <v>0</v>
      </c>
      <c r="BH115" s="2934">
        <f t="shared" si="48"/>
        <v>0</v>
      </c>
      <c r="BI115" s="2934">
        <f t="shared" si="49"/>
        <v>0</v>
      </c>
      <c r="BJ115" s="2934">
        <f t="shared" si="50"/>
        <v>0</v>
      </c>
      <c r="BK115" s="2934">
        <f t="shared" si="51"/>
        <v>0</v>
      </c>
      <c r="BL115" s="2934">
        <f t="shared" si="52"/>
        <v>0</v>
      </c>
      <c r="BM115" s="2934">
        <f t="shared" si="53"/>
        <v>0</v>
      </c>
      <c r="BN115" s="2934">
        <f t="shared" si="54"/>
        <v>0</v>
      </c>
      <c r="BO115" s="2934">
        <f t="shared" si="55"/>
        <v>0</v>
      </c>
      <c r="BP115" s="2934">
        <f t="shared" si="56"/>
        <v>0</v>
      </c>
      <c r="BQ115" s="2934">
        <f t="shared" si="57"/>
        <v>0</v>
      </c>
      <c r="BR115" s="2934">
        <f t="shared" si="58"/>
        <v>0</v>
      </c>
      <c r="BS115" s="2934">
        <f t="shared" si="59"/>
        <v>0</v>
      </c>
      <c r="BT115" s="2982">
        <f t="shared" si="60"/>
        <v>0</v>
      </c>
    </row>
    <row r="116" spans="1:72">
      <c r="A116" s="874"/>
      <c r="B116" s="882"/>
      <c r="C116" s="882"/>
      <c r="D116" s="2933"/>
      <c r="E116" s="2934">
        <f t="shared" si="61"/>
        <v>0</v>
      </c>
      <c r="F116" s="2935"/>
      <c r="G116" s="2936">
        <f t="shared" si="36"/>
        <v>0</v>
      </c>
      <c r="H116" s="2937">
        <f t="shared" si="37"/>
        <v>0</v>
      </c>
      <c r="I116" s="2944"/>
      <c r="J116" s="2944"/>
      <c r="K116" s="2944"/>
      <c r="L116" s="2944"/>
      <c r="M116" s="2944"/>
      <c r="N116" s="2944"/>
      <c r="O116" s="2944"/>
      <c r="P116" s="2944"/>
      <c r="Q116" s="2944"/>
      <c r="R116" s="2944"/>
      <c r="S116" s="2944"/>
      <c r="T116" s="2944"/>
      <c r="U116" s="2944"/>
      <c r="V116" s="2944"/>
      <c r="W116" s="2944"/>
      <c r="X116" s="2944"/>
      <c r="Y116" s="2944"/>
      <c r="Z116" s="2944"/>
      <c r="AA116" s="2944"/>
      <c r="AB116" s="2944"/>
      <c r="AC116" s="2934">
        <f t="shared" si="38"/>
        <v>0</v>
      </c>
      <c r="AD116" s="2954"/>
      <c r="AE116" s="2954"/>
      <c r="AF116" s="2954"/>
      <c r="AG116" s="2954"/>
      <c r="AH116" s="2954"/>
      <c r="AI116" s="2954"/>
      <c r="AJ116" s="2954"/>
      <c r="AK116" s="2954"/>
      <c r="AL116" s="2954"/>
      <c r="AM116" s="2954"/>
      <c r="AN116" s="2954"/>
      <c r="AO116" s="2954"/>
      <c r="AP116" s="2954"/>
      <c r="AQ116" s="2954"/>
      <c r="AR116" s="2954"/>
      <c r="AS116" s="2954"/>
      <c r="AT116" s="2935"/>
      <c r="AU116" s="2964"/>
      <c r="AV116" s="857">
        <f t="shared" si="62"/>
        <v>0</v>
      </c>
      <c r="AW116" s="857">
        <f t="shared" si="63"/>
        <v>0</v>
      </c>
      <c r="AX116" s="857">
        <f t="shared" si="64"/>
        <v>0</v>
      </c>
      <c r="AY116" s="807">
        <f t="shared" si="39"/>
        <v>0</v>
      </c>
      <c r="AZ116" s="2934">
        <f t="shared" si="40"/>
        <v>0</v>
      </c>
      <c r="BA116" s="2934">
        <f t="shared" si="41"/>
        <v>0</v>
      </c>
      <c r="BB116" s="2934">
        <f t="shared" si="42"/>
        <v>0</v>
      </c>
      <c r="BC116" s="2934">
        <f t="shared" si="43"/>
        <v>0</v>
      </c>
      <c r="BD116" s="2934">
        <f t="shared" si="44"/>
        <v>0</v>
      </c>
      <c r="BE116" s="2934">
        <f t="shared" si="45"/>
        <v>0</v>
      </c>
      <c r="BF116" s="2934">
        <f t="shared" si="46"/>
        <v>0</v>
      </c>
      <c r="BG116" s="2934">
        <f t="shared" si="47"/>
        <v>0</v>
      </c>
      <c r="BH116" s="2934">
        <f t="shared" si="48"/>
        <v>0</v>
      </c>
      <c r="BI116" s="2934">
        <f t="shared" si="49"/>
        <v>0</v>
      </c>
      <c r="BJ116" s="2934">
        <f t="shared" si="50"/>
        <v>0</v>
      </c>
      <c r="BK116" s="2934">
        <f t="shared" si="51"/>
        <v>0</v>
      </c>
      <c r="BL116" s="2934">
        <f t="shared" si="52"/>
        <v>0</v>
      </c>
      <c r="BM116" s="2934">
        <f t="shared" si="53"/>
        <v>0</v>
      </c>
      <c r="BN116" s="2934">
        <f t="shared" si="54"/>
        <v>0</v>
      </c>
      <c r="BO116" s="2934">
        <f t="shared" si="55"/>
        <v>0</v>
      </c>
      <c r="BP116" s="2934">
        <f t="shared" si="56"/>
        <v>0</v>
      </c>
      <c r="BQ116" s="2934">
        <f t="shared" si="57"/>
        <v>0</v>
      </c>
      <c r="BR116" s="2934">
        <f t="shared" si="58"/>
        <v>0</v>
      </c>
      <c r="BS116" s="2934">
        <f t="shared" si="59"/>
        <v>0</v>
      </c>
      <c r="BT116" s="2982">
        <f t="shared" si="60"/>
        <v>0</v>
      </c>
    </row>
    <row r="117" spans="1:72">
      <c r="A117" s="874"/>
      <c r="B117" s="882"/>
      <c r="C117" s="882"/>
      <c r="D117" s="2933"/>
      <c r="E117" s="2934">
        <f t="shared" si="61"/>
        <v>0</v>
      </c>
      <c r="F117" s="2935"/>
      <c r="G117" s="2936">
        <f t="shared" si="36"/>
        <v>0</v>
      </c>
      <c r="H117" s="2937">
        <f t="shared" si="37"/>
        <v>0</v>
      </c>
      <c r="I117" s="2944"/>
      <c r="J117" s="2944"/>
      <c r="K117" s="2944"/>
      <c r="L117" s="2944"/>
      <c r="M117" s="2944"/>
      <c r="N117" s="2944"/>
      <c r="O117" s="2944"/>
      <c r="P117" s="2944"/>
      <c r="Q117" s="2944"/>
      <c r="R117" s="2944"/>
      <c r="S117" s="2944"/>
      <c r="T117" s="2944"/>
      <c r="U117" s="2944"/>
      <c r="V117" s="2944"/>
      <c r="W117" s="2944"/>
      <c r="X117" s="2944"/>
      <c r="Y117" s="2944"/>
      <c r="Z117" s="2944"/>
      <c r="AA117" s="2944"/>
      <c r="AB117" s="2944"/>
      <c r="AC117" s="2934">
        <f t="shared" si="38"/>
        <v>0</v>
      </c>
      <c r="AD117" s="2954"/>
      <c r="AE117" s="2954"/>
      <c r="AF117" s="2954"/>
      <c r="AG117" s="2954"/>
      <c r="AH117" s="2954"/>
      <c r="AI117" s="2954"/>
      <c r="AJ117" s="2954"/>
      <c r="AK117" s="2954"/>
      <c r="AL117" s="2954"/>
      <c r="AM117" s="2954"/>
      <c r="AN117" s="2954"/>
      <c r="AO117" s="2954"/>
      <c r="AP117" s="2954"/>
      <c r="AQ117" s="2954"/>
      <c r="AR117" s="2954"/>
      <c r="AS117" s="2954"/>
      <c r="AT117" s="2935"/>
      <c r="AU117" s="2964"/>
      <c r="AV117" s="857">
        <f t="shared" si="62"/>
        <v>0</v>
      </c>
      <c r="AW117" s="857">
        <f t="shared" si="63"/>
        <v>0</v>
      </c>
      <c r="AX117" s="857">
        <f t="shared" si="64"/>
        <v>0</v>
      </c>
      <c r="AY117" s="807">
        <f t="shared" si="39"/>
        <v>0</v>
      </c>
      <c r="AZ117" s="2934">
        <f t="shared" si="40"/>
        <v>0</v>
      </c>
      <c r="BA117" s="2934">
        <f t="shared" si="41"/>
        <v>0</v>
      </c>
      <c r="BB117" s="2934">
        <f t="shared" si="42"/>
        <v>0</v>
      </c>
      <c r="BC117" s="2934">
        <f t="shared" si="43"/>
        <v>0</v>
      </c>
      <c r="BD117" s="2934">
        <f t="shared" si="44"/>
        <v>0</v>
      </c>
      <c r="BE117" s="2934">
        <f t="shared" si="45"/>
        <v>0</v>
      </c>
      <c r="BF117" s="2934">
        <f t="shared" si="46"/>
        <v>0</v>
      </c>
      <c r="BG117" s="2934">
        <f t="shared" si="47"/>
        <v>0</v>
      </c>
      <c r="BH117" s="2934">
        <f t="shared" si="48"/>
        <v>0</v>
      </c>
      <c r="BI117" s="2934">
        <f t="shared" si="49"/>
        <v>0</v>
      </c>
      <c r="BJ117" s="2934">
        <f t="shared" si="50"/>
        <v>0</v>
      </c>
      <c r="BK117" s="2934">
        <f t="shared" si="51"/>
        <v>0</v>
      </c>
      <c r="BL117" s="2934">
        <f t="shared" si="52"/>
        <v>0</v>
      </c>
      <c r="BM117" s="2934">
        <f t="shared" si="53"/>
        <v>0</v>
      </c>
      <c r="BN117" s="2934">
        <f t="shared" si="54"/>
        <v>0</v>
      </c>
      <c r="BO117" s="2934">
        <f t="shared" si="55"/>
        <v>0</v>
      </c>
      <c r="BP117" s="2934">
        <f t="shared" si="56"/>
        <v>0</v>
      </c>
      <c r="BQ117" s="2934">
        <f t="shared" si="57"/>
        <v>0</v>
      </c>
      <c r="BR117" s="2934">
        <f t="shared" si="58"/>
        <v>0</v>
      </c>
      <c r="BS117" s="2934">
        <f t="shared" si="59"/>
        <v>0</v>
      </c>
      <c r="BT117" s="2982">
        <f t="shared" si="60"/>
        <v>0</v>
      </c>
    </row>
    <row r="118" spans="1:72">
      <c r="A118" s="874"/>
      <c r="B118" s="882"/>
      <c r="C118" s="882"/>
      <c r="D118" s="2933"/>
      <c r="E118" s="2934">
        <f t="shared" si="61"/>
        <v>0</v>
      </c>
      <c r="F118" s="2935"/>
      <c r="G118" s="2936">
        <f t="shared" si="36"/>
        <v>0</v>
      </c>
      <c r="H118" s="2937">
        <f t="shared" si="37"/>
        <v>0</v>
      </c>
      <c r="I118" s="2944"/>
      <c r="J118" s="2944"/>
      <c r="K118" s="2944"/>
      <c r="L118" s="2944"/>
      <c r="M118" s="2944"/>
      <c r="N118" s="2944"/>
      <c r="O118" s="2944"/>
      <c r="P118" s="2944"/>
      <c r="Q118" s="2944"/>
      <c r="R118" s="2944"/>
      <c r="S118" s="2944"/>
      <c r="T118" s="2944"/>
      <c r="U118" s="2944"/>
      <c r="V118" s="2944"/>
      <c r="W118" s="2944"/>
      <c r="X118" s="2944"/>
      <c r="Y118" s="2944"/>
      <c r="Z118" s="2944"/>
      <c r="AA118" s="2944"/>
      <c r="AB118" s="2944"/>
      <c r="AC118" s="2934">
        <f t="shared" si="38"/>
        <v>0</v>
      </c>
      <c r="AD118" s="2954"/>
      <c r="AE118" s="2954"/>
      <c r="AF118" s="2954"/>
      <c r="AG118" s="2954"/>
      <c r="AH118" s="2954"/>
      <c r="AI118" s="2954"/>
      <c r="AJ118" s="2954"/>
      <c r="AK118" s="2954"/>
      <c r="AL118" s="2954"/>
      <c r="AM118" s="2954"/>
      <c r="AN118" s="2954"/>
      <c r="AO118" s="2954"/>
      <c r="AP118" s="2954"/>
      <c r="AQ118" s="2954"/>
      <c r="AR118" s="2954"/>
      <c r="AS118" s="2954"/>
      <c r="AT118" s="2935"/>
      <c r="AU118" s="2964"/>
      <c r="AV118" s="857">
        <f t="shared" si="62"/>
        <v>0</v>
      </c>
      <c r="AW118" s="857">
        <f t="shared" si="63"/>
        <v>0</v>
      </c>
      <c r="AX118" s="857">
        <f t="shared" si="64"/>
        <v>0</v>
      </c>
      <c r="AY118" s="807">
        <f t="shared" si="39"/>
        <v>0</v>
      </c>
      <c r="AZ118" s="2934">
        <f t="shared" si="40"/>
        <v>0</v>
      </c>
      <c r="BA118" s="2934">
        <f t="shared" si="41"/>
        <v>0</v>
      </c>
      <c r="BB118" s="2934">
        <f t="shared" si="42"/>
        <v>0</v>
      </c>
      <c r="BC118" s="2934">
        <f t="shared" si="43"/>
        <v>0</v>
      </c>
      <c r="BD118" s="2934">
        <f t="shared" si="44"/>
        <v>0</v>
      </c>
      <c r="BE118" s="2934">
        <f t="shared" si="45"/>
        <v>0</v>
      </c>
      <c r="BF118" s="2934">
        <f t="shared" si="46"/>
        <v>0</v>
      </c>
      <c r="BG118" s="2934">
        <f t="shared" si="47"/>
        <v>0</v>
      </c>
      <c r="BH118" s="2934">
        <f t="shared" si="48"/>
        <v>0</v>
      </c>
      <c r="BI118" s="2934">
        <f t="shared" si="49"/>
        <v>0</v>
      </c>
      <c r="BJ118" s="2934">
        <f t="shared" si="50"/>
        <v>0</v>
      </c>
      <c r="BK118" s="2934">
        <f t="shared" si="51"/>
        <v>0</v>
      </c>
      <c r="BL118" s="2934">
        <f t="shared" si="52"/>
        <v>0</v>
      </c>
      <c r="BM118" s="2934">
        <f t="shared" si="53"/>
        <v>0</v>
      </c>
      <c r="BN118" s="2934">
        <f t="shared" si="54"/>
        <v>0</v>
      </c>
      <c r="BO118" s="2934">
        <f t="shared" si="55"/>
        <v>0</v>
      </c>
      <c r="BP118" s="2934">
        <f t="shared" si="56"/>
        <v>0</v>
      </c>
      <c r="BQ118" s="2934">
        <f t="shared" si="57"/>
        <v>0</v>
      </c>
      <c r="BR118" s="2934">
        <f t="shared" si="58"/>
        <v>0</v>
      </c>
      <c r="BS118" s="2934">
        <f t="shared" si="59"/>
        <v>0</v>
      </c>
      <c r="BT118" s="2982">
        <f t="shared" si="60"/>
        <v>0</v>
      </c>
    </row>
    <row r="119" spans="1:72">
      <c r="A119" s="874"/>
      <c r="B119" s="882"/>
      <c r="C119" s="882"/>
      <c r="D119" s="2933"/>
      <c r="E119" s="2934">
        <f t="shared" si="61"/>
        <v>0</v>
      </c>
      <c r="F119" s="2935"/>
      <c r="G119" s="2936">
        <f t="shared" si="36"/>
        <v>0</v>
      </c>
      <c r="H119" s="2937">
        <f t="shared" si="37"/>
        <v>0</v>
      </c>
      <c r="I119" s="2944"/>
      <c r="J119" s="2944"/>
      <c r="K119" s="2944"/>
      <c r="L119" s="2944"/>
      <c r="M119" s="2944"/>
      <c r="N119" s="2944"/>
      <c r="O119" s="2944"/>
      <c r="P119" s="2944"/>
      <c r="Q119" s="2944"/>
      <c r="R119" s="2944"/>
      <c r="S119" s="2944"/>
      <c r="T119" s="2944"/>
      <c r="U119" s="2944"/>
      <c r="V119" s="2944"/>
      <c r="W119" s="2944"/>
      <c r="X119" s="2944"/>
      <c r="Y119" s="2944"/>
      <c r="Z119" s="2944"/>
      <c r="AA119" s="2944"/>
      <c r="AB119" s="2944"/>
      <c r="AC119" s="2934">
        <f t="shared" si="38"/>
        <v>0</v>
      </c>
      <c r="AD119" s="2954"/>
      <c r="AE119" s="2954"/>
      <c r="AF119" s="2954"/>
      <c r="AG119" s="2954"/>
      <c r="AH119" s="2954"/>
      <c r="AI119" s="2954"/>
      <c r="AJ119" s="2954"/>
      <c r="AK119" s="2954"/>
      <c r="AL119" s="2954"/>
      <c r="AM119" s="2954"/>
      <c r="AN119" s="2954"/>
      <c r="AO119" s="2954"/>
      <c r="AP119" s="2954"/>
      <c r="AQ119" s="2954"/>
      <c r="AR119" s="2954"/>
      <c r="AS119" s="2954"/>
      <c r="AT119" s="2935"/>
      <c r="AU119" s="2964"/>
      <c r="AV119" s="857">
        <f t="shared" si="62"/>
        <v>0</v>
      </c>
      <c r="AW119" s="857">
        <f t="shared" si="63"/>
        <v>0</v>
      </c>
      <c r="AX119" s="857">
        <f t="shared" si="64"/>
        <v>0</v>
      </c>
      <c r="AY119" s="807">
        <f t="shared" si="39"/>
        <v>0</v>
      </c>
      <c r="AZ119" s="2934">
        <f t="shared" si="40"/>
        <v>0</v>
      </c>
      <c r="BA119" s="2934">
        <f t="shared" si="41"/>
        <v>0</v>
      </c>
      <c r="BB119" s="2934">
        <f t="shared" si="42"/>
        <v>0</v>
      </c>
      <c r="BC119" s="2934">
        <f t="shared" si="43"/>
        <v>0</v>
      </c>
      <c r="BD119" s="2934">
        <f t="shared" si="44"/>
        <v>0</v>
      </c>
      <c r="BE119" s="2934">
        <f t="shared" si="45"/>
        <v>0</v>
      </c>
      <c r="BF119" s="2934">
        <f t="shared" si="46"/>
        <v>0</v>
      </c>
      <c r="BG119" s="2934">
        <f t="shared" si="47"/>
        <v>0</v>
      </c>
      <c r="BH119" s="2934">
        <f t="shared" si="48"/>
        <v>0</v>
      </c>
      <c r="BI119" s="2934">
        <f t="shared" si="49"/>
        <v>0</v>
      </c>
      <c r="BJ119" s="2934">
        <f t="shared" si="50"/>
        <v>0</v>
      </c>
      <c r="BK119" s="2934">
        <f t="shared" si="51"/>
        <v>0</v>
      </c>
      <c r="BL119" s="2934">
        <f t="shared" si="52"/>
        <v>0</v>
      </c>
      <c r="BM119" s="2934">
        <f t="shared" si="53"/>
        <v>0</v>
      </c>
      <c r="BN119" s="2934">
        <f t="shared" si="54"/>
        <v>0</v>
      </c>
      <c r="BO119" s="2934">
        <f t="shared" si="55"/>
        <v>0</v>
      </c>
      <c r="BP119" s="2934">
        <f t="shared" si="56"/>
        <v>0</v>
      </c>
      <c r="BQ119" s="2934">
        <f t="shared" si="57"/>
        <v>0</v>
      </c>
      <c r="BR119" s="2934">
        <f t="shared" si="58"/>
        <v>0</v>
      </c>
      <c r="BS119" s="2934">
        <f t="shared" si="59"/>
        <v>0</v>
      </c>
      <c r="BT119" s="2982">
        <f t="shared" si="60"/>
        <v>0</v>
      </c>
    </row>
    <row r="120" spans="1:72">
      <c r="A120" s="874"/>
      <c r="B120" s="882"/>
      <c r="C120" s="882"/>
      <c r="D120" s="2933"/>
      <c r="E120" s="2934">
        <f t="shared" si="61"/>
        <v>0</v>
      </c>
      <c r="F120" s="2935"/>
      <c r="G120" s="2936">
        <f t="shared" si="36"/>
        <v>0</v>
      </c>
      <c r="H120" s="2937">
        <f t="shared" si="37"/>
        <v>0</v>
      </c>
      <c r="I120" s="2944"/>
      <c r="J120" s="2944"/>
      <c r="K120" s="2944"/>
      <c r="L120" s="2944"/>
      <c r="M120" s="2944"/>
      <c r="N120" s="2944"/>
      <c r="O120" s="2944"/>
      <c r="P120" s="2944"/>
      <c r="Q120" s="2944"/>
      <c r="R120" s="2944"/>
      <c r="S120" s="2944"/>
      <c r="T120" s="2944"/>
      <c r="U120" s="2944"/>
      <c r="V120" s="2944"/>
      <c r="W120" s="2944"/>
      <c r="X120" s="2944"/>
      <c r="Y120" s="2944"/>
      <c r="Z120" s="2944"/>
      <c r="AA120" s="2944"/>
      <c r="AB120" s="2944"/>
      <c r="AC120" s="2934">
        <f t="shared" si="38"/>
        <v>0</v>
      </c>
      <c r="AD120" s="2954"/>
      <c r="AE120" s="2954"/>
      <c r="AF120" s="2954"/>
      <c r="AG120" s="2954"/>
      <c r="AH120" s="2954"/>
      <c r="AI120" s="2954"/>
      <c r="AJ120" s="2954"/>
      <c r="AK120" s="2954"/>
      <c r="AL120" s="2954"/>
      <c r="AM120" s="2954"/>
      <c r="AN120" s="2954"/>
      <c r="AO120" s="2954"/>
      <c r="AP120" s="2954"/>
      <c r="AQ120" s="2954"/>
      <c r="AR120" s="2954"/>
      <c r="AS120" s="2954"/>
      <c r="AT120" s="2935"/>
      <c r="AU120" s="2964"/>
      <c r="AV120" s="857">
        <f t="shared" si="62"/>
        <v>0</v>
      </c>
      <c r="AW120" s="857">
        <f t="shared" si="63"/>
        <v>0</v>
      </c>
      <c r="AX120" s="857">
        <f t="shared" si="64"/>
        <v>0</v>
      </c>
      <c r="AY120" s="807">
        <f t="shared" si="39"/>
        <v>0</v>
      </c>
      <c r="AZ120" s="2934">
        <f t="shared" si="40"/>
        <v>0</v>
      </c>
      <c r="BA120" s="2934">
        <f t="shared" si="41"/>
        <v>0</v>
      </c>
      <c r="BB120" s="2934">
        <f t="shared" si="42"/>
        <v>0</v>
      </c>
      <c r="BC120" s="2934">
        <f t="shared" si="43"/>
        <v>0</v>
      </c>
      <c r="BD120" s="2934">
        <f t="shared" si="44"/>
        <v>0</v>
      </c>
      <c r="BE120" s="2934">
        <f t="shared" si="45"/>
        <v>0</v>
      </c>
      <c r="BF120" s="2934">
        <f t="shared" si="46"/>
        <v>0</v>
      </c>
      <c r="BG120" s="2934">
        <f t="shared" si="47"/>
        <v>0</v>
      </c>
      <c r="BH120" s="2934">
        <f t="shared" si="48"/>
        <v>0</v>
      </c>
      <c r="BI120" s="2934">
        <f t="shared" si="49"/>
        <v>0</v>
      </c>
      <c r="BJ120" s="2934">
        <f t="shared" si="50"/>
        <v>0</v>
      </c>
      <c r="BK120" s="2934">
        <f t="shared" si="51"/>
        <v>0</v>
      </c>
      <c r="BL120" s="2934">
        <f t="shared" si="52"/>
        <v>0</v>
      </c>
      <c r="BM120" s="2934">
        <f t="shared" si="53"/>
        <v>0</v>
      </c>
      <c r="BN120" s="2934">
        <f t="shared" si="54"/>
        <v>0</v>
      </c>
      <c r="BO120" s="2934">
        <f t="shared" si="55"/>
        <v>0</v>
      </c>
      <c r="BP120" s="2934">
        <f t="shared" si="56"/>
        <v>0</v>
      </c>
      <c r="BQ120" s="2934">
        <f t="shared" si="57"/>
        <v>0</v>
      </c>
      <c r="BR120" s="2934">
        <f t="shared" si="58"/>
        <v>0</v>
      </c>
      <c r="BS120" s="2934">
        <f t="shared" si="59"/>
        <v>0</v>
      </c>
      <c r="BT120" s="2982">
        <f t="shared" si="60"/>
        <v>0</v>
      </c>
    </row>
    <row r="121" spans="1:72">
      <c r="A121" s="874"/>
      <c r="B121" s="882"/>
      <c r="C121" s="882"/>
      <c r="D121" s="2933"/>
      <c r="E121" s="2934">
        <f t="shared" si="61"/>
        <v>0</v>
      </c>
      <c r="F121" s="2935"/>
      <c r="G121" s="2936">
        <f t="shared" si="36"/>
        <v>0</v>
      </c>
      <c r="H121" s="2937">
        <f t="shared" si="37"/>
        <v>0</v>
      </c>
      <c r="I121" s="2944"/>
      <c r="J121" s="2944"/>
      <c r="K121" s="2944"/>
      <c r="L121" s="2944"/>
      <c r="M121" s="2944"/>
      <c r="N121" s="2944"/>
      <c r="O121" s="2944"/>
      <c r="P121" s="2944"/>
      <c r="Q121" s="2944"/>
      <c r="R121" s="2944"/>
      <c r="S121" s="2944"/>
      <c r="T121" s="2944"/>
      <c r="U121" s="2944"/>
      <c r="V121" s="2944"/>
      <c r="W121" s="2944"/>
      <c r="X121" s="2944"/>
      <c r="Y121" s="2944"/>
      <c r="Z121" s="2944"/>
      <c r="AA121" s="2944"/>
      <c r="AB121" s="2944"/>
      <c r="AC121" s="2934">
        <f t="shared" si="38"/>
        <v>0</v>
      </c>
      <c r="AD121" s="2954"/>
      <c r="AE121" s="2954"/>
      <c r="AF121" s="2954"/>
      <c r="AG121" s="2954"/>
      <c r="AH121" s="2954"/>
      <c r="AI121" s="2954"/>
      <c r="AJ121" s="2954"/>
      <c r="AK121" s="2954"/>
      <c r="AL121" s="2954"/>
      <c r="AM121" s="2954"/>
      <c r="AN121" s="2954"/>
      <c r="AO121" s="2954"/>
      <c r="AP121" s="2954"/>
      <c r="AQ121" s="2954"/>
      <c r="AR121" s="2954"/>
      <c r="AS121" s="2954"/>
      <c r="AT121" s="2935"/>
      <c r="AU121" s="2964"/>
      <c r="AV121" s="857">
        <f t="shared" si="62"/>
        <v>0</v>
      </c>
      <c r="AW121" s="857">
        <f t="shared" si="63"/>
        <v>0</v>
      </c>
      <c r="AX121" s="857">
        <f t="shared" si="64"/>
        <v>0</v>
      </c>
      <c r="AY121" s="807">
        <f t="shared" si="39"/>
        <v>0</v>
      </c>
      <c r="AZ121" s="2934">
        <f t="shared" si="40"/>
        <v>0</v>
      </c>
      <c r="BA121" s="2934">
        <f t="shared" si="41"/>
        <v>0</v>
      </c>
      <c r="BB121" s="2934">
        <f t="shared" si="42"/>
        <v>0</v>
      </c>
      <c r="BC121" s="2934">
        <f t="shared" si="43"/>
        <v>0</v>
      </c>
      <c r="BD121" s="2934">
        <f t="shared" si="44"/>
        <v>0</v>
      </c>
      <c r="BE121" s="2934">
        <f t="shared" si="45"/>
        <v>0</v>
      </c>
      <c r="BF121" s="2934">
        <f t="shared" si="46"/>
        <v>0</v>
      </c>
      <c r="BG121" s="2934">
        <f t="shared" si="47"/>
        <v>0</v>
      </c>
      <c r="BH121" s="2934">
        <f t="shared" si="48"/>
        <v>0</v>
      </c>
      <c r="BI121" s="2934">
        <f t="shared" si="49"/>
        <v>0</v>
      </c>
      <c r="BJ121" s="2934">
        <f t="shared" si="50"/>
        <v>0</v>
      </c>
      <c r="BK121" s="2934">
        <f t="shared" si="51"/>
        <v>0</v>
      </c>
      <c r="BL121" s="2934">
        <f t="shared" si="52"/>
        <v>0</v>
      </c>
      <c r="BM121" s="2934">
        <f t="shared" si="53"/>
        <v>0</v>
      </c>
      <c r="BN121" s="2934">
        <f t="shared" si="54"/>
        <v>0</v>
      </c>
      <c r="BO121" s="2934">
        <f t="shared" si="55"/>
        <v>0</v>
      </c>
      <c r="BP121" s="2934">
        <f t="shared" si="56"/>
        <v>0</v>
      </c>
      <c r="BQ121" s="2934">
        <f t="shared" si="57"/>
        <v>0</v>
      </c>
      <c r="BR121" s="2934">
        <f t="shared" si="58"/>
        <v>0</v>
      </c>
      <c r="BS121" s="2934">
        <f t="shared" si="59"/>
        <v>0</v>
      </c>
      <c r="BT121" s="2982">
        <f t="shared" si="60"/>
        <v>0</v>
      </c>
    </row>
    <row r="122" spans="1:72">
      <c r="A122" s="874"/>
      <c r="B122" s="882"/>
      <c r="C122" s="882"/>
      <c r="D122" s="2933"/>
      <c r="E122" s="2934">
        <f t="shared" si="61"/>
        <v>0</v>
      </c>
      <c r="F122" s="2935"/>
      <c r="G122" s="2936">
        <f t="shared" si="36"/>
        <v>0</v>
      </c>
      <c r="H122" s="2937">
        <f t="shared" si="37"/>
        <v>0</v>
      </c>
      <c r="I122" s="2944"/>
      <c r="J122" s="2944"/>
      <c r="K122" s="2944"/>
      <c r="L122" s="2944"/>
      <c r="M122" s="2944"/>
      <c r="N122" s="2944"/>
      <c r="O122" s="2944"/>
      <c r="P122" s="2944"/>
      <c r="Q122" s="2944"/>
      <c r="R122" s="2944"/>
      <c r="S122" s="2944"/>
      <c r="T122" s="2944"/>
      <c r="U122" s="2944"/>
      <c r="V122" s="2944"/>
      <c r="W122" s="2944"/>
      <c r="X122" s="2944"/>
      <c r="Y122" s="2944"/>
      <c r="Z122" s="2944"/>
      <c r="AA122" s="2944"/>
      <c r="AB122" s="2944"/>
      <c r="AC122" s="2934">
        <f t="shared" si="38"/>
        <v>0</v>
      </c>
      <c r="AD122" s="2954"/>
      <c r="AE122" s="2954"/>
      <c r="AF122" s="2954"/>
      <c r="AG122" s="2954"/>
      <c r="AH122" s="2954"/>
      <c r="AI122" s="2954"/>
      <c r="AJ122" s="2954"/>
      <c r="AK122" s="2954"/>
      <c r="AL122" s="2954"/>
      <c r="AM122" s="2954"/>
      <c r="AN122" s="2954"/>
      <c r="AO122" s="2954"/>
      <c r="AP122" s="2954"/>
      <c r="AQ122" s="2954"/>
      <c r="AR122" s="2954"/>
      <c r="AS122" s="2954"/>
      <c r="AT122" s="2935"/>
      <c r="AU122" s="2964"/>
      <c r="AV122" s="857">
        <f t="shared" si="62"/>
        <v>0</v>
      </c>
      <c r="AW122" s="857">
        <f t="shared" si="63"/>
        <v>0</v>
      </c>
      <c r="AX122" s="857">
        <f t="shared" si="64"/>
        <v>0</v>
      </c>
      <c r="AY122" s="807">
        <f t="shared" si="39"/>
        <v>0</v>
      </c>
      <c r="AZ122" s="2934">
        <f t="shared" si="40"/>
        <v>0</v>
      </c>
      <c r="BA122" s="2934">
        <f t="shared" si="41"/>
        <v>0</v>
      </c>
      <c r="BB122" s="2934">
        <f t="shared" si="42"/>
        <v>0</v>
      </c>
      <c r="BC122" s="2934">
        <f t="shared" si="43"/>
        <v>0</v>
      </c>
      <c r="BD122" s="2934">
        <f t="shared" si="44"/>
        <v>0</v>
      </c>
      <c r="BE122" s="2934">
        <f t="shared" si="45"/>
        <v>0</v>
      </c>
      <c r="BF122" s="2934">
        <f t="shared" si="46"/>
        <v>0</v>
      </c>
      <c r="BG122" s="2934">
        <f t="shared" si="47"/>
        <v>0</v>
      </c>
      <c r="BH122" s="2934">
        <f t="shared" si="48"/>
        <v>0</v>
      </c>
      <c r="BI122" s="2934">
        <f t="shared" si="49"/>
        <v>0</v>
      </c>
      <c r="BJ122" s="2934">
        <f t="shared" si="50"/>
        <v>0</v>
      </c>
      <c r="BK122" s="2934">
        <f t="shared" si="51"/>
        <v>0</v>
      </c>
      <c r="BL122" s="2934">
        <f t="shared" si="52"/>
        <v>0</v>
      </c>
      <c r="BM122" s="2934">
        <f t="shared" si="53"/>
        <v>0</v>
      </c>
      <c r="BN122" s="2934">
        <f t="shared" si="54"/>
        <v>0</v>
      </c>
      <c r="BO122" s="2934">
        <f t="shared" si="55"/>
        <v>0</v>
      </c>
      <c r="BP122" s="2934">
        <f t="shared" si="56"/>
        <v>0</v>
      </c>
      <c r="BQ122" s="2934">
        <f t="shared" si="57"/>
        <v>0</v>
      </c>
      <c r="BR122" s="2934">
        <f t="shared" si="58"/>
        <v>0</v>
      </c>
      <c r="BS122" s="2934">
        <f t="shared" si="59"/>
        <v>0</v>
      </c>
      <c r="BT122" s="2982">
        <f t="shared" si="60"/>
        <v>0</v>
      </c>
    </row>
    <row r="123" spans="1:72">
      <c r="A123" s="874"/>
      <c r="B123" s="882"/>
      <c r="C123" s="882"/>
      <c r="D123" s="2933"/>
      <c r="E123" s="2934">
        <f t="shared" si="61"/>
        <v>0</v>
      </c>
      <c r="F123" s="2935"/>
      <c r="G123" s="2936">
        <f t="shared" si="36"/>
        <v>0</v>
      </c>
      <c r="H123" s="2937">
        <f t="shared" si="37"/>
        <v>0</v>
      </c>
      <c r="I123" s="2944"/>
      <c r="J123" s="2944"/>
      <c r="K123" s="2944"/>
      <c r="L123" s="2944"/>
      <c r="M123" s="2944"/>
      <c r="N123" s="2944"/>
      <c r="O123" s="2944"/>
      <c r="P123" s="2944"/>
      <c r="Q123" s="2944"/>
      <c r="R123" s="2944"/>
      <c r="S123" s="2944"/>
      <c r="T123" s="2944"/>
      <c r="U123" s="2944"/>
      <c r="V123" s="2944"/>
      <c r="W123" s="2944"/>
      <c r="X123" s="2944"/>
      <c r="Y123" s="2944"/>
      <c r="Z123" s="2944"/>
      <c r="AA123" s="2944"/>
      <c r="AB123" s="2944"/>
      <c r="AC123" s="2934">
        <f t="shared" si="38"/>
        <v>0</v>
      </c>
      <c r="AD123" s="2954"/>
      <c r="AE123" s="2954"/>
      <c r="AF123" s="2954"/>
      <c r="AG123" s="2954"/>
      <c r="AH123" s="2954"/>
      <c r="AI123" s="2954"/>
      <c r="AJ123" s="2954"/>
      <c r="AK123" s="2954"/>
      <c r="AL123" s="2954"/>
      <c r="AM123" s="2954"/>
      <c r="AN123" s="2954"/>
      <c r="AO123" s="2954"/>
      <c r="AP123" s="2954"/>
      <c r="AQ123" s="2954"/>
      <c r="AR123" s="2954"/>
      <c r="AS123" s="2954"/>
      <c r="AT123" s="2935"/>
      <c r="AU123" s="2964"/>
      <c r="AV123" s="857">
        <f t="shared" si="62"/>
        <v>0</v>
      </c>
      <c r="AW123" s="857">
        <f t="shared" si="63"/>
        <v>0</v>
      </c>
      <c r="AX123" s="857">
        <f t="shared" si="64"/>
        <v>0</v>
      </c>
      <c r="AY123" s="807">
        <f t="shared" si="39"/>
        <v>0</v>
      </c>
      <c r="AZ123" s="2934">
        <f t="shared" si="40"/>
        <v>0</v>
      </c>
      <c r="BA123" s="2934">
        <f t="shared" si="41"/>
        <v>0</v>
      </c>
      <c r="BB123" s="2934">
        <f t="shared" si="42"/>
        <v>0</v>
      </c>
      <c r="BC123" s="2934">
        <f t="shared" si="43"/>
        <v>0</v>
      </c>
      <c r="BD123" s="2934">
        <f t="shared" si="44"/>
        <v>0</v>
      </c>
      <c r="BE123" s="2934">
        <f t="shared" si="45"/>
        <v>0</v>
      </c>
      <c r="BF123" s="2934">
        <f t="shared" si="46"/>
        <v>0</v>
      </c>
      <c r="BG123" s="2934">
        <f t="shared" si="47"/>
        <v>0</v>
      </c>
      <c r="BH123" s="2934">
        <f t="shared" si="48"/>
        <v>0</v>
      </c>
      <c r="BI123" s="2934">
        <f t="shared" si="49"/>
        <v>0</v>
      </c>
      <c r="BJ123" s="2934">
        <f t="shared" si="50"/>
        <v>0</v>
      </c>
      <c r="BK123" s="2934">
        <f t="shared" si="51"/>
        <v>0</v>
      </c>
      <c r="BL123" s="2934">
        <f t="shared" si="52"/>
        <v>0</v>
      </c>
      <c r="BM123" s="2934">
        <f t="shared" si="53"/>
        <v>0</v>
      </c>
      <c r="BN123" s="2934">
        <f t="shared" si="54"/>
        <v>0</v>
      </c>
      <c r="BO123" s="2934">
        <f t="shared" si="55"/>
        <v>0</v>
      </c>
      <c r="BP123" s="2934">
        <f t="shared" si="56"/>
        <v>0</v>
      </c>
      <c r="BQ123" s="2934">
        <f t="shared" si="57"/>
        <v>0</v>
      </c>
      <c r="BR123" s="2934">
        <f t="shared" si="58"/>
        <v>0</v>
      </c>
      <c r="BS123" s="2934">
        <f t="shared" si="59"/>
        <v>0</v>
      </c>
      <c r="BT123" s="2982">
        <f t="shared" si="60"/>
        <v>0</v>
      </c>
    </row>
    <row r="124" spans="1:72">
      <c r="A124" s="874"/>
      <c r="B124" s="882"/>
      <c r="C124" s="882"/>
      <c r="D124" s="2933"/>
      <c r="E124" s="2934">
        <f t="shared" si="61"/>
        <v>0</v>
      </c>
      <c r="F124" s="2935"/>
      <c r="G124" s="2936">
        <f t="shared" si="36"/>
        <v>0</v>
      </c>
      <c r="H124" s="2937">
        <f t="shared" si="37"/>
        <v>0</v>
      </c>
      <c r="I124" s="2944"/>
      <c r="J124" s="2944"/>
      <c r="K124" s="2944"/>
      <c r="L124" s="2944"/>
      <c r="M124" s="2944"/>
      <c r="N124" s="2944"/>
      <c r="O124" s="2944"/>
      <c r="P124" s="2944"/>
      <c r="Q124" s="2944"/>
      <c r="R124" s="2944"/>
      <c r="S124" s="2944"/>
      <c r="T124" s="2944"/>
      <c r="U124" s="2944"/>
      <c r="V124" s="2944"/>
      <c r="W124" s="2944"/>
      <c r="X124" s="2944"/>
      <c r="Y124" s="2944"/>
      <c r="Z124" s="2944"/>
      <c r="AA124" s="2944"/>
      <c r="AB124" s="2944"/>
      <c r="AC124" s="2934">
        <f t="shared" si="38"/>
        <v>0</v>
      </c>
      <c r="AD124" s="2954"/>
      <c r="AE124" s="2954"/>
      <c r="AF124" s="2954"/>
      <c r="AG124" s="2954"/>
      <c r="AH124" s="2954"/>
      <c r="AI124" s="2954"/>
      <c r="AJ124" s="2954"/>
      <c r="AK124" s="2954"/>
      <c r="AL124" s="2954"/>
      <c r="AM124" s="2954"/>
      <c r="AN124" s="2954"/>
      <c r="AO124" s="2954"/>
      <c r="AP124" s="2954"/>
      <c r="AQ124" s="2954"/>
      <c r="AR124" s="2954"/>
      <c r="AS124" s="2954"/>
      <c r="AT124" s="2935"/>
      <c r="AU124" s="2964"/>
      <c r="AV124" s="857">
        <f t="shared" si="62"/>
        <v>0</v>
      </c>
      <c r="AW124" s="857">
        <f t="shared" si="63"/>
        <v>0</v>
      </c>
      <c r="AX124" s="857">
        <f t="shared" si="64"/>
        <v>0</v>
      </c>
      <c r="AY124" s="807">
        <f t="shared" si="39"/>
        <v>0</v>
      </c>
      <c r="AZ124" s="2934">
        <f t="shared" si="40"/>
        <v>0</v>
      </c>
      <c r="BA124" s="2934">
        <f t="shared" si="41"/>
        <v>0</v>
      </c>
      <c r="BB124" s="2934">
        <f t="shared" si="42"/>
        <v>0</v>
      </c>
      <c r="BC124" s="2934">
        <f t="shared" si="43"/>
        <v>0</v>
      </c>
      <c r="BD124" s="2934">
        <f t="shared" si="44"/>
        <v>0</v>
      </c>
      <c r="BE124" s="2934">
        <f t="shared" si="45"/>
        <v>0</v>
      </c>
      <c r="BF124" s="2934">
        <f t="shared" si="46"/>
        <v>0</v>
      </c>
      <c r="BG124" s="2934">
        <f t="shared" si="47"/>
        <v>0</v>
      </c>
      <c r="BH124" s="2934">
        <f t="shared" si="48"/>
        <v>0</v>
      </c>
      <c r="BI124" s="2934">
        <f t="shared" si="49"/>
        <v>0</v>
      </c>
      <c r="BJ124" s="2934">
        <f t="shared" si="50"/>
        <v>0</v>
      </c>
      <c r="BK124" s="2934">
        <f t="shared" si="51"/>
        <v>0</v>
      </c>
      <c r="BL124" s="2934">
        <f t="shared" si="52"/>
        <v>0</v>
      </c>
      <c r="BM124" s="2934">
        <f t="shared" si="53"/>
        <v>0</v>
      </c>
      <c r="BN124" s="2934">
        <f t="shared" si="54"/>
        <v>0</v>
      </c>
      <c r="BO124" s="2934">
        <f t="shared" si="55"/>
        <v>0</v>
      </c>
      <c r="BP124" s="2934">
        <f t="shared" si="56"/>
        <v>0</v>
      </c>
      <c r="BQ124" s="2934">
        <f t="shared" si="57"/>
        <v>0</v>
      </c>
      <c r="BR124" s="2934">
        <f t="shared" si="58"/>
        <v>0</v>
      </c>
      <c r="BS124" s="2934">
        <f t="shared" si="59"/>
        <v>0</v>
      </c>
      <c r="BT124" s="2982">
        <f t="shared" si="60"/>
        <v>0</v>
      </c>
    </row>
    <row r="125" spans="1:72">
      <c r="A125" s="874"/>
      <c r="B125" s="882"/>
      <c r="C125" s="882"/>
      <c r="D125" s="2933"/>
      <c r="E125" s="2934">
        <f t="shared" si="61"/>
        <v>0</v>
      </c>
      <c r="F125" s="2935"/>
      <c r="G125" s="2936">
        <f t="shared" si="36"/>
        <v>0</v>
      </c>
      <c r="H125" s="2937">
        <f t="shared" si="37"/>
        <v>0</v>
      </c>
      <c r="I125" s="2944"/>
      <c r="J125" s="2944"/>
      <c r="K125" s="2944"/>
      <c r="L125" s="2944"/>
      <c r="M125" s="2944"/>
      <c r="N125" s="2944"/>
      <c r="O125" s="2944"/>
      <c r="P125" s="2944"/>
      <c r="Q125" s="2944"/>
      <c r="R125" s="2944"/>
      <c r="S125" s="2944"/>
      <c r="T125" s="2944"/>
      <c r="U125" s="2944"/>
      <c r="V125" s="2944"/>
      <c r="W125" s="2944"/>
      <c r="X125" s="2944"/>
      <c r="Y125" s="2944"/>
      <c r="Z125" s="2944"/>
      <c r="AA125" s="2944"/>
      <c r="AB125" s="2944"/>
      <c r="AC125" s="2934">
        <f t="shared" si="38"/>
        <v>0</v>
      </c>
      <c r="AD125" s="2954"/>
      <c r="AE125" s="2954"/>
      <c r="AF125" s="2954"/>
      <c r="AG125" s="2954"/>
      <c r="AH125" s="2954"/>
      <c r="AI125" s="2954"/>
      <c r="AJ125" s="2954"/>
      <c r="AK125" s="2954"/>
      <c r="AL125" s="2954"/>
      <c r="AM125" s="2954"/>
      <c r="AN125" s="2954"/>
      <c r="AO125" s="2954"/>
      <c r="AP125" s="2954"/>
      <c r="AQ125" s="2954"/>
      <c r="AR125" s="2954"/>
      <c r="AS125" s="2954"/>
      <c r="AT125" s="2935"/>
      <c r="AU125" s="2964"/>
      <c r="AV125" s="857">
        <f t="shared" si="62"/>
        <v>0</v>
      </c>
      <c r="AW125" s="857">
        <f t="shared" si="63"/>
        <v>0</v>
      </c>
      <c r="AX125" s="857">
        <f t="shared" si="64"/>
        <v>0</v>
      </c>
      <c r="AY125" s="807">
        <f t="shared" si="39"/>
        <v>0</v>
      </c>
      <c r="AZ125" s="2934">
        <f t="shared" si="40"/>
        <v>0</v>
      </c>
      <c r="BA125" s="2934">
        <f t="shared" si="41"/>
        <v>0</v>
      </c>
      <c r="BB125" s="2934">
        <f t="shared" si="42"/>
        <v>0</v>
      </c>
      <c r="BC125" s="2934">
        <f t="shared" si="43"/>
        <v>0</v>
      </c>
      <c r="BD125" s="2934">
        <f t="shared" si="44"/>
        <v>0</v>
      </c>
      <c r="BE125" s="2934">
        <f t="shared" si="45"/>
        <v>0</v>
      </c>
      <c r="BF125" s="2934">
        <f t="shared" si="46"/>
        <v>0</v>
      </c>
      <c r="BG125" s="2934">
        <f t="shared" si="47"/>
        <v>0</v>
      </c>
      <c r="BH125" s="2934">
        <f t="shared" si="48"/>
        <v>0</v>
      </c>
      <c r="BI125" s="2934">
        <f t="shared" si="49"/>
        <v>0</v>
      </c>
      <c r="BJ125" s="2934">
        <f t="shared" si="50"/>
        <v>0</v>
      </c>
      <c r="BK125" s="2934">
        <f t="shared" si="51"/>
        <v>0</v>
      </c>
      <c r="BL125" s="2934">
        <f t="shared" si="52"/>
        <v>0</v>
      </c>
      <c r="BM125" s="2934">
        <f t="shared" si="53"/>
        <v>0</v>
      </c>
      <c r="BN125" s="2934">
        <f t="shared" si="54"/>
        <v>0</v>
      </c>
      <c r="BO125" s="2934">
        <f t="shared" si="55"/>
        <v>0</v>
      </c>
      <c r="BP125" s="2934">
        <f t="shared" si="56"/>
        <v>0</v>
      </c>
      <c r="BQ125" s="2934">
        <f t="shared" si="57"/>
        <v>0</v>
      </c>
      <c r="BR125" s="2934">
        <f t="shared" si="58"/>
        <v>0</v>
      </c>
      <c r="BS125" s="2934">
        <f t="shared" si="59"/>
        <v>0</v>
      </c>
      <c r="BT125" s="2982">
        <f t="shared" si="60"/>
        <v>0</v>
      </c>
    </row>
    <row r="126" spans="1:72">
      <c r="A126" s="874"/>
      <c r="B126" s="882"/>
      <c r="C126" s="882"/>
      <c r="D126" s="2933"/>
      <c r="E126" s="2934">
        <f t="shared" si="61"/>
        <v>0</v>
      </c>
      <c r="F126" s="2935"/>
      <c r="G126" s="2936">
        <f t="shared" si="36"/>
        <v>0</v>
      </c>
      <c r="H126" s="2937">
        <f t="shared" si="37"/>
        <v>0</v>
      </c>
      <c r="I126" s="2944"/>
      <c r="J126" s="2944"/>
      <c r="K126" s="2944"/>
      <c r="L126" s="2944"/>
      <c r="M126" s="2944"/>
      <c r="N126" s="2944"/>
      <c r="O126" s="2944"/>
      <c r="P126" s="2944"/>
      <c r="Q126" s="2944"/>
      <c r="R126" s="2944"/>
      <c r="S126" s="2944"/>
      <c r="T126" s="2944"/>
      <c r="U126" s="2944"/>
      <c r="V126" s="2944"/>
      <c r="W126" s="2944"/>
      <c r="X126" s="2944"/>
      <c r="Y126" s="2944"/>
      <c r="Z126" s="2944"/>
      <c r="AA126" s="2944"/>
      <c r="AB126" s="2944"/>
      <c r="AC126" s="2934">
        <f t="shared" si="38"/>
        <v>0</v>
      </c>
      <c r="AD126" s="2954"/>
      <c r="AE126" s="2954"/>
      <c r="AF126" s="2954"/>
      <c r="AG126" s="2954"/>
      <c r="AH126" s="2954"/>
      <c r="AI126" s="2954"/>
      <c r="AJ126" s="2954"/>
      <c r="AK126" s="2954"/>
      <c r="AL126" s="2954"/>
      <c r="AM126" s="2954"/>
      <c r="AN126" s="2954"/>
      <c r="AO126" s="2954"/>
      <c r="AP126" s="2954"/>
      <c r="AQ126" s="2954"/>
      <c r="AR126" s="2954"/>
      <c r="AS126" s="2954"/>
      <c r="AT126" s="2935"/>
      <c r="AU126" s="2964"/>
      <c r="AV126" s="857">
        <f t="shared" si="62"/>
        <v>0</v>
      </c>
      <c r="AW126" s="857">
        <f t="shared" si="63"/>
        <v>0</v>
      </c>
      <c r="AX126" s="857">
        <f t="shared" si="64"/>
        <v>0</v>
      </c>
      <c r="AY126" s="807">
        <f t="shared" si="39"/>
        <v>0</v>
      </c>
      <c r="AZ126" s="2934">
        <f t="shared" si="40"/>
        <v>0</v>
      </c>
      <c r="BA126" s="2934">
        <f t="shared" si="41"/>
        <v>0</v>
      </c>
      <c r="BB126" s="2934">
        <f t="shared" si="42"/>
        <v>0</v>
      </c>
      <c r="BC126" s="2934">
        <f t="shared" si="43"/>
        <v>0</v>
      </c>
      <c r="BD126" s="2934">
        <f t="shared" si="44"/>
        <v>0</v>
      </c>
      <c r="BE126" s="2934">
        <f t="shared" si="45"/>
        <v>0</v>
      </c>
      <c r="BF126" s="2934">
        <f t="shared" si="46"/>
        <v>0</v>
      </c>
      <c r="BG126" s="2934">
        <f t="shared" si="47"/>
        <v>0</v>
      </c>
      <c r="BH126" s="2934">
        <f t="shared" si="48"/>
        <v>0</v>
      </c>
      <c r="BI126" s="2934">
        <f t="shared" si="49"/>
        <v>0</v>
      </c>
      <c r="BJ126" s="2934">
        <f t="shared" si="50"/>
        <v>0</v>
      </c>
      <c r="BK126" s="2934">
        <f t="shared" si="51"/>
        <v>0</v>
      </c>
      <c r="BL126" s="2934">
        <f t="shared" si="52"/>
        <v>0</v>
      </c>
      <c r="BM126" s="2934">
        <f t="shared" si="53"/>
        <v>0</v>
      </c>
      <c r="BN126" s="2934">
        <f t="shared" si="54"/>
        <v>0</v>
      </c>
      <c r="BO126" s="2934">
        <f t="shared" si="55"/>
        <v>0</v>
      </c>
      <c r="BP126" s="2934">
        <f t="shared" si="56"/>
        <v>0</v>
      </c>
      <c r="BQ126" s="2934">
        <f t="shared" si="57"/>
        <v>0</v>
      </c>
      <c r="BR126" s="2934">
        <f t="shared" si="58"/>
        <v>0</v>
      </c>
      <c r="BS126" s="2934">
        <f t="shared" si="59"/>
        <v>0</v>
      </c>
      <c r="BT126" s="2982">
        <f t="shared" si="60"/>
        <v>0</v>
      </c>
    </row>
    <row r="127" spans="1:72">
      <c r="A127" s="874"/>
      <c r="B127" s="882"/>
      <c r="C127" s="882"/>
      <c r="D127" s="2933"/>
      <c r="E127" s="2934">
        <f t="shared" si="61"/>
        <v>0</v>
      </c>
      <c r="F127" s="2935"/>
      <c r="G127" s="2936">
        <f t="shared" si="36"/>
        <v>0</v>
      </c>
      <c r="H127" s="2937">
        <f t="shared" si="37"/>
        <v>0</v>
      </c>
      <c r="I127" s="2944"/>
      <c r="J127" s="2944"/>
      <c r="K127" s="2944"/>
      <c r="L127" s="2944"/>
      <c r="M127" s="2944"/>
      <c r="N127" s="2944"/>
      <c r="O127" s="2944"/>
      <c r="P127" s="2944"/>
      <c r="Q127" s="2944"/>
      <c r="R127" s="2944"/>
      <c r="S127" s="2944"/>
      <c r="T127" s="2944"/>
      <c r="U127" s="2944"/>
      <c r="V127" s="2944"/>
      <c r="W127" s="2944"/>
      <c r="X127" s="2944"/>
      <c r="Y127" s="2944"/>
      <c r="Z127" s="2944"/>
      <c r="AA127" s="2944"/>
      <c r="AB127" s="2944"/>
      <c r="AC127" s="2934">
        <f t="shared" si="38"/>
        <v>0</v>
      </c>
      <c r="AD127" s="2954"/>
      <c r="AE127" s="2954"/>
      <c r="AF127" s="2954"/>
      <c r="AG127" s="2954"/>
      <c r="AH127" s="2954"/>
      <c r="AI127" s="2954"/>
      <c r="AJ127" s="2954"/>
      <c r="AK127" s="2954"/>
      <c r="AL127" s="2954"/>
      <c r="AM127" s="2954"/>
      <c r="AN127" s="2954"/>
      <c r="AO127" s="2954"/>
      <c r="AP127" s="2954"/>
      <c r="AQ127" s="2954"/>
      <c r="AR127" s="2954"/>
      <c r="AS127" s="2954"/>
      <c r="AT127" s="2935"/>
      <c r="AU127" s="2964"/>
      <c r="AV127" s="857">
        <f t="shared" si="62"/>
        <v>0</v>
      </c>
      <c r="AW127" s="857">
        <f t="shared" si="63"/>
        <v>0</v>
      </c>
      <c r="AX127" s="857">
        <f t="shared" si="64"/>
        <v>0</v>
      </c>
      <c r="AY127" s="807">
        <f t="shared" si="39"/>
        <v>0</v>
      </c>
      <c r="AZ127" s="2934">
        <f t="shared" si="40"/>
        <v>0</v>
      </c>
      <c r="BA127" s="2934">
        <f t="shared" si="41"/>
        <v>0</v>
      </c>
      <c r="BB127" s="2934">
        <f t="shared" si="42"/>
        <v>0</v>
      </c>
      <c r="BC127" s="2934">
        <f t="shared" si="43"/>
        <v>0</v>
      </c>
      <c r="BD127" s="2934">
        <f t="shared" si="44"/>
        <v>0</v>
      </c>
      <c r="BE127" s="2934">
        <f t="shared" si="45"/>
        <v>0</v>
      </c>
      <c r="BF127" s="2934">
        <f t="shared" si="46"/>
        <v>0</v>
      </c>
      <c r="BG127" s="2934">
        <f t="shared" si="47"/>
        <v>0</v>
      </c>
      <c r="BH127" s="2934">
        <f t="shared" si="48"/>
        <v>0</v>
      </c>
      <c r="BI127" s="2934">
        <f t="shared" si="49"/>
        <v>0</v>
      </c>
      <c r="BJ127" s="2934">
        <f t="shared" si="50"/>
        <v>0</v>
      </c>
      <c r="BK127" s="2934">
        <f t="shared" si="51"/>
        <v>0</v>
      </c>
      <c r="BL127" s="2934">
        <f t="shared" si="52"/>
        <v>0</v>
      </c>
      <c r="BM127" s="2934">
        <f t="shared" si="53"/>
        <v>0</v>
      </c>
      <c r="BN127" s="2934">
        <f t="shared" si="54"/>
        <v>0</v>
      </c>
      <c r="BO127" s="2934">
        <f t="shared" si="55"/>
        <v>0</v>
      </c>
      <c r="BP127" s="2934">
        <f t="shared" si="56"/>
        <v>0</v>
      </c>
      <c r="BQ127" s="2934">
        <f t="shared" si="57"/>
        <v>0</v>
      </c>
      <c r="BR127" s="2934">
        <f t="shared" si="58"/>
        <v>0</v>
      </c>
      <c r="BS127" s="2934">
        <f t="shared" si="59"/>
        <v>0</v>
      </c>
      <c r="BT127" s="2982">
        <f t="shared" si="60"/>
        <v>0</v>
      </c>
    </row>
    <row r="128" spans="1:72">
      <c r="A128" s="874"/>
      <c r="B128" s="882"/>
      <c r="C128" s="882"/>
      <c r="D128" s="2933"/>
      <c r="E128" s="2934">
        <f t="shared" si="61"/>
        <v>0</v>
      </c>
      <c r="F128" s="2935"/>
      <c r="G128" s="2936">
        <f t="shared" si="36"/>
        <v>0</v>
      </c>
      <c r="H128" s="2937">
        <f t="shared" si="37"/>
        <v>0</v>
      </c>
      <c r="I128" s="2944"/>
      <c r="J128" s="2944"/>
      <c r="K128" s="2944"/>
      <c r="L128" s="2944"/>
      <c r="M128" s="2944"/>
      <c r="N128" s="2944"/>
      <c r="O128" s="2944"/>
      <c r="P128" s="2944"/>
      <c r="Q128" s="2944"/>
      <c r="R128" s="2944"/>
      <c r="S128" s="2944"/>
      <c r="T128" s="2944"/>
      <c r="U128" s="2944"/>
      <c r="V128" s="2944"/>
      <c r="W128" s="2944"/>
      <c r="X128" s="2944"/>
      <c r="Y128" s="2944"/>
      <c r="Z128" s="2944"/>
      <c r="AA128" s="2944"/>
      <c r="AB128" s="2944"/>
      <c r="AC128" s="2934">
        <f t="shared" si="38"/>
        <v>0</v>
      </c>
      <c r="AD128" s="2954"/>
      <c r="AE128" s="2954"/>
      <c r="AF128" s="2954"/>
      <c r="AG128" s="2954"/>
      <c r="AH128" s="2954"/>
      <c r="AI128" s="2954"/>
      <c r="AJ128" s="2954"/>
      <c r="AK128" s="2954"/>
      <c r="AL128" s="2954"/>
      <c r="AM128" s="2954"/>
      <c r="AN128" s="2954"/>
      <c r="AO128" s="2954"/>
      <c r="AP128" s="2954"/>
      <c r="AQ128" s="2954"/>
      <c r="AR128" s="2954"/>
      <c r="AS128" s="2954"/>
      <c r="AT128" s="2935"/>
      <c r="AU128" s="2964"/>
      <c r="AV128" s="857">
        <f t="shared" si="62"/>
        <v>0</v>
      </c>
      <c r="AW128" s="857">
        <f t="shared" si="63"/>
        <v>0</v>
      </c>
      <c r="AX128" s="857">
        <f t="shared" si="64"/>
        <v>0</v>
      </c>
      <c r="AY128" s="807">
        <f t="shared" si="39"/>
        <v>0</v>
      </c>
      <c r="AZ128" s="2934">
        <f t="shared" si="40"/>
        <v>0</v>
      </c>
      <c r="BA128" s="2934">
        <f t="shared" si="41"/>
        <v>0</v>
      </c>
      <c r="BB128" s="2934">
        <f t="shared" si="42"/>
        <v>0</v>
      </c>
      <c r="BC128" s="2934">
        <f t="shared" si="43"/>
        <v>0</v>
      </c>
      <c r="BD128" s="2934">
        <f t="shared" si="44"/>
        <v>0</v>
      </c>
      <c r="BE128" s="2934">
        <f t="shared" si="45"/>
        <v>0</v>
      </c>
      <c r="BF128" s="2934">
        <f t="shared" si="46"/>
        <v>0</v>
      </c>
      <c r="BG128" s="2934">
        <f t="shared" si="47"/>
        <v>0</v>
      </c>
      <c r="BH128" s="2934">
        <f t="shared" si="48"/>
        <v>0</v>
      </c>
      <c r="BI128" s="2934">
        <f t="shared" si="49"/>
        <v>0</v>
      </c>
      <c r="BJ128" s="2934">
        <f t="shared" si="50"/>
        <v>0</v>
      </c>
      <c r="BK128" s="2934">
        <f t="shared" si="51"/>
        <v>0</v>
      </c>
      <c r="BL128" s="2934">
        <f t="shared" si="52"/>
        <v>0</v>
      </c>
      <c r="BM128" s="2934">
        <f t="shared" si="53"/>
        <v>0</v>
      </c>
      <c r="BN128" s="2934">
        <f t="shared" si="54"/>
        <v>0</v>
      </c>
      <c r="BO128" s="2934">
        <f t="shared" si="55"/>
        <v>0</v>
      </c>
      <c r="BP128" s="2934">
        <f t="shared" si="56"/>
        <v>0</v>
      </c>
      <c r="BQ128" s="2934">
        <f t="shared" si="57"/>
        <v>0</v>
      </c>
      <c r="BR128" s="2934">
        <f t="shared" si="58"/>
        <v>0</v>
      </c>
      <c r="BS128" s="2934">
        <f t="shared" si="59"/>
        <v>0</v>
      </c>
      <c r="BT128" s="2982">
        <f t="shared" si="60"/>
        <v>0</v>
      </c>
    </row>
    <row r="129" spans="1:72">
      <c r="A129" s="874"/>
      <c r="B129" s="882"/>
      <c r="C129" s="882"/>
      <c r="D129" s="2933"/>
      <c r="E129" s="2934">
        <f t="shared" si="61"/>
        <v>0</v>
      </c>
      <c r="F129" s="2935"/>
      <c r="G129" s="2936">
        <f t="shared" si="36"/>
        <v>0</v>
      </c>
      <c r="H129" s="2937">
        <f t="shared" si="37"/>
        <v>0</v>
      </c>
      <c r="I129" s="2944"/>
      <c r="J129" s="2944"/>
      <c r="K129" s="2944"/>
      <c r="L129" s="2944"/>
      <c r="M129" s="2944"/>
      <c r="N129" s="2944"/>
      <c r="O129" s="2944"/>
      <c r="P129" s="2944"/>
      <c r="Q129" s="2944"/>
      <c r="R129" s="2944"/>
      <c r="S129" s="2944"/>
      <c r="T129" s="2944"/>
      <c r="U129" s="2944"/>
      <c r="V129" s="2944"/>
      <c r="W129" s="2944"/>
      <c r="X129" s="2944"/>
      <c r="Y129" s="2944"/>
      <c r="Z129" s="2944"/>
      <c r="AA129" s="2944"/>
      <c r="AB129" s="2944"/>
      <c r="AC129" s="2934">
        <f t="shared" si="38"/>
        <v>0</v>
      </c>
      <c r="AD129" s="2954"/>
      <c r="AE129" s="2954"/>
      <c r="AF129" s="2954"/>
      <c r="AG129" s="2954"/>
      <c r="AH129" s="2954"/>
      <c r="AI129" s="2954"/>
      <c r="AJ129" s="2954"/>
      <c r="AK129" s="2954"/>
      <c r="AL129" s="2954"/>
      <c r="AM129" s="2954"/>
      <c r="AN129" s="2954"/>
      <c r="AO129" s="2954"/>
      <c r="AP129" s="2954"/>
      <c r="AQ129" s="2954"/>
      <c r="AR129" s="2954"/>
      <c r="AS129" s="2954"/>
      <c r="AT129" s="2935"/>
      <c r="AU129" s="2964"/>
      <c r="AV129" s="857">
        <f t="shared" si="62"/>
        <v>0</v>
      </c>
      <c r="AW129" s="857">
        <f t="shared" si="63"/>
        <v>0</v>
      </c>
      <c r="AX129" s="857">
        <f t="shared" si="64"/>
        <v>0</v>
      </c>
      <c r="AY129" s="807">
        <f t="shared" si="39"/>
        <v>0</v>
      </c>
      <c r="AZ129" s="2934">
        <f t="shared" si="40"/>
        <v>0</v>
      </c>
      <c r="BA129" s="2934">
        <f t="shared" si="41"/>
        <v>0</v>
      </c>
      <c r="BB129" s="2934">
        <f t="shared" si="42"/>
        <v>0</v>
      </c>
      <c r="BC129" s="2934">
        <f t="shared" si="43"/>
        <v>0</v>
      </c>
      <c r="BD129" s="2934">
        <f t="shared" si="44"/>
        <v>0</v>
      </c>
      <c r="BE129" s="2934">
        <f t="shared" si="45"/>
        <v>0</v>
      </c>
      <c r="BF129" s="2934">
        <f t="shared" si="46"/>
        <v>0</v>
      </c>
      <c r="BG129" s="2934">
        <f t="shared" si="47"/>
        <v>0</v>
      </c>
      <c r="BH129" s="2934">
        <f t="shared" si="48"/>
        <v>0</v>
      </c>
      <c r="BI129" s="2934">
        <f t="shared" si="49"/>
        <v>0</v>
      </c>
      <c r="BJ129" s="2934">
        <f t="shared" si="50"/>
        <v>0</v>
      </c>
      <c r="BK129" s="2934">
        <f t="shared" si="51"/>
        <v>0</v>
      </c>
      <c r="BL129" s="2934">
        <f t="shared" si="52"/>
        <v>0</v>
      </c>
      <c r="BM129" s="2934">
        <f t="shared" si="53"/>
        <v>0</v>
      </c>
      <c r="BN129" s="2934">
        <f t="shared" si="54"/>
        <v>0</v>
      </c>
      <c r="BO129" s="2934">
        <f t="shared" si="55"/>
        <v>0</v>
      </c>
      <c r="BP129" s="2934">
        <f t="shared" si="56"/>
        <v>0</v>
      </c>
      <c r="BQ129" s="2934">
        <f t="shared" si="57"/>
        <v>0</v>
      </c>
      <c r="BR129" s="2934">
        <f t="shared" si="58"/>
        <v>0</v>
      </c>
      <c r="BS129" s="2934">
        <f t="shared" si="59"/>
        <v>0</v>
      </c>
      <c r="BT129" s="2982">
        <f t="shared" si="60"/>
        <v>0</v>
      </c>
    </row>
    <row r="130" spans="1:72">
      <c r="A130" s="874"/>
      <c r="B130" s="882"/>
      <c r="C130" s="882"/>
      <c r="D130" s="2933"/>
      <c r="E130" s="2934">
        <f t="shared" si="61"/>
        <v>0</v>
      </c>
      <c r="F130" s="2935"/>
      <c r="G130" s="2936">
        <f t="shared" si="36"/>
        <v>0</v>
      </c>
      <c r="H130" s="2937">
        <f t="shared" si="37"/>
        <v>0</v>
      </c>
      <c r="I130" s="2944"/>
      <c r="J130" s="2944"/>
      <c r="K130" s="2944"/>
      <c r="L130" s="2944"/>
      <c r="M130" s="2944"/>
      <c r="N130" s="2944"/>
      <c r="O130" s="2944"/>
      <c r="P130" s="2944"/>
      <c r="Q130" s="2944"/>
      <c r="R130" s="2944"/>
      <c r="S130" s="2944"/>
      <c r="T130" s="2944"/>
      <c r="U130" s="2944"/>
      <c r="V130" s="2944"/>
      <c r="W130" s="2944"/>
      <c r="X130" s="2944"/>
      <c r="Y130" s="2944"/>
      <c r="Z130" s="2944"/>
      <c r="AA130" s="2944"/>
      <c r="AB130" s="2944"/>
      <c r="AC130" s="2934">
        <f t="shared" si="38"/>
        <v>0</v>
      </c>
      <c r="AD130" s="2954"/>
      <c r="AE130" s="2954"/>
      <c r="AF130" s="2954"/>
      <c r="AG130" s="2954"/>
      <c r="AH130" s="2954"/>
      <c r="AI130" s="2954"/>
      <c r="AJ130" s="2954"/>
      <c r="AK130" s="2954"/>
      <c r="AL130" s="2954"/>
      <c r="AM130" s="2954"/>
      <c r="AN130" s="2954"/>
      <c r="AO130" s="2954"/>
      <c r="AP130" s="2954"/>
      <c r="AQ130" s="2954"/>
      <c r="AR130" s="2954"/>
      <c r="AS130" s="2954"/>
      <c r="AT130" s="2935"/>
      <c r="AU130" s="2964"/>
      <c r="AV130" s="857">
        <f t="shared" si="62"/>
        <v>0</v>
      </c>
      <c r="AW130" s="857">
        <f t="shared" si="63"/>
        <v>0</v>
      </c>
      <c r="AX130" s="857">
        <f t="shared" si="64"/>
        <v>0</v>
      </c>
      <c r="AY130" s="807">
        <f t="shared" si="39"/>
        <v>0</v>
      </c>
      <c r="AZ130" s="2934">
        <f t="shared" si="40"/>
        <v>0</v>
      </c>
      <c r="BA130" s="2934">
        <f t="shared" si="41"/>
        <v>0</v>
      </c>
      <c r="BB130" s="2934">
        <f t="shared" si="42"/>
        <v>0</v>
      </c>
      <c r="BC130" s="2934">
        <f t="shared" si="43"/>
        <v>0</v>
      </c>
      <c r="BD130" s="2934">
        <f t="shared" si="44"/>
        <v>0</v>
      </c>
      <c r="BE130" s="2934">
        <f t="shared" si="45"/>
        <v>0</v>
      </c>
      <c r="BF130" s="2934">
        <f t="shared" si="46"/>
        <v>0</v>
      </c>
      <c r="BG130" s="2934">
        <f t="shared" si="47"/>
        <v>0</v>
      </c>
      <c r="BH130" s="2934">
        <f t="shared" si="48"/>
        <v>0</v>
      </c>
      <c r="BI130" s="2934">
        <f t="shared" si="49"/>
        <v>0</v>
      </c>
      <c r="BJ130" s="2934">
        <f t="shared" si="50"/>
        <v>0</v>
      </c>
      <c r="BK130" s="2934">
        <f t="shared" si="51"/>
        <v>0</v>
      </c>
      <c r="BL130" s="2934">
        <f t="shared" si="52"/>
        <v>0</v>
      </c>
      <c r="BM130" s="2934">
        <f t="shared" si="53"/>
        <v>0</v>
      </c>
      <c r="BN130" s="2934">
        <f t="shared" si="54"/>
        <v>0</v>
      </c>
      <c r="BO130" s="2934">
        <f t="shared" si="55"/>
        <v>0</v>
      </c>
      <c r="BP130" s="2934">
        <f t="shared" si="56"/>
        <v>0</v>
      </c>
      <c r="BQ130" s="2934">
        <f t="shared" si="57"/>
        <v>0</v>
      </c>
      <c r="BR130" s="2934">
        <f t="shared" si="58"/>
        <v>0</v>
      </c>
      <c r="BS130" s="2934">
        <f t="shared" si="59"/>
        <v>0</v>
      </c>
      <c r="BT130" s="2982">
        <f t="shared" si="60"/>
        <v>0</v>
      </c>
    </row>
    <row r="131" spans="1:72">
      <c r="A131" s="874"/>
      <c r="B131" s="882"/>
      <c r="C131" s="882"/>
      <c r="D131" s="2933"/>
      <c r="E131" s="2934">
        <f t="shared" si="61"/>
        <v>0</v>
      </c>
      <c r="F131" s="2935"/>
      <c r="G131" s="2936">
        <f t="shared" si="36"/>
        <v>0</v>
      </c>
      <c r="H131" s="2937">
        <f t="shared" si="37"/>
        <v>0</v>
      </c>
      <c r="I131" s="2944"/>
      <c r="J131" s="2944"/>
      <c r="K131" s="2944"/>
      <c r="L131" s="2944"/>
      <c r="M131" s="2944"/>
      <c r="N131" s="2944"/>
      <c r="O131" s="2944"/>
      <c r="P131" s="2944"/>
      <c r="Q131" s="2944"/>
      <c r="R131" s="2944"/>
      <c r="S131" s="2944"/>
      <c r="T131" s="2944"/>
      <c r="U131" s="2944"/>
      <c r="V131" s="2944"/>
      <c r="W131" s="2944"/>
      <c r="X131" s="2944"/>
      <c r="Y131" s="2944"/>
      <c r="Z131" s="2944"/>
      <c r="AA131" s="2944"/>
      <c r="AB131" s="2944"/>
      <c r="AC131" s="2934">
        <f t="shared" si="38"/>
        <v>0</v>
      </c>
      <c r="AD131" s="2954"/>
      <c r="AE131" s="2954"/>
      <c r="AF131" s="2954"/>
      <c r="AG131" s="2954"/>
      <c r="AH131" s="2954"/>
      <c r="AI131" s="2954"/>
      <c r="AJ131" s="2954"/>
      <c r="AK131" s="2954"/>
      <c r="AL131" s="2954"/>
      <c r="AM131" s="2954"/>
      <c r="AN131" s="2954"/>
      <c r="AO131" s="2954"/>
      <c r="AP131" s="2954"/>
      <c r="AQ131" s="2954"/>
      <c r="AR131" s="2954"/>
      <c r="AS131" s="2954"/>
      <c r="AT131" s="2935"/>
      <c r="AU131" s="2964"/>
      <c r="AV131" s="857">
        <f t="shared" si="62"/>
        <v>0</v>
      </c>
      <c r="AW131" s="857">
        <f t="shared" si="63"/>
        <v>0</v>
      </c>
      <c r="AX131" s="857">
        <f t="shared" si="64"/>
        <v>0</v>
      </c>
      <c r="AY131" s="807">
        <f t="shared" si="39"/>
        <v>0</v>
      </c>
      <c r="AZ131" s="2934">
        <f t="shared" si="40"/>
        <v>0</v>
      </c>
      <c r="BA131" s="2934">
        <f t="shared" si="41"/>
        <v>0</v>
      </c>
      <c r="BB131" s="2934">
        <f t="shared" si="42"/>
        <v>0</v>
      </c>
      <c r="BC131" s="2934">
        <f t="shared" si="43"/>
        <v>0</v>
      </c>
      <c r="BD131" s="2934">
        <f t="shared" si="44"/>
        <v>0</v>
      </c>
      <c r="BE131" s="2934">
        <f t="shared" si="45"/>
        <v>0</v>
      </c>
      <c r="BF131" s="2934">
        <f t="shared" si="46"/>
        <v>0</v>
      </c>
      <c r="BG131" s="2934">
        <f t="shared" si="47"/>
        <v>0</v>
      </c>
      <c r="BH131" s="2934">
        <f t="shared" si="48"/>
        <v>0</v>
      </c>
      <c r="BI131" s="2934">
        <f t="shared" si="49"/>
        <v>0</v>
      </c>
      <c r="BJ131" s="2934">
        <f t="shared" si="50"/>
        <v>0</v>
      </c>
      <c r="BK131" s="2934">
        <f t="shared" si="51"/>
        <v>0</v>
      </c>
      <c r="BL131" s="2934">
        <f t="shared" si="52"/>
        <v>0</v>
      </c>
      <c r="BM131" s="2934">
        <f t="shared" si="53"/>
        <v>0</v>
      </c>
      <c r="BN131" s="2934">
        <f t="shared" si="54"/>
        <v>0</v>
      </c>
      <c r="BO131" s="2934">
        <f t="shared" si="55"/>
        <v>0</v>
      </c>
      <c r="BP131" s="2934">
        <f t="shared" si="56"/>
        <v>0</v>
      </c>
      <c r="BQ131" s="2934">
        <f t="shared" si="57"/>
        <v>0</v>
      </c>
      <c r="BR131" s="2934">
        <f t="shared" si="58"/>
        <v>0</v>
      </c>
      <c r="BS131" s="2934">
        <f t="shared" si="59"/>
        <v>0</v>
      </c>
      <c r="BT131" s="2982">
        <f t="shared" si="60"/>
        <v>0</v>
      </c>
    </row>
    <row r="132" spans="1:72">
      <c r="A132" s="874"/>
      <c r="B132" s="882"/>
      <c r="C132" s="882"/>
      <c r="D132" s="2933"/>
      <c r="E132" s="2934">
        <f t="shared" si="61"/>
        <v>0</v>
      </c>
      <c r="F132" s="2935"/>
      <c r="G132" s="2936">
        <f t="shared" si="36"/>
        <v>0</v>
      </c>
      <c r="H132" s="2937">
        <f t="shared" si="37"/>
        <v>0</v>
      </c>
      <c r="I132" s="2944"/>
      <c r="J132" s="2944"/>
      <c r="K132" s="2944"/>
      <c r="L132" s="2944"/>
      <c r="M132" s="2944"/>
      <c r="N132" s="2944"/>
      <c r="O132" s="2944"/>
      <c r="P132" s="2944"/>
      <c r="Q132" s="2944"/>
      <c r="R132" s="2944"/>
      <c r="S132" s="2944"/>
      <c r="T132" s="2944"/>
      <c r="U132" s="2944"/>
      <c r="V132" s="2944"/>
      <c r="W132" s="2944"/>
      <c r="X132" s="2944"/>
      <c r="Y132" s="2944"/>
      <c r="Z132" s="2944"/>
      <c r="AA132" s="2944"/>
      <c r="AB132" s="2944"/>
      <c r="AC132" s="2934">
        <f t="shared" si="38"/>
        <v>0</v>
      </c>
      <c r="AD132" s="2954"/>
      <c r="AE132" s="2954"/>
      <c r="AF132" s="2954"/>
      <c r="AG132" s="2954"/>
      <c r="AH132" s="2954"/>
      <c r="AI132" s="2954"/>
      <c r="AJ132" s="2954"/>
      <c r="AK132" s="2954"/>
      <c r="AL132" s="2954"/>
      <c r="AM132" s="2954"/>
      <c r="AN132" s="2954"/>
      <c r="AO132" s="2954"/>
      <c r="AP132" s="2954"/>
      <c r="AQ132" s="2954"/>
      <c r="AR132" s="2954"/>
      <c r="AS132" s="2954"/>
      <c r="AT132" s="2935"/>
      <c r="AU132" s="2964"/>
      <c r="AV132" s="857">
        <f t="shared" si="62"/>
        <v>0</v>
      </c>
      <c r="AW132" s="857">
        <f t="shared" si="63"/>
        <v>0</v>
      </c>
      <c r="AX132" s="857">
        <f t="shared" si="64"/>
        <v>0</v>
      </c>
      <c r="AY132" s="807">
        <f t="shared" si="39"/>
        <v>0</v>
      </c>
      <c r="AZ132" s="2934">
        <f t="shared" si="40"/>
        <v>0</v>
      </c>
      <c r="BA132" s="2934">
        <f t="shared" si="41"/>
        <v>0</v>
      </c>
      <c r="BB132" s="2934">
        <f t="shared" si="42"/>
        <v>0</v>
      </c>
      <c r="BC132" s="2934">
        <f t="shared" si="43"/>
        <v>0</v>
      </c>
      <c r="BD132" s="2934">
        <f t="shared" si="44"/>
        <v>0</v>
      </c>
      <c r="BE132" s="2934">
        <f t="shared" si="45"/>
        <v>0</v>
      </c>
      <c r="BF132" s="2934">
        <f t="shared" si="46"/>
        <v>0</v>
      </c>
      <c r="BG132" s="2934">
        <f t="shared" si="47"/>
        <v>0</v>
      </c>
      <c r="BH132" s="2934">
        <f t="shared" si="48"/>
        <v>0</v>
      </c>
      <c r="BI132" s="2934">
        <f t="shared" si="49"/>
        <v>0</v>
      </c>
      <c r="BJ132" s="2934">
        <f t="shared" si="50"/>
        <v>0</v>
      </c>
      <c r="BK132" s="2934">
        <f t="shared" si="51"/>
        <v>0</v>
      </c>
      <c r="BL132" s="2934">
        <f t="shared" si="52"/>
        <v>0</v>
      </c>
      <c r="BM132" s="2934">
        <f t="shared" si="53"/>
        <v>0</v>
      </c>
      <c r="BN132" s="2934">
        <f t="shared" si="54"/>
        <v>0</v>
      </c>
      <c r="BO132" s="2934">
        <f t="shared" si="55"/>
        <v>0</v>
      </c>
      <c r="BP132" s="2934">
        <f t="shared" si="56"/>
        <v>0</v>
      </c>
      <c r="BQ132" s="2934">
        <f t="shared" si="57"/>
        <v>0</v>
      </c>
      <c r="BR132" s="2934">
        <f t="shared" si="58"/>
        <v>0</v>
      </c>
      <c r="BS132" s="2934">
        <f t="shared" si="59"/>
        <v>0</v>
      </c>
      <c r="BT132" s="2982">
        <f t="shared" si="60"/>
        <v>0</v>
      </c>
    </row>
    <row r="133" spans="1:72">
      <c r="A133" s="874"/>
      <c r="B133" s="882"/>
      <c r="C133" s="882"/>
      <c r="D133" s="2933"/>
      <c r="E133" s="2934">
        <f t="shared" si="61"/>
        <v>0</v>
      </c>
      <c r="F133" s="2935"/>
      <c r="G133" s="2936">
        <f t="shared" si="36"/>
        <v>0</v>
      </c>
      <c r="H133" s="2937">
        <f t="shared" si="37"/>
        <v>0</v>
      </c>
      <c r="I133" s="2944"/>
      <c r="J133" s="2944"/>
      <c r="K133" s="2944"/>
      <c r="L133" s="2944"/>
      <c r="M133" s="2944"/>
      <c r="N133" s="2944"/>
      <c r="O133" s="2944"/>
      <c r="P133" s="2944"/>
      <c r="Q133" s="2944"/>
      <c r="R133" s="2944"/>
      <c r="S133" s="2944"/>
      <c r="T133" s="2944"/>
      <c r="U133" s="2944"/>
      <c r="V133" s="2944"/>
      <c r="W133" s="2944"/>
      <c r="X133" s="2944"/>
      <c r="Y133" s="2944"/>
      <c r="Z133" s="2944"/>
      <c r="AA133" s="2944"/>
      <c r="AB133" s="2944"/>
      <c r="AC133" s="2934">
        <f t="shared" si="38"/>
        <v>0</v>
      </c>
      <c r="AD133" s="2954"/>
      <c r="AE133" s="2954"/>
      <c r="AF133" s="2954"/>
      <c r="AG133" s="2954"/>
      <c r="AH133" s="2954"/>
      <c r="AI133" s="2954"/>
      <c r="AJ133" s="2954"/>
      <c r="AK133" s="2954"/>
      <c r="AL133" s="2954"/>
      <c r="AM133" s="2954"/>
      <c r="AN133" s="2954"/>
      <c r="AO133" s="2954"/>
      <c r="AP133" s="2954"/>
      <c r="AQ133" s="2954"/>
      <c r="AR133" s="2954"/>
      <c r="AS133" s="2954"/>
      <c r="AT133" s="2935"/>
      <c r="AU133" s="2964"/>
      <c r="AV133" s="857">
        <f t="shared" si="62"/>
        <v>0</v>
      </c>
      <c r="AW133" s="857">
        <f t="shared" si="63"/>
        <v>0</v>
      </c>
      <c r="AX133" s="857">
        <f t="shared" si="64"/>
        <v>0</v>
      </c>
      <c r="AY133" s="807">
        <f t="shared" si="39"/>
        <v>0</v>
      </c>
      <c r="AZ133" s="2934">
        <f t="shared" si="40"/>
        <v>0</v>
      </c>
      <c r="BA133" s="2934">
        <f t="shared" si="41"/>
        <v>0</v>
      </c>
      <c r="BB133" s="2934">
        <f t="shared" si="42"/>
        <v>0</v>
      </c>
      <c r="BC133" s="2934">
        <f t="shared" si="43"/>
        <v>0</v>
      </c>
      <c r="BD133" s="2934">
        <f t="shared" si="44"/>
        <v>0</v>
      </c>
      <c r="BE133" s="2934">
        <f t="shared" si="45"/>
        <v>0</v>
      </c>
      <c r="BF133" s="2934">
        <f t="shared" si="46"/>
        <v>0</v>
      </c>
      <c r="BG133" s="2934">
        <f t="shared" si="47"/>
        <v>0</v>
      </c>
      <c r="BH133" s="2934">
        <f t="shared" si="48"/>
        <v>0</v>
      </c>
      <c r="BI133" s="2934">
        <f t="shared" si="49"/>
        <v>0</v>
      </c>
      <c r="BJ133" s="2934">
        <f t="shared" si="50"/>
        <v>0</v>
      </c>
      <c r="BK133" s="2934">
        <f t="shared" si="51"/>
        <v>0</v>
      </c>
      <c r="BL133" s="2934">
        <f t="shared" si="52"/>
        <v>0</v>
      </c>
      <c r="BM133" s="2934">
        <f t="shared" si="53"/>
        <v>0</v>
      </c>
      <c r="BN133" s="2934">
        <f t="shared" si="54"/>
        <v>0</v>
      </c>
      <c r="BO133" s="2934">
        <f t="shared" si="55"/>
        <v>0</v>
      </c>
      <c r="BP133" s="2934">
        <f t="shared" si="56"/>
        <v>0</v>
      </c>
      <c r="BQ133" s="2934">
        <f t="shared" si="57"/>
        <v>0</v>
      </c>
      <c r="BR133" s="2934">
        <f t="shared" si="58"/>
        <v>0</v>
      </c>
      <c r="BS133" s="2934">
        <f t="shared" si="59"/>
        <v>0</v>
      </c>
      <c r="BT133" s="2982">
        <f t="shared" si="60"/>
        <v>0</v>
      </c>
    </row>
    <row r="134" spans="1:72">
      <c r="A134" s="874"/>
      <c r="B134" s="882"/>
      <c r="C134" s="882"/>
      <c r="D134" s="2933"/>
      <c r="E134" s="2934">
        <f t="shared" si="61"/>
        <v>0</v>
      </c>
      <c r="F134" s="2935"/>
      <c r="G134" s="2936">
        <f t="shared" si="36"/>
        <v>0</v>
      </c>
      <c r="H134" s="2937">
        <f t="shared" si="37"/>
        <v>0</v>
      </c>
      <c r="I134" s="2944"/>
      <c r="J134" s="2944"/>
      <c r="K134" s="2944"/>
      <c r="L134" s="2944"/>
      <c r="M134" s="2944"/>
      <c r="N134" s="2944"/>
      <c r="O134" s="2944"/>
      <c r="P134" s="2944"/>
      <c r="Q134" s="2944"/>
      <c r="R134" s="2944"/>
      <c r="S134" s="2944"/>
      <c r="T134" s="2944"/>
      <c r="U134" s="2944"/>
      <c r="V134" s="2944"/>
      <c r="W134" s="2944"/>
      <c r="X134" s="2944"/>
      <c r="Y134" s="2944"/>
      <c r="Z134" s="2944"/>
      <c r="AA134" s="2944"/>
      <c r="AB134" s="2944"/>
      <c r="AC134" s="2934">
        <f t="shared" si="38"/>
        <v>0</v>
      </c>
      <c r="AD134" s="2954"/>
      <c r="AE134" s="2954"/>
      <c r="AF134" s="2954"/>
      <c r="AG134" s="2954"/>
      <c r="AH134" s="2954"/>
      <c r="AI134" s="2954"/>
      <c r="AJ134" s="2954"/>
      <c r="AK134" s="2954"/>
      <c r="AL134" s="2954"/>
      <c r="AM134" s="2954"/>
      <c r="AN134" s="2954"/>
      <c r="AO134" s="2954"/>
      <c r="AP134" s="2954"/>
      <c r="AQ134" s="2954"/>
      <c r="AR134" s="2954"/>
      <c r="AS134" s="2954"/>
      <c r="AT134" s="2935"/>
      <c r="AU134" s="2964"/>
      <c r="AV134" s="857">
        <f t="shared" si="62"/>
        <v>0</v>
      </c>
      <c r="AW134" s="857">
        <f t="shared" si="63"/>
        <v>0</v>
      </c>
      <c r="AX134" s="857">
        <f t="shared" si="64"/>
        <v>0</v>
      </c>
      <c r="AY134" s="807">
        <f t="shared" si="39"/>
        <v>0</v>
      </c>
      <c r="AZ134" s="2934">
        <f t="shared" si="40"/>
        <v>0</v>
      </c>
      <c r="BA134" s="2934">
        <f t="shared" si="41"/>
        <v>0</v>
      </c>
      <c r="BB134" s="2934">
        <f t="shared" si="42"/>
        <v>0</v>
      </c>
      <c r="BC134" s="2934">
        <f t="shared" si="43"/>
        <v>0</v>
      </c>
      <c r="BD134" s="2934">
        <f t="shared" si="44"/>
        <v>0</v>
      </c>
      <c r="BE134" s="2934">
        <f t="shared" si="45"/>
        <v>0</v>
      </c>
      <c r="BF134" s="2934">
        <f t="shared" si="46"/>
        <v>0</v>
      </c>
      <c r="BG134" s="2934">
        <f t="shared" si="47"/>
        <v>0</v>
      </c>
      <c r="BH134" s="2934">
        <f t="shared" si="48"/>
        <v>0</v>
      </c>
      <c r="BI134" s="2934">
        <f t="shared" si="49"/>
        <v>0</v>
      </c>
      <c r="BJ134" s="2934">
        <f t="shared" si="50"/>
        <v>0</v>
      </c>
      <c r="BK134" s="2934">
        <f t="shared" si="51"/>
        <v>0</v>
      </c>
      <c r="BL134" s="2934">
        <f t="shared" si="52"/>
        <v>0</v>
      </c>
      <c r="BM134" s="2934">
        <f t="shared" si="53"/>
        <v>0</v>
      </c>
      <c r="BN134" s="2934">
        <f t="shared" si="54"/>
        <v>0</v>
      </c>
      <c r="BO134" s="2934">
        <f t="shared" si="55"/>
        <v>0</v>
      </c>
      <c r="BP134" s="2934">
        <f t="shared" si="56"/>
        <v>0</v>
      </c>
      <c r="BQ134" s="2934">
        <f t="shared" si="57"/>
        <v>0</v>
      </c>
      <c r="BR134" s="2934">
        <f t="shared" si="58"/>
        <v>0</v>
      </c>
      <c r="BS134" s="2934">
        <f t="shared" si="59"/>
        <v>0</v>
      </c>
      <c r="BT134" s="2982">
        <f t="shared" si="60"/>
        <v>0</v>
      </c>
    </row>
    <row r="135" spans="1:72">
      <c r="A135" s="874"/>
      <c r="B135" s="882"/>
      <c r="C135" s="882"/>
      <c r="D135" s="2933"/>
      <c r="E135" s="2934">
        <f t="shared" si="61"/>
        <v>0</v>
      </c>
      <c r="F135" s="2935"/>
      <c r="G135" s="2936">
        <f t="shared" si="36"/>
        <v>0</v>
      </c>
      <c r="H135" s="2937">
        <f t="shared" si="37"/>
        <v>0</v>
      </c>
      <c r="I135" s="2944"/>
      <c r="J135" s="2944"/>
      <c r="K135" s="2944"/>
      <c r="L135" s="2944"/>
      <c r="M135" s="2944"/>
      <c r="N135" s="2944"/>
      <c r="O135" s="2944"/>
      <c r="P135" s="2944"/>
      <c r="Q135" s="2944"/>
      <c r="R135" s="2944"/>
      <c r="S135" s="2944"/>
      <c r="T135" s="2944"/>
      <c r="U135" s="2944"/>
      <c r="V135" s="2944"/>
      <c r="W135" s="2944"/>
      <c r="X135" s="2944"/>
      <c r="Y135" s="2944"/>
      <c r="Z135" s="2944"/>
      <c r="AA135" s="2944"/>
      <c r="AB135" s="2944"/>
      <c r="AC135" s="2934">
        <f t="shared" si="38"/>
        <v>0</v>
      </c>
      <c r="AD135" s="2954"/>
      <c r="AE135" s="2954"/>
      <c r="AF135" s="2954"/>
      <c r="AG135" s="2954"/>
      <c r="AH135" s="2954"/>
      <c r="AI135" s="2954"/>
      <c r="AJ135" s="2954"/>
      <c r="AK135" s="2954"/>
      <c r="AL135" s="2954"/>
      <c r="AM135" s="2954"/>
      <c r="AN135" s="2954"/>
      <c r="AO135" s="2954"/>
      <c r="AP135" s="2954"/>
      <c r="AQ135" s="2954"/>
      <c r="AR135" s="2954"/>
      <c r="AS135" s="2954"/>
      <c r="AT135" s="2935"/>
      <c r="AU135" s="2964"/>
      <c r="AV135" s="857">
        <f t="shared" si="62"/>
        <v>0</v>
      </c>
      <c r="AW135" s="857">
        <f t="shared" si="63"/>
        <v>0</v>
      </c>
      <c r="AX135" s="857">
        <f t="shared" si="64"/>
        <v>0</v>
      </c>
      <c r="AY135" s="807">
        <f t="shared" si="39"/>
        <v>0</v>
      </c>
      <c r="AZ135" s="2934">
        <f t="shared" si="40"/>
        <v>0</v>
      </c>
      <c r="BA135" s="2934">
        <f t="shared" si="41"/>
        <v>0</v>
      </c>
      <c r="BB135" s="2934">
        <f t="shared" si="42"/>
        <v>0</v>
      </c>
      <c r="BC135" s="2934">
        <f t="shared" si="43"/>
        <v>0</v>
      </c>
      <c r="BD135" s="2934">
        <f t="shared" si="44"/>
        <v>0</v>
      </c>
      <c r="BE135" s="2934">
        <f t="shared" si="45"/>
        <v>0</v>
      </c>
      <c r="BF135" s="2934">
        <f t="shared" si="46"/>
        <v>0</v>
      </c>
      <c r="BG135" s="2934">
        <f t="shared" si="47"/>
        <v>0</v>
      </c>
      <c r="BH135" s="2934">
        <f t="shared" si="48"/>
        <v>0</v>
      </c>
      <c r="BI135" s="2934">
        <f t="shared" si="49"/>
        <v>0</v>
      </c>
      <c r="BJ135" s="2934">
        <f t="shared" si="50"/>
        <v>0</v>
      </c>
      <c r="BK135" s="2934">
        <f t="shared" si="51"/>
        <v>0</v>
      </c>
      <c r="BL135" s="2934">
        <f t="shared" si="52"/>
        <v>0</v>
      </c>
      <c r="BM135" s="2934">
        <f t="shared" si="53"/>
        <v>0</v>
      </c>
      <c r="BN135" s="2934">
        <f t="shared" si="54"/>
        <v>0</v>
      </c>
      <c r="BO135" s="2934">
        <f t="shared" si="55"/>
        <v>0</v>
      </c>
      <c r="BP135" s="2934">
        <f t="shared" si="56"/>
        <v>0</v>
      </c>
      <c r="BQ135" s="2934">
        <f t="shared" si="57"/>
        <v>0</v>
      </c>
      <c r="BR135" s="2934">
        <f t="shared" si="58"/>
        <v>0</v>
      </c>
      <c r="BS135" s="2934">
        <f t="shared" si="59"/>
        <v>0</v>
      </c>
      <c r="BT135" s="2982">
        <f t="shared" si="60"/>
        <v>0</v>
      </c>
    </row>
    <row r="136" spans="1:72">
      <c r="A136" s="874"/>
      <c r="B136" s="882"/>
      <c r="C136" s="882"/>
      <c r="D136" s="2933"/>
      <c r="E136" s="2934">
        <f t="shared" si="61"/>
        <v>0</v>
      </c>
      <c r="F136" s="2935"/>
      <c r="G136" s="2936">
        <f t="shared" si="36"/>
        <v>0</v>
      </c>
      <c r="H136" s="2937">
        <f t="shared" si="37"/>
        <v>0</v>
      </c>
      <c r="I136" s="2944"/>
      <c r="J136" s="2944"/>
      <c r="K136" s="2944"/>
      <c r="L136" s="2944"/>
      <c r="M136" s="2944"/>
      <c r="N136" s="2944"/>
      <c r="O136" s="2944"/>
      <c r="P136" s="2944"/>
      <c r="Q136" s="2944"/>
      <c r="R136" s="2944"/>
      <c r="S136" s="2944"/>
      <c r="T136" s="2944"/>
      <c r="U136" s="2944"/>
      <c r="V136" s="2944"/>
      <c r="W136" s="2944"/>
      <c r="X136" s="2944"/>
      <c r="Y136" s="2944"/>
      <c r="Z136" s="2944"/>
      <c r="AA136" s="2944"/>
      <c r="AB136" s="2944"/>
      <c r="AC136" s="2934">
        <f t="shared" si="38"/>
        <v>0</v>
      </c>
      <c r="AD136" s="2954"/>
      <c r="AE136" s="2954"/>
      <c r="AF136" s="2954"/>
      <c r="AG136" s="2954"/>
      <c r="AH136" s="2954"/>
      <c r="AI136" s="2954"/>
      <c r="AJ136" s="2954"/>
      <c r="AK136" s="2954"/>
      <c r="AL136" s="2954"/>
      <c r="AM136" s="2954"/>
      <c r="AN136" s="2954"/>
      <c r="AO136" s="2954"/>
      <c r="AP136" s="2954"/>
      <c r="AQ136" s="2954"/>
      <c r="AR136" s="2954"/>
      <c r="AS136" s="2954"/>
      <c r="AT136" s="2935"/>
      <c r="AU136" s="2964"/>
      <c r="AV136" s="857">
        <f t="shared" si="62"/>
        <v>0</v>
      </c>
      <c r="AW136" s="857">
        <f t="shared" si="63"/>
        <v>0</v>
      </c>
      <c r="AX136" s="857">
        <f t="shared" si="64"/>
        <v>0</v>
      </c>
      <c r="AY136" s="807">
        <f t="shared" si="39"/>
        <v>0</v>
      </c>
      <c r="AZ136" s="2934">
        <f t="shared" si="40"/>
        <v>0</v>
      </c>
      <c r="BA136" s="2934">
        <f t="shared" si="41"/>
        <v>0</v>
      </c>
      <c r="BB136" s="2934">
        <f t="shared" si="42"/>
        <v>0</v>
      </c>
      <c r="BC136" s="2934">
        <f t="shared" si="43"/>
        <v>0</v>
      </c>
      <c r="BD136" s="2934">
        <f t="shared" si="44"/>
        <v>0</v>
      </c>
      <c r="BE136" s="2934">
        <f t="shared" si="45"/>
        <v>0</v>
      </c>
      <c r="BF136" s="2934">
        <f t="shared" si="46"/>
        <v>0</v>
      </c>
      <c r="BG136" s="2934">
        <f t="shared" si="47"/>
        <v>0</v>
      </c>
      <c r="BH136" s="2934">
        <f t="shared" si="48"/>
        <v>0</v>
      </c>
      <c r="BI136" s="2934">
        <f t="shared" si="49"/>
        <v>0</v>
      </c>
      <c r="BJ136" s="2934">
        <f t="shared" si="50"/>
        <v>0</v>
      </c>
      <c r="BK136" s="2934">
        <f t="shared" si="51"/>
        <v>0</v>
      </c>
      <c r="BL136" s="2934">
        <f t="shared" si="52"/>
        <v>0</v>
      </c>
      <c r="BM136" s="2934">
        <f t="shared" si="53"/>
        <v>0</v>
      </c>
      <c r="BN136" s="2934">
        <f t="shared" si="54"/>
        <v>0</v>
      </c>
      <c r="BO136" s="2934">
        <f t="shared" si="55"/>
        <v>0</v>
      </c>
      <c r="BP136" s="2934">
        <f t="shared" si="56"/>
        <v>0</v>
      </c>
      <c r="BQ136" s="2934">
        <f t="shared" si="57"/>
        <v>0</v>
      </c>
      <c r="BR136" s="2934">
        <f t="shared" si="58"/>
        <v>0</v>
      </c>
      <c r="BS136" s="2934">
        <f t="shared" si="59"/>
        <v>0</v>
      </c>
      <c r="BT136" s="2982">
        <f t="shared" si="60"/>
        <v>0</v>
      </c>
    </row>
    <row r="137" spans="1:72">
      <c r="A137" s="874"/>
      <c r="B137" s="882"/>
      <c r="C137" s="882"/>
      <c r="D137" s="2933"/>
      <c r="E137" s="2934">
        <f t="shared" si="61"/>
        <v>0</v>
      </c>
      <c r="F137" s="2935"/>
      <c r="G137" s="2936">
        <f t="shared" si="36"/>
        <v>0</v>
      </c>
      <c r="H137" s="2937">
        <f t="shared" si="37"/>
        <v>0</v>
      </c>
      <c r="I137" s="2944"/>
      <c r="J137" s="2944"/>
      <c r="K137" s="2944"/>
      <c r="L137" s="2944"/>
      <c r="M137" s="2944"/>
      <c r="N137" s="2944"/>
      <c r="O137" s="2944"/>
      <c r="P137" s="2944"/>
      <c r="Q137" s="2944"/>
      <c r="R137" s="2944"/>
      <c r="S137" s="2944"/>
      <c r="T137" s="2944"/>
      <c r="U137" s="2944"/>
      <c r="V137" s="2944"/>
      <c r="W137" s="2944"/>
      <c r="X137" s="2944"/>
      <c r="Y137" s="2944"/>
      <c r="Z137" s="2944"/>
      <c r="AA137" s="2944"/>
      <c r="AB137" s="2944"/>
      <c r="AC137" s="2934">
        <f t="shared" si="38"/>
        <v>0</v>
      </c>
      <c r="AD137" s="2954"/>
      <c r="AE137" s="2954"/>
      <c r="AF137" s="2954"/>
      <c r="AG137" s="2954"/>
      <c r="AH137" s="2954"/>
      <c r="AI137" s="2954"/>
      <c r="AJ137" s="2954"/>
      <c r="AK137" s="2954"/>
      <c r="AL137" s="2954"/>
      <c r="AM137" s="2954"/>
      <c r="AN137" s="2954"/>
      <c r="AO137" s="2954"/>
      <c r="AP137" s="2954"/>
      <c r="AQ137" s="2954"/>
      <c r="AR137" s="2954"/>
      <c r="AS137" s="2954"/>
      <c r="AT137" s="2935"/>
      <c r="AU137" s="2964"/>
      <c r="AV137" s="857">
        <f t="shared" si="62"/>
        <v>0</v>
      </c>
      <c r="AW137" s="857">
        <f t="shared" si="63"/>
        <v>0</v>
      </c>
      <c r="AX137" s="857">
        <f t="shared" si="64"/>
        <v>0</v>
      </c>
      <c r="AY137" s="807">
        <f t="shared" si="39"/>
        <v>0</v>
      </c>
      <c r="AZ137" s="2934">
        <f t="shared" si="40"/>
        <v>0</v>
      </c>
      <c r="BA137" s="2934">
        <f t="shared" si="41"/>
        <v>0</v>
      </c>
      <c r="BB137" s="2934">
        <f t="shared" si="42"/>
        <v>0</v>
      </c>
      <c r="BC137" s="2934">
        <f t="shared" si="43"/>
        <v>0</v>
      </c>
      <c r="BD137" s="2934">
        <f t="shared" si="44"/>
        <v>0</v>
      </c>
      <c r="BE137" s="2934">
        <f t="shared" si="45"/>
        <v>0</v>
      </c>
      <c r="BF137" s="2934">
        <f t="shared" si="46"/>
        <v>0</v>
      </c>
      <c r="BG137" s="2934">
        <f t="shared" si="47"/>
        <v>0</v>
      </c>
      <c r="BH137" s="2934">
        <f t="shared" si="48"/>
        <v>0</v>
      </c>
      <c r="BI137" s="2934">
        <f t="shared" si="49"/>
        <v>0</v>
      </c>
      <c r="BJ137" s="2934">
        <f t="shared" si="50"/>
        <v>0</v>
      </c>
      <c r="BK137" s="2934">
        <f t="shared" si="51"/>
        <v>0</v>
      </c>
      <c r="BL137" s="2934">
        <f t="shared" si="52"/>
        <v>0</v>
      </c>
      <c r="BM137" s="2934">
        <f t="shared" si="53"/>
        <v>0</v>
      </c>
      <c r="BN137" s="2934">
        <f t="shared" si="54"/>
        <v>0</v>
      </c>
      <c r="BO137" s="2934">
        <f t="shared" si="55"/>
        <v>0</v>
      </c>
      <c r="BP137" s="2934">
        <f t="shared" si="56"/>
        <v>0</v>
      </c>
      <c r="BQ137" s="2934">
        <f t="shared" si="57"/>
        <v>0</v>
      </c>
      <c r="BR137" s="2934">
        <f t="shared" si="58"/>
        <v>0</v>
      </c>
      <c r="BS137" s="2934">
        <f t="shared" si="59"/>
        <v>0</v>
      </c>
      <c r="BT137" s="2982">
        <f t="shared" si="60"/>
        <v>0</v>
      </c>
    </row>
    <row r="138" spans="1:72">
      <c r="A138" s="874"/>
      <c r="B138" s="882"/>
      <c r="C138" s="882"/>
      <c r="D138" s="2933"/>
      <c r="E138" s="2934">
        <f t="shared" si="61"/>
        <v>0</v>
      </c>
      <c r="F138" s="2935"/>
      <c r="G138" s="2936">
        <f t="shared" si="36"/>
        <v>0</v>
      </c>
      <c r="H138" s="2937">
        <f t="shared" si="37"/>
        <v>0</v>
      </c>
      <c r="I138" s="2944"/>
      <c r="J138" s="2944"/>
      <c r="K138" s="2944"/>
      <c r="L138" s="2944"/>
      <c r="M138" s="2944"/>
      <c r="N138" s="2944"/>
      <c r="O138" s="2944"/>
      <c r="P138" s="2944"/>
      <c r="Q138" s="2944"/>
      <c r="R138" s="2944"/>
      <c r="S138" s="2944"/>
      <c r="T138" s="2944"/>
      <c r="U138" s="2944"/>
      <c r="V138" s="2944"/>
      <c r="W138" s="2944"/>
      <c r="X138" s="2944"/>
      <c r="Y138" s="2944"/>
      <c r="Z138" s="2944"/>
      <c r="AA138" s="2944"/>
      <c r="AB138" s="2944"/>
      <c r="AC138" s="2934">
        <f t="shared" si="38"/>
        <v>0</v>
      </c>
      <c r="AD138" s="2954"/>
      <c r="AE138" s="2954"/>
      <c r="AF138" s="2954"/>
      <c r="AG138" s="2954"/>
      <c r="AH138" s="2954"/>
      <c r="AI138" s="2954"/>
      <c r="AJ138" s="2954"/>
      <c r="AK138" s="2954"/>
      <c r="AL138" s="2954"/>
      <c r="AM138" s="2954"/>
      <c r="AN138" s="2954"/>
      <c r="AO138" s="2954"/>
      <c r="AP138" s="2954"/>
      <c r="AQ138" s="2954"/>
      <c r="AR138" s="2954"/>
      <c r="AS138" s="2954"/>
      <c r="AT138" s="2935"/>
      <c r="AU138" s="2964"/>
      <c r="AV138" s="857">
        <f t="shared" si="62"/>
        <v>0</v>
      </c>
      <c r="AW138" s="857">
        <f t="shared" si="63"/>
        <v>0</v>
      </c>
      <c r="AX138" s="857">
        <f t="shared" si="64"/>
        <v>0</v>
      </c>
      <c r="AY138" s="807">
        <f t="shared" si="39"/>
        <v>0</v>
      </c>
      <c r="AZ138" s="2934">
        <f t="shared" si="40"/>
        <v>0</v>
      </c>
      <c r="BA138" s="2934">
        <f t="shared" si="41"/>
        <v>0</v>
      </c>
      <c r="BB138" s="2934">
        <f t="shared" si="42"/>
        <v>0</v>
      </c>
      <c r="BC138" s="2934">
        <f t="shared" si="43"/>
        <v>0</v>
      </c>
      <c r="BD138" s="2934">
        <f t="shared" si="44"/>
        <v>0</v>
      </c>
      <c r="BE138" s="2934">
        <f t="shared" si="45"/>
        <v>0</v>
      </c>
      <c r="BF138" s="2934">
        <f t="shared" si="46"/>
        <v>0</v>
      </c>
      <c r="BG138" s="2934">
        <f t="shared" si="47"/>
        <v>0</v>
      </c>
      <c r="BH138" s="2934">
        <f t="shared" si="48"/>
        <v>0</v>
      </c>
      <c r="BI138" s="2934">
        <f t="shared" si="49"/>
        <v>0</v>
      </c>
      <c r="BJ138" s="2934">
        <f t="shared" si="50"/>
        <v>0</v>
      </c>
      <c r="BK138" s="2934">
        <f t="shared" si="51"/>
        <v>0</v>
      </c>
      <c r="BL138" s="2934">
        <f t="shared" si="52"/>
        <v>0</v>
      </c>
      <c r="BM138" s="2934">
        <f t="shared" si="53"/>
        <v>0</v>
      </c>
      <c r="BN138" s="2934">
        <f t="shared" si="54"/>
        <v>0</v>
      </c>
      <c r="BO138" s="2934">
        <f t="shared" si="55"/>
        <v>0</v>
      </c>
      <c r="BP138" s="2934">
        <f t="shared" si="56"/>
        <v>0</v>
      </c>
      <c r="BQ138" s="2934">
        <f t="shared" si="57"/>
        <v>0</v>
      </c>
      <c r="BR138" s="2934">
        <f t="shared" si="58"/>
        <v>0</v>
      </c>
      <c r="BS138" s="2934">
        <f t="shared" si="59"/>
        <v>0</v>
      </c>
      <c r="BT138" s="2982">
        <f t="shared" si="60"/>
        <v>0</v>
      </c>
    </row>
    <row r="139" spans="1:72">
      <c r="A139" s="874"/>
      <c r="B139" s="882"/>
      <c r="C139" s="882"/>
      <c r="D139" s="2933"/>
      <c r="E139" s="2934">
        <f t="shared" si="61"/>
        <v>0</v>
      </c>
      <c r="F139" s="2935"/>
      <c r="G139" s="2936">
        <f t="shared" si="36"/>
        <v>0</v>
      </c>
      <c r="H139" s="2937">
        <f t="shared" si="37"/>
        <v>0</v>
      </c>
      <c r="I139" s="2944"/>
      <c r="J139" s="2944"/>
      <c r="K139" s="2944"/>
      <c r="L139" s="2944"/>
      <c r="M139" s="2944"/>
      <c r="N139" s="2944"/>
      <c r="O139" s="2944"/>
      <c r="P139" s="2944"/>
      <c r="Q139" s="2944"/>
      <c r="R139" s="2944"/>
      <c r="S139" s="2944"/>
      <c r="T139" s="2944"/>
      <c r="U139" s="2944"/>
      <c r="V139" s="2944"/>
      <c r="W139" s="2944"/>
      <c r="X139" s="2944"/>
      <c r="Y139" s="2944"/>
      <c r="Z139" s="2944"/>
      <c r="AA139" s="2944"/>
      <c r="AB139" s="2944"/>
      <c r="AC139" s="2934">
        <f t="shared" si="38"/>
        <v>0</v>
      </c>
      <c r="AD139" s="2954"/>
      <c r="AE139" s="2954"/>
      <c r="AF139" s="2954"/>
      <c r="AG139" s="2954"/>
      <c r="AH139" s="2954"/>
      <c r="AI139" s="2954"/>
      <c r="AJ139" s="2954"/>
      <c r="AK139" s="2954"/>
      <c r="AL139" s="2954"/>
      <c r="AM139" s="2954"/>
      <c r="AN139" s="2954"/>
      <c r="AO139" s="2954"/>
      <c r="AP139" s="2954"/>
      <c r="AQ139" s="2954"/>
      <c r="AR139" s="2954"/>
      <c r="AS139" s="2954"/>
      <c r="AT139" s="2935"/>
      <c r="AU139" s="2964"/>
      <c r="AV139" s="857">
        <f t="shared" si="62"/>
        <v>0</v>
      </c>
      <c r="AW139" s="857">
        <f t="shared" si="63"/>
        <v>0</v>
      </c>
      <c r="AX139" s="857">
        <f t="shared" si="64"/>
        <v>0</v>
      </c>
      <c r="AY139" s="807">
        <f t="shared" si="39"/>
        <v>0</v>
      </c>
      <c r="AZ139" s="2934">
        <f t="shared" si="40"/>
        <v>0</v>
      </c>
      <c r="BA139" s="2934">
        <f t="shared" si="41"/>
        <v>0</v>
      </c>
      <c r="BB139" s="2934">
        <f t="shared" si="42"/>
        <v>0</v>
      </c>
      <c r="BC139" s="2934">
        <f t="shared" si="43"/>
        <v>0</v>
      </c>
      <c r="BD139" s="2934">
        <f t="shared" si="44"/>
        <v>0</v>
      </c>
      <c r="BE139" s="2934">
        <f t="shared" si="45"/>
        <v>0</v>
      </c>
      <c r="BF139" s="2934">
        <f t="shared" si="46"/>
        <v>0</v>
      </c>
      <c r="BG139" s="2934">
        <f t="shared" si="47"/>
        <v>0</v>
      </c>
      <c r="BH139" s="2934">
        <f t="shared" si="48"/>
        <v>0</v>
      </c>
      <c r="BI139" s="2934">
        <f t="shared" si="49"/>
        <v>0</v>
      </c>
      <c r="BJ139" s="2934">
        <f t="shared" si="50"/>
        <v>0</v>
      </c>
      <c r="BK139" s="2934">
        <f t="shared" si="51"/>
        <v>0</v>
      </c>
      <c r="BL139" s="2934">
        <f t="shared" si="52"/>
        <v>0</v>
      </c>
      <c r="BM139" s="2934">
        <f t="shared" si="53"/>
        <v>0</v>
      </c>
      <c r="BN139" s="2934">
        <f t="shared" si="54"/>
        <v>0</v>
      </c>
      <c r="BO139" s="2934">
        <f t="shared" si="55"/>
        <v>0</v>
      </c>
      <c r="BP139" s="2934">
        <f t="shared" si="56"/>
        <v>0</v>
      </c>
      <c r="BQ139" s="2934">
        <f t="shared" si="57"/>
        <v>0</v>
      </c>
      <c r="BR139" s="2934">
        <f t="shared" si="58"/>
        <v>0</v>
      </c>
      <c r="BS139" s="2934">
        <f t="shared" si="59"/>
        <v>0</v>
      </c>
      <c r="BT139" s="2982">
        <f t="shared" si="60"/>
        <v>0</v>
      </c>
    </row>
    <row r="140" spans="1:72">
      <c r="A140" s="874"/>
      <c r="B140" s="882"/>
      <c r="C140" s="882"/>
      <c r="D140" s="2933"/>
      <c r="E140" s="2934">
        <f t="shared" si="61"/>
        <v>0</v>
      </c>
      <c r="F140" s="2935"/>
      <c r="G140" s="2936">
        <f t="shared" si="36"/>
        <v>0</v>
      </c>
      <c r="H140" s="2937">
        <f t="shared" si="37"/>
        <v>0</v>
      </c>
      <c r="I140" s="2944"/>
      <c r="J140" s="2944"/>
      <c r="K140" s="2944"/>
      <c r="L140" s="2944"/>
      <c r="M140" s="2944"/>
      <c r="N140" s="2944"/>
      <c r="O140" s="2944"/>
      <c r="P140" s="2944"/>
      <c r="Q140" s="2944"/>
      <c r="R140" s="2944"/>
      <c r="S140" s="2944"/>
      <c r="T140" s="2944"/>
      <c r="U140" s="2944"/>
      <c r="V140" s="2944"/>
      <c r="W140" s="2944"/>
      <c r="X140" s="2944"/>
      <c r="Y140" s="2944"/>
      <c r="Z140" s="2944"/>
      <c r="AA140" s="2944"/>
      <c r="AB140" s="2944"/>
      <c r="AC140" s="2934">
        <f t="shared" si="38"/>
        <v>0</v>
      </c>
      <c r="AD140" s="2954"/>
      <c r="AE140" s="2954"/>
      <c r="AF140" s="2954"/>
      <c r="AG140" s="2954"/>
      <c r="AH140" s="2954"/>
      <c r="AI140" s="2954"/>
      <c r="AJ140" s="2954"/>
      <c r="AK140" s="2954"/>
      <c r="AL140" s="2954"/>
      <c r="AM140" s="2954"/>
      <c r="AN140" s="2954"/>
      <c r="AO140" s="2954"/>
      <c r="AP140" s="2954"/>
      <c r="AQ140" s="2954"/>
      <c r="AR140" s="2954"/>
      <c r="AS140" s="2954"/>
      <c r="AT140" s="2935"/>
      <c r="AU140" s="2964"/>
      <c r="AV140" s="857">
        <f t="shared" si="62"/>
        <v>0</v>
      </c>
      <c r="AW140" s="857">
        <f t="shared" si="63"/>
        <v>0</v>
      </c>
      <c r="AX140" s="857">
        <f t="shared" si="64"/>
        <v>0</v>
      </c>
      <c r="AY140" s="807">
        <f t="shared" si="39"/>
        <v>0</v>
      </c>
      <c r="AZ140" s="2934">
        <f t="shared" si="40"/>
        <v>0</v>
      </c>
      <c r="BA140" s="2934">
        <f t="shared" si="41"/>
        <v>0</v>
      </c>
      <c r="BB140" s="2934">
        <f t="shared" si="42"/>
        <v>0</v>
      </c>
      <c r="BC140" s="2934">
        <f t="shared" si="43"/>
        <v>0</v>
      </c>
      <c r="BD140" s="2934">
        <f t="shared" si="44"/>
        <v>0</v>
      </c>
      <c r="BE140" s="2934">
        <f t="shared" si="45"/>
        <v>0</v>
      </c>
      <c r="BF140" s="2934">
        <f t="shared" si="46"/>
        <v>0</v>
      </c>
      <c r="BG140" s="2934">
        <f t="shared" si="47"/>
        <v>0</v>
      </c>
      <c r="BH140" s="2934">
        <f t="shared" si="48"/>
        <v>0</v>
      </c>
      <c r="BI140" s="2934">
        <f t="shared" si="49"/>
        <v>0</v>
      </c>
      <c r="BJ140" s="2934">
        <f t="shared" si="50"/>
        <v>0</v>
      </c>
      <c r="BK140" s="2934">
        <f t="shared" si="51"/>
        <v>0</v>
      </c>
      <c r="BL140" s="2934">
        <f t="shared" si="52"/>
        <v>0</v>
      </c>
      <c r="BM140" s="2934">
        <f t="shared" si="53"/>
        <v>0</v>
      </c>
      <c r="BN140" s="2934">
        <f t="shared" si="54"/>
        <v>0</v>
      </c>
      <c r="BO140" s="2934">
        <f t="shared" si="55"/>
        <v>0</v>
      </c>
      <c r="BP140" s="2934">
        <f t="shared" si="56"/>
        <v>0</v>
      </c>
      <c r="BQ140" s="2934">
        <f t="shared" si="57"/>
        <v>0</v>
      </c>
      <c r="BR140" s="2934">
        <f t="shared" si="58"/>
        <v>0</v>
      </c>
      <c r="BS140" s="2934">
        <f t="shared" si="59"/>
        <v>0</v>
      </c>
      <c r="BT140" s="2982">
        <f t="shared" si="60"/>
        <v>0</v>
      </c>
    </row>
    <row r="141" spans="1:72">
      <c r="A141" s="874"/>
      <c r="B141" s="882"/>
      <c r="C141" s="882"/>
      <c r="D141" s="2933"/>
      <c r="E141" s="2934">
        <f t="shared" si="61"/>
        <v>0</v>
      </c>
      <c r="F141" s="2935"/>
      <c r="G141" s="2936">
        <f t="shared" si="36"/>
        <v>0</v>
      </c>
      <c r="H141" s="2937">
        <f t="shared" si="37"/>
        <v>0</v>
      </c>
      <c r="I141" s="2944"/>
      <c r="J141" s="2944"/>
      <c r="K141" s="2944"/>
      <c r="L141" s="2944"/>
      <c r="M141" s="2944"/>
      <c r="N141" s="2944"/>
      <c r="O141" s="2944"/>
      <c r="P141" s="2944"/>
      <c r="Q141" s="2944"/>
      <c r="R141" s="2944"/>
      <c r="S141" s="2944"/>
      <c r="T141" s="2944"/>
      <c r="U141" s="2944"/>
      <c r="V141" s="2944"/>
      <c r="W141" s="2944"/>
      <c r="X141" s="2944"/>
      <c r="Y141" s="2944"/>
      <c r="Z141" s="2944"/>
      <c r="AA141" s="2944"/>
      <c r="AB141" s="2944"/>
      <c r="AC141" s="2934">
        <f t="shared" si="38"/>
        <v>0</v>
      </c>
      <c r="AD141" s="2954"/>
      <c r="AE141" s="2954"/>
      <c r="AF141" s="2954"/>
      <c r="AG141" s="2954"/>
      <c r="AH141" s="2954"/>
      <c r="AI141" s="2954"/>
      <c r="AJ141" s="2954"/>
      <c r="AK141" s="2954"/>
      <c r="AL141" s="2954"/>
      <c r="AM141" s="2954"/>
      <c r="AN141" s="2954"/>
      <c r="AO141" s="2954"/>
      <c r="AP141" s="2954"/>
      <c r="AQ141" s="2954"/>
      <c r="AR141" s="2954"/>
      <c r="AS141" s="2954"/>
      <c r="AT141" s="2935"/>
      <c r="AU141" s="2964"/>
      <c r="AV141" s="857">
        <f t="shared" si="62"/>
        <v>0</v>
      </c>
      <c r="AW141" s="857">
        <f t="shared" si="63"/>
        <v>0</v>
      </c>
      <c r="AX141" s="857">
        <f t="shared" si="64"/>
        <v>0</v>
      </c>
      <c r="AY141" s="807">
        <f t="shared" si="39"/>
        <v>0</v>
      </c>
      <c r="AZ141" s="2934">
        <f t="shared" si="40"/>
        <v>0</v>
      </c>
      <c r="BA141" s="2934">
        <f t="shared" si="41"/>
        <v>0</v>
      </c>
      <c r="BB141" s="2934">
        <f t="shared" si="42"/>
        <v>0</v>
      </c>
      <c r="BC141" s="2934">
        <f t="shared" si="43"/>
        <v>0</v>
      </c>
      <c r="BD141" s="2934">
        <f t="shared" si="44"/>
        <v>0</v>
      </c>
      <c r="BE141" s="2934">
        <f t="shared" si="45"/>
        <v>0</v>
      </c>
      <c r="BF141" s="2934">
        <f t="shared" si="46"/>
        <v>0</v>
      </c>
      <c r="BG141" s="2934">
        <f t="shared" si="47"/>
        <v>0</v>
      </c>
      <c r="BH141" s="2934">
        <f t="shared" si="48"/>
        <v>0</v>
      </c>
      <c r="BI141" s="2934">
        <f t="shared" si="49"/>
        <v>0</v>
      </c>
      <c r="BJ141" s="2934">
        <f t="shared" si="50"/>
        <v>0</v>
      </c>
      <c r="BK141" s="2934">
        <f t="shared" si="51"/>
        <v>0</v>
      </c>
      <c r="BL141" s="2934">
        <f t="shared" si="52"/>
        <v>0</v>
      </c>
      <c r="BM141" s="2934">
        <f t="shared" si="53"/>
        <v>0</v>
      </c>
      <c r="BN141" s="2934">
        <f t="shared" si="54"/>
        <v>0</v>
      </c>
      <c r="BO141" s="2934">
        <f t="shared" si="55"/>
        <v>0</v>
      </c>
      <c r="BP141" s="2934">
        <f t="shared" si="56"/>
        <v>0</v>
      </c>
      <c r="BQ141" s="2934">
        <f t="shared" si="57"/>
        <v>0</v>
      </c>
      <c r="BR141" s="2934">
        <f t="shared" si="58"/>
        <v>0</v>
      </c>
      <c r="BS141" s="2934">
        <f t="shared" si="59"/>
        <v>0</v>
      </c>
      <c r="BT141" s="2982">
        <f t="shared" si="60"/>
        <v>0</v>
      </c>
    </row>
    <row r="142" spans="1:72">
      <c r="A142" s="874"/>
      <c r="B142" s="882"/>
      <c r="C142" s="882"/>
      <c r="D142" s="2933"/>
      <c r="E142" s="2934">
        <f t="shared" si="61"/>
        <v>0</v>
      </c>
      <c r="F142" s="2935"/>
      <c r="G142" s="2936">
        <f t="shared" ref="G142:G173" si="65">H142+AC142+AT142</f>
        <v>0</v>
      </c>
      <c r="H142" s="2937">
        <f t="shared" ref="H142:H173" si="66">SUMIF(I$12:AB$12,"总值",I142:AB142)</f>
        <v>0</v>
      </c>
      <c r="I142" s="2944"/>
      <c r="J142" s="2944"/>
      <c r="K142" s="2944"/>
      <c r="L142" s="2944"/>
      <c r="M142" s="2944"/>
      <c r="N142" s="2944"/>
      <c r="O142" s="2944"/>
      <c r="P142" s="2944"/>
      <c r="Q142" s="2944"/>
      <c r="R142" s="2944"/>
      <c r="S142" s="2944"/>
      <c r="T142" s="2944"/>
      <c r="U142" s="2944"/>
      <c r="V142" s="2944"/>
      <c r="W142" s="2944"/>
      <c r="X142" s="2944"/>
      <c r="Y142" s="2944"/>
      <c r="Z142" s="2944"/>
      <c r="AA142" s="2944"/>
      <c r="AB142" s="2944"/>
      <c r="AC142" s="2934">
        <f t="shared" ref="AC142:AC173" si="67">SUMIF(AD$12:AS$12,"总值",AD142:AS142)</f>
        <v>0</v>
      </c>
      <c r="AD142" s="2954"/>
      <c r="AE142" s="2954"/>
      <c r="AF142" s="2954"/>
      <c r="AG142" s="2954"/>
      <c r="AH142" s="2954"/>
      <c r="AI142" s="2954"/>
      <c r="AJ142" s="2954"/>
      <c r="AK142" s="2954"/>
      <c r="AL142" s="2954"/>
      <c r="AM142" s="2954"/>
      <c r="AN142" s="2954"/>
      <c r="AO142" s="2954"/>
      <c r="AP142" s="2954"/>
      <c r="AQ142" s="2954"/>
      <c r="AR142" s="2954"/>
      <c r="AS142" s="2954"/>
      <c r="AT142" s="2935"/>
      <c r="AU142" s="2964"/>
      <c r="AV142" s="857">
        <f t="shared" si="62"/>
        <v>0</v>
      </c>
      <c r="AW142" s="857">
        <f t="shared" si="63"/>
        <v>0</v>
      </c>
      <c r="AX142" s="857">
        <f t="shared" si="64"/>
        <v>0</v>
      </c>
      <c r="AY142" s="807">
        <f t="shared" ref="AY142:AY173" si="68">ROUND($AY$6*AZ142/$AZ$5,2)</f>
        <v>0</v>
      </c>
      <c r="AZ142" s="2934">
        <f t="shared" ref="AZ142:AZ173" si="69">BA142+BL142</f>
        <v>0</v>
      </c>
      <c r="BA142" s="2934">
        <f t="shared" ref="BA142:BA173" si="70">SUM(BB142:BK142)</f>
        <v>0</v>
      </c>
      <c r="BB142" s="2934">
        <f t="shared" ref="BB142:BB173" si="71">IF($D142="是",I142-J142,0)</f>
        <v>0</v>
      </c>
      <c r="BC142" s="2934">
        <f t="shared" ref="BC142:BC173" si="72">IF($D142="是",K142-L142,0)</f>
        <v>0</v>
      </c>
      <c r="BD142" s="2934">
        <f t="shared" ref="BD142:BD173" si="73">IF($D142="是",M142-N142,0)</f>
        <v>0</v>
      </c>
      <c r="BE142" s="2934">
        <f t="shared" ref="BE142:BE173" si="74">IF($D142="是",O142-P142,0)</f>
        <v>0</v>
      </c>
      <c r="BF142" s="2934">
        <f t="shared" ref="BF142:BF173" si="75">IF($D142="是",Q142-R142,0)</f>
        <v>0</v>
      </c>
      <c r="BG142" s="2934">
        <f t="shared" ref="BG142:BG173" si="76">IF($D142="是",S142-T142,0)</f>
        <v>0</v>
      </c>
      <c r="BH142" s="2934">
        <f t="shared" ref="BH142:BH173" si="77">IF($D142="是",U142-V142,0)</f>
        <v>0</v>
      </c>
      <c r="BI142" s="2934">
        <f t="shared" ref="BI142:BI173" si="78">IF($D142="是",W142-X142,0)</f>
        <v>0</v>
      </c>
      <c r="BJ142" s="2934">
        <f t="shared" ref="BJ142:BJ173" si="79">IF($D142="是",Y142-Z142,0)</f>
        <v>0</v>
      </c>
      <c r="BK142" s="2934">
        <f t="shared" ref="BK142:BK173" si="80">IF($D142="是",AA142-AB142,0)</f>
        <v>0</v>
      </c>
      <c r="BL142" s="2934">
        <f t="shared" ref="BL142:BL173" si="81">SUM(BM142:BT142)</f>
        <v>0</v>
      </c>
      <c r="BM142" s="2934">
        <f t="shared" ref="BM142:BM173" si="82">IF($D142="是",AD142-AE142,0)</f>
        <v>0</v>
      </c>
      <c r="BN142" s="2934">
        <f t="shared" ref="BN142:BN173" si="83">IF($D142="是",AF142-AG142,0)</f>
        <v>0</v>
      </c>
      <c r="BO142" s="2934">
        <f t="shared" ref="BO142:BO173" si="84">IF($D142="是",AH142-AI142,0)</f>
        <v>0</v>
      </c>
      <c r="BP142" s="2934">
        <f t="shared" ref="BP142:BP173" si="85">IF($D142="是",AJ142-AK142,0)</f>
        <v>0</v>
      </c>
      <c r="BQ142" s="2934">
        <f t="shared" ref="BQ142:BQ173" si="86">IF($D142="是",AL142-AM142,0)</f>
        <v>0</v>
      </c>
      <c r="BR142" s="2934">
        <f t="shared" ref="BR142:BR173" si="87">IF($D142="是",AN142-AO142,0)</f>
        <v>0</v>
      </c>
      <c r="BS142" s="2934">
        <f t="shared" ref="BS142:BS173" si="88">IF($D142="是",AP142-AQ142,0)</f>
        <v>0</v>
      </c>
      <c r="BT142" s="2982">
        <f t="shared" ref="BT142:BT173" si="89">IF($D142="是",AR142-AS142,0)</f>
        <v>0</v>
      </c>
    </row>
    <row r="143" spans="1:72">
      <c r="A143" s="874"/>
      <c r="B143" s="882"/>
      <c r="C143" s="882"/>
      <c r="D143" s="2933"/>
      <c r="E143" s="2934">
        <f t="shared" si="61"/>
        <v>0</v>
      </c>
      <c r="F143" s="2935"/>
      <c r="G143" s="2936">
        <f t="shared" si="65"/>
        <v>0</v>
      </c>
      <c r="H143" s="2937">
        <f t="shared" si="66"/>
        <v>0</v>
      </c>
      <c r="I143" s="2944"/>
      <c r="J143" s="2944"/>
      <c r="K143" s="2944"/>
      <c r="L143" s="2944"/>
      <c r="M143" s="2944"/>
      <c r="N143" s="2944"/>
      <c r="O143" s="2944"/>
      <c r="P143" s="2944"/>
      <c r="Q143" s="2944"/>
      <c r="R143" s="2944"/>
      <c r="S143" s="2944"/>
      <c r="T143" s="2944"/>
      <c r="U143" s="2944"/>
      <c r="V143" s="2944"/>
      <c r="W143" s="2944"/>
      <c r="X143" s="2944"/>
      <c r="Y143" s="2944"/>
      <c r="Z143" s="2944"/>
      <c r="AA143" s="2944"/>
      <c r="AB143" s="2944"/>
      <c r="AC143" s="2934">
        <f t="shared" si="67"/>
        <v>0</v>
      </c>
      <c r="AD143" s="2954"/>
      <c r="AE143" s="2954"/>
      <c r="AF143" s="2954"/>
      <c r="AG143" s="2954"/>
      <c r="AH143" s="2954"/>
      <c r="AI143" s="2954"/>
      <c r="AJ143" s="2954"/>
      <c r="AK143" s="2954"/>
      <c r="AL143" s="2954"/>
      <c r="AM143" s="2954"/>
      <c r="AN143" s="2954"/>
      <c r="AO143" s="2954"/>
      <c r="AP143" s="2954"/>
      <c r="AQ143" s="2954"/>
      <c r="AR143" s="2954"/>
      <c r="AS143" s="2954"/>
      <c r="AT143" s="2935"/>
      <c r="AU143" s="2964"/>
      <c r="AV143" s="857">
        <f t="shared" si="62"/>
        <v>0</v>
      </c>
      <c r="AW143" s="857">
        <f t="shared" si="63"/>
        <v>0</v>
      </c>
      <c r="AX143" s="857">
        <f t="shared" si="64"/>
        <v>0</v>
      </c>
      <c r="AY143" s="807">
        <f t="shared" si="68"/>
        <v>0</v>
      </c>
      <c r="AZ143" s="2934">
        <f t="shared" si="69"/>
        <v>0</v>
      </c>
      <c r="BA143" s="2934">
        <f t="shared" si="70"/>
        <v>0</v>
      </c>
      <c r="BB143" s="2934">
        <f t="shared" si="71"/>
        <v>0</v>
      </c>
      <c r="BC143" s="2934">
        <f t="shared" si="72"/>
        <v>0</v>
      </c>
      <c r="BD143" s="2934">
        <f t="shared" si="73"/>
        <v>0</v>
      </c>
      <c r="BE143" s="2934">
        <f t="shared" si="74"/>
        <v>0</v>
      </c>
      <c r="BF143" s="2934">
        <f t="shared" si="75"/>
        <v>0</v>
      </c>
      <c r="BG143" s="2934">
        <f t="shared" si="76"/>
        <v>0</v>
      </c>
      <c r="BH143" s="2934">
        <f t="shared" si="77"/>
        <v>0</v>
      </c>
      <c r="BI143" s="2934">
        <f t="shared" si="78"/>
        <v>0</v>
      </c>
      <c r="BJ143" s="2934">
        <f t="shared" si="79"/>
        <v>0</v>
      </c>
      <c r="BK143" s="2934">
        <f t="shared" si="80"/>
        <v>0</v>
      </c>
      <c r="BL143" s="2934">
        <f t="shared" si="81"/>
        <v>0</v>
      </c>
      <c r="BM143" s="2934">
        <f t="shared" si="82"/>
        <v>0</v>
      </c>
      <c r="BN143" s="2934">
        <f t="shared" si="83"/>
        <v>0</v>
      </c>
      <c r="BO143" s="2934">
        <f t="shared" si="84"/>
        <v>0</v>
      </c>
      <c r="BP143" s="2934">
        <f t="shared" si="85"/>
        <v>0</v>
      </c>
      <c r="BQ143" s="2934">
        <f t="shared" si="86"/>
        <v>0</v>
      </c>
      <c r="BR143" s="2934">
        <f t="shared" si="87"/>
        <v>0</v>
      </c>
      <c r="BS143" s="2934">
        <f t="shared" si="88"/>
        <v>0</v>
      </c>
      <c r="BT143" s="2982">
        <f t="shared" si="89"/>
        <v>0</v>
      </c>
    </row>
    <row r="144" spans="1:72">
      <c r="A144" s="874"/>
      <c r="B144" s="882"/>
      <c r="C144" s="882"/>
      <c r="D144" s="2933"/>
      <c r="E144" s="2934">
        <f t="shared" si="61"/>
        <v>0</v>
      </c>
      <c r="F144" s="2935"/>
      <c r="G144" s="2936">
        <f t="shared" si="65"/>
        <v>0</v>
      </c>
      <c r="H144" s="2937">
        <f t="shared" si="66"/>
        <v>0</v>
      </c>
      <c r="I144" s="2944"/>
      <c r="J144" s="2944"/>
      <c r="K144" s="2944"/>
      <c r="L144" s="2944"/>
      <c r="M144" s="2944"/>
      <c r="N144" s="2944"/>
      <c r="O144" s="2944"/>
      <c r="P144" s="2944"/>
      <c r="Q144" s="2944"/>
      <c r="R144" s="2944"/>
      <c r="S144" s="2944"/>
      <c r="T144" s="2944"/>
      <c r="U144" s="2944"/>
      <c r="V144" s="2944"/>
      <c r="W144" s="2944"/>
      <c r="X144" s="2944"/>
      <c r="Y144" s="2944"/>
      <c r="Z144" s="2944"/>
      <c r="AA144" s="2944"/>
      <c r="AB144" s="2944"/>
      <c r="AC144" s="2934">
        <f t="shared" si="67"/>
        <v>0</v>
      </c>
      <c r="AD144" s="2954"/>
      <c r="AE144" s="2954"/>
      <c r="AF144" s="2954"/>
      <c r="AG144" s="2954"/>
      <c r="AH144" s="2954"/>
      <c r="AI144" s="2954"/>
      <c r="AJ144" s="2954"/>
      <c r="AK144" s="2954"/>
      <c r="AL144" s="2954"/>
      <c r="AM144" s="2954"/>
      <c r="AN144" s="2954"/>
      <c r="AO144" s="2954"/>
      <c r="AP144" s="2954"/>
      <c r="AQ144" s="2954"/>
      <c r="AR144" s="2954"/>
      <c r="AS144" s="2954"/>
      <c r="AT144" s="2935"/>
      <c r="AU144" s="2964"/>
      <c r="AV144" s="857">
        <f t="shared" si="62"/>
        <v>0</v>
      </c>
      <c r="AW144" s="857">
        <f t="shared" si="63"/>
        <v>0</v>
      </c>
      <c r="AX144" s="857">
        <f t="shared" si="64"/>
        <v>0</v>
      </c>
      <c r="AY144" s="807">
        <f t="shared" si="68"/>
        <v>0</v>
      </c>
      <c r="AZ144" s="2934">
        <f t="shared" si="69"/>
        <v>0</v>
      </c>
      <c r="BA144" s="2934">
        <f t="shared" si="70"/>
        <v>0</v>
      </c>
      <c r="BB144" s="2934">
        <f t="shared" si="71"/>
        <v>0</v>
      </c>
      <c r="BC144" s="2934">
        <f t="shared" si="72"/>
        <v>0</v>
      </c>
      <c r="BD144" s="2934">
        <f t="shared" si="73"/>
        <v>0</v>
      </c>
      <c r="BE144" s="2934">
        <f t="shared" si="74"/>
        <v>0</v>
      </c>
      <c r="BF144" s="2934">
        <f t="shared" si="75"/>
        <v>0</v>
      </c>
      <c r="BG144" s="2934">
        <f t="shared" si="76"/>
        <v>0</v>
      </c>
      <c r="BH144" s="2934">
        <f t="shared" si="77"/>
        <v>0</v>
      </c>
      <c r="BI144" s="2934">
        <f t="shared" si="78"/>
        <v>0</v>
      </c>
      <c r="BJ144" s="2934">
        <f t="shared" si="79"/>
        <v>0</v>
      </c>
      <c r="BK144" s="2934">
        <f t="shared" si="80"/>
        <v>0</v>
      </c>
      <c r="BL144" s="2934">
        <f t="shared" si="81"/>
        <v>0</v>
      </c>
      <c r="BM144" s="2934">
        <f t="shared" si="82"/>
        <v>0</v>
      </c>
      <c r="BN144" s="2934">
        <f t="shared" si="83"/>
        <v>0</v>
      </c>
      <c r="BO144" s="2934">
        <f t="shared" si="84"/>
        <v>0</v>
      </c>
      <c r="BP144" s="2934">
        <f t="shared" si="85"/>
        <v>0</v>
      </c>
      <c r="BQ144" s="2934">
        <f t="shared" si="86"/>
        <v>0</v>
      </c>
      <c r="BR144" s="2934">
        <f t="shared" si="87"/>
        <v>0</v>
      </c>
      <c r="BS144" s="2934">
        <f t="shared" si="88"/>
        <v>0</v>
      </c>
      <c r="BT144" s="2982">
        <f t="shared" si="89"/>
        <v>0</v>
      </c>
    </row>
    <row r="145" spans="1:72">
      <c r="A145" s="874"/>
      <c r="B145" s="882"/>
      <c r="C145" s="882"/>
      <c r="D145" s="2933"/>
      <c r="E145" s="2934">
        <f t="shared" ref="E145:E176" si="90">IF($C$3="是",ROUND($A$3*G145/$B$3,2),ROUND($A$3*(G145-AT145)/$B$3,2))</f>
        <v>0</v>
      </c>
      <c r="F145" s="2935"/>
      <c r="G145" s="2936">
        <f t="shared" si="65"/>
        <v>0</v>
      </c>
      <c r="H145" s="2937">
        <f t="shared" si="66"/>
        <v>0</v>
      </c>
      <c r="I145" s="2944"/>
      <c r="J145" s="2944"/>
      <c r="K145" s="2944"/>
      <c r="L145" s="2944"/>
      <c r="M145" s="2944"/>
      <c r="N145" s="2944"/>
      <c r="O145" s="2944"/>
      <c r="P145" s="2944"/>
      <c r="Q145" s="2944"/>
      <c r="R145" s="2944"/>
      <c r="S145" s="2944"/>
      <c r="T145" s="2944"/>
      <c r="U145" s="2944"/>
      <c r="V145" s="2944"/>
      <c r="W145" s="2944"/>
      <c r="X145" s="2944"/>
      <c r="Y145" s="2944"/>
      <c r="Z145" s="2944"/>
      <c r="AA145" s="2944"/>
      <c r="AB145" s="2944"/>
      <c r="AC145" s="2934">
        <f t="shared" si="67"/>
        <v>0</v>
      </c>
      <c r="AD145" s="2954"/>
      <c r="AE145" s="2954"/>
      <c r="AF145" s="2954"/>
      <c r="AG145" s="2954"/>
      <c r="AH145" s="2954"/>
      <c r="AI145" s="2954"/>
      <c r="AJ145" s="2954"/>
      <c r="AK145" s="2954"/>
      <c r="AL145" s="2954"/>
      <c r="AM145" s="2954"/>
      <c r="AN145" s="2954"/>
      <c r="AO145" s="2954"/>
      <c r="AP145" s="2954"/>
      <c r="AQ145" s="2954"/>
      <c r="AR145" s="2954"/>
      <c r="AS145" s="2954"/>
      <c r="AT145" s="2935"/>
      <c r="AU145" s="2964"/>
      <c r="AV145" s="857">
        <f t="shared" ref="AV145:AV176" si="91">A145</f>
        <v>0</v>
      </c>
      <c r="AW145" s="857">
        <f t="shared" ref="AW145:AW176" si="92">B145</f>
        <v>0</v>
      </c>
      <c r="AX145" s="857">
        <f t="shared" ref="AX145:AX176" si="93">C145</f>
        <v>0</v>
      </c>
      <c r="AY145" s="807">
        <f t="shared" si="68"/>
        <v>0</v>
      </c>
      <c r="AZ145" s="2934">
        <f t="shared" si="69"/>
        <v>0</v>
      </c>
      <c r="BA145" s="2934">
        <f t="shared" si="70"/>
        <v>0</v>
      </c>
      <c r="BB145" s="2934">
        <f t="shared" si="71"/>
        <v>0</v>
      </c>
      <c r="BC145" s="2934">
        <f t="shared" si="72"/>
        <v>0</v>
      </c>
      <c r="BD145" s="2934">
        <f t="shared" si="73"/>
        <v>0</v>
      </c>
      <c r="BE145" s="2934">
        <f t="shared" si="74"/>
        <v>0</v>
      </c>
      <c r="BF145" s="2934">
        <f t="shared" si="75"/>
        <v>0</v>
      </c>
      <c r="BG145" s="2934">
        <f t="shared" si="76"/>
        <v>0</v>
      </c>
      <c r="BH145" s="2934">
        <f t="shared" si="77"/>
        <v>0</v>
      </c>
      <c r="BI145" s="2934">
        <f t="shared" si="78"/>
        <v>0</v>
      </c>
      <c r="BJ145" s="2934">
        <f t="shared" si="79"/>
        <v>0</v>
      </c>
      <c r="BK145" s="2934">
        <f t="shared" si="80"/>
        <v>0</v>
      </c>
      <c r="BL145" s="2934">
        <f t="shared" si="81"/>
        <v>0</v>
      </c>
      <c r="BM145" s="2934">
        <f t="shared" si="82"/>
        <v>0</v>
      </c>
      <c r="BN145" s="2934">
        <f t="shared" si="83"/>
        <v>0</v>
      </c>
      <c r="BO145" s="2934">
        <f t="shared" si="84"/>
        <v>0</v>
      </c>
      <c r="BP145" s="2934">
        <f t="shared" si="85"/>
        <v>0</v>
      </c>
      <c r="BQ145" s="2934">
        <f t="shared" si="86"/>
        <v>0</v>
      </c>
      <c r="BR145" s="2934">
        <f t="shared" si="87"/>
        <v>0</v>
      </c>
      <c r="BS145" s="2934">
        <f t="shared" si="88"/>
        <v>0</v>
      </c>
      <c r="BT145" s="2982">
        <f t="shared" si="89"/>
        <v>0</v>
      </c>
    </row>
    <row r="146" spans="1:72">
      <c r="A146" s="874"/>
      <c r="B146" s="882"/>
      <c r="C146" s="882"/>
      <c r="D146" s="2933"/>
      <c r="E146" s="2934">
        <f t="shared" si="90"/>
        <v>0</v>
      </c>
      <c r="F146" s="2935"/>
      <c r="G146" s="2936">
        <f t="shared" si="65"/>
        <v>0</v>
      </c>
      <c r="H146" s="2937">
        <f t="shared" si="66"/>
        <v>0</v>
      </c>
      <c r="I146" s="2944"/>
      <c r="J146" s="2944"/>
      <c r="K146" s="2944"/>
      <c r="L146" s="2944"/>
      <c r="M146" s="2944"/>
      <c r="N146" s="2944"/>
      <c r="O146" s="2944"/>
      <c r="P146" s="2944"/>
      <c r="Q146" s="2944"/>
      <c r="R146" s="2944"/>
      <c r="S146" s="2944"/>
      <c r="T146" s="2944"/>
      <c r="U146" s="2944"/>
      <c r="V146" s="2944"/>
      <c r="W146" s="2944"/>
      <c r="X146" s="2944"/>
      <c r="Y146" s="2944"/>
      <c r="Z146" s="2944"/>
      <c r="AA146" s="2944"/>
      <c r="AB146" s="2944"/>
      <c r="AC146" s="2934">
        <f t="shared" si="67"/>
        <v>0</v>
      </c>
      <c r="AD146" s="2954"/>
      <c r="AE146" s="2954"/>
      <c r="AF146" s="2954"/>
      <c r="AG146" s="2954"/>
      <c r="AH146" s="2954"/>
      <c r="AI146" s="2954"/>
      <c r="AJ146" s="2954"/>
      <c r="AK146" s="2954"/>
      <c r="AL146" s="2954"/>
      <c r="AM146" s="2954"/>
      <c r="AN146" s="2954"/>
      <c r="AO146" s="2954"/>
      <c r="AP146" s="2954"/>
      <c r="AQ146" s="2954"/>
      <c r="AR146" s="2954"/>
      <c r="AS146" s="2954"/>
      <c r="AT146" s="2935"/>
      <c r="AU146" s="2964"/>
      <c r="AV146" s="857">
        <f t="shared" si="91"/>
        <v>0</v>
      </c>
      <c r="AW146" s="857">
        <f t="shared" si="92"/>
        <v>0</v>
      </c>
      <c r="AX146" s="857">
        <f t="shared" si="93"/>
        <v>0</v>
      </c>
      <c r="AY146" s="807">
        <f t="shared" si="68"/>
        <v>0</v>
      </c>
      <c r="AZ146" s="2934">
        <f t="shared" si="69"/>
        <v>0</v>
      </c>
      <c r="BA146" s="2934">
        <f t="shared" si="70"/>
        <v>0</v>
      </c>
      <c r="BB146" s="2934">
        <f t="shared" si="71"/>
        <v>0</v>
      </c>
      <c r="BC146" s="2934">
        <f t="shared" si="72"/>
        <v>0</v>
      </c>
      <c r="BD146" s="2934">
        <f t="shared" si="73"/>
        <v>0</v>
      </c>
      <c r="BE146" s="2934">
        <f t="shared" si="74"/>
        <v>0</v>
      </c>
      <c r="BF146" s="2934">
        <f t="shared" si="75"/>
        <v>0</v>
      </c>
      <c r="BG146" s="2934">
        <f t="shared" si="76"/>
        <v>0</v>
      </c>
      <c r="BH146" s="2934">
        <f t="shared" si="77"/>
        <v>0</v>
      </c>
      <c r="BI146" s="2934">
        <f t="shared" si="78"/>
        <v>0</v>
      </c>
      <c r="BJ146" s="2934">
        <f t="shared" si="79"/>
        <v>0</v>
      </c>
      <c r="BK146" s="2934">
        <f t="shared" si="80"/>
        <v>0</v>
      </c>
      <c r="BL146" s="2934">
        <f t="shared" si="81"/>
        <v>0</v>
      </c>
      <c r="BM146" s="2934">
        <f t="shared" si="82"/>
        <v>0</v>
      </c>
      <c r="BN146" s="2934">
        <f t="shared" si="83"/>
        <v>0</v>
      </c>
      <c r="BO146" s="2934">
        <f t="shared" si="84"/>
        <v>0</v>
      </c>
      <c r="BP146" s="2934">
        <f t="shared" si="85"/>
        <v>0</v>
      </c>
      <c r="BQ146" s="2934">
        <f t="shared" si="86"/>
        <v>0</v>
      </c>
      <c r="BR146" s="2934">
        <f t="shared" si="87"/>
        <v>0</v>
      </c>
      <c r="BS146" s="2934">
        <f t="shared" si="88"/>
        <v>0</v>
      </c>
      <c r="BT146" s="2982">
        <f t="shared" si="89"/>
        <v>0</v>
      </c>
    </row>
    <row r="147" spans="1:72">
      <c r="A147" s="874"/>
      <c r="B147" s="882"/>
      <c r="C147" s="882"/>
      <c r="D147" s="2933"/>
      <c r="E147" s="2934">
        <f t="shared" si="90"/>
        <v>0</v>
      </c>
      <c r="F147" s="2935"/>
      <c r="G147" s="2936">
        <f t="shared" si="65"/>
        <v>0</v>
      </c>
      <c r="H147" s="2937">
        <f t="shared" si="66"/>
        <v>0</v>
      </c>
      <c r="I147" s="2944"/>
      <c r="J147" s="2944"/>
      <c r="K147" s="2944"/>
      <c r="L147" s="2944"/>
      <c r="M147" s="2944"/>
      <c r="N147" s="2944"/>
      <c r="O147" s="2944"/>
      <c r="P147" s="2944"/>
      <c r="Q147" s="2944"/>
      <c r="R147" s="2944"/>
      <c r="S147" s="2944"/>
      <c r="T147" s="2944"/>
      <c r="U147" s="2944"/>
      <c r="V147" s="2944"/>
      <c r="W147" s="2944"/>
      <c r="X147" s="2944"/>
      <c r="Y147" s="2944"/>
      <c r="Z147" s="2944"/>
      <c r="AA147" s="2944"/>
      <c r="AB147" s="2944"/>
      <c r="AC147" s="2934">
        <f t="shared" si="67"/>
        <v>0</v>
      </c>
      <c r="AD147" s="2954"/>
      <c r="AE147" s="2954"/>
      <c r="AF147" s="2954"/>
      <c r="AG147" s="2954"/>
      <c r="AH147" s="2954"/>
      <c r="AI147" s="2954"/>
      <c r="AJ147" s="2954"/>
      <c r="AK147" s="2954"/>
      <c r="AL147" s="2954"/>
      <c r="AM147" s="2954"/>
      <c r="AN147" s="2954"/>
      <c r="AO147" s="2954"/>
      <c r="AP147" s="2954"/>
      <c r="AQ147" s="2954"/>
      <c r="AR147" s="2954"/>
      <c r="AS147" s="2954"/>
      <c r="AT147" s="2935"/>
      <c r="AU147" s="2964"/>
      <c r="AV147" s="857">
        <f t="shared" si="91"/>
        <v>0</v>
      </c>
      <c r="AW147" s="857">
        <f t="shared" si="92"/>
        <v>0</v>
      </c>
      <c r="AX147" s="857">
        <f t="shared" si="93"/>
        <v>0</v>
      </c>
      <c r="AY147" s="807">
        <f t="shared" si="68"/>
        <v>0</v>
      </c>
      <c r="AZ147" s="2934">
        <f t="shared" si="69"/>
        <v>0</v>
      </c>
      <c r="BA147" s="2934">
        <f t="shared" si="70"/>
        <v>0</v>
      </c>
      <c r="BB147" s="2934">
        <f t="shared" si="71"/>
        <v>0</v>
      </c>
      <c r="BC147" s="2934">
        <f t="shared" si="72"/>
        <v>0</v>
      </c>
      <c r="BD147" s="2934">
        <f t="shared" si="73"/>
        <v>0</v>
      </c>
      <c r="BE147" s="2934">
        <f t="shared" si="74"/>
        <v>0</v>
      </c>
      <c r="BF147" s="2934">
        <f t="shared" si="75"/>
        <v>0</v>
      </c>
      <c r="BG147" s="2934">
        <f t="shared" si="76"/>
        <v>0</v>
      </c>
      <c r="BH147" s="2934">
        <f t="shared" si="77"/>
        <v>0</v>
      </c>
      <c r="BI147" s="2934">
        <f t="shared" si="78"/>
        <v>0</v>
      </c>
      <c r="BJ147" s="2934">
        <f t="shared" si="79"/>
        <v>0</v>
      </c>
      <c r="BK147" s="2934">
        <f t="shared" si="80"/>
        <v>0</v>
      </c>
      <c r="BL147" s="2934">
        <f t="shared" si="81"/>
        <v>0</v>
      </c>
      <c r="BM147" s="2934">
        <f t="shared" si="82"/>
        <v>0</v>
      </c>
      <c r="BN147" s="2934">
        <f t="shared" si="83"/>
        <v>0</v>
      </c>
      <c r="BO147" s="2934">
        <f t="shared" si="84"/>
        <v>0</v>
      </c>
      <c r="BP147" s="2934">
        <f t="shared" si="85"/>
        <v>0</v>
      </c>
      <c r="BQ147" s="2934">
        <f t="shared" si="86"/>
        <v>0</v>
      </c>
      <c r="BR147" s="2934">
        <f t="shared" si="87"/>
        <v>0</v>
      </c>
      <c r="BS147" s="2934">
        <f t="shared" si="88"/>
        <v>0</v>
      </c>
      <c r="BT147" s="2982">
        <f t="shared" si="89"/>
        <v>0</v>
      </c>
    </row>
    <row r="148" spans="1:72">
      <c r="A148" s="874"/>
      <c r="B148" s="882"/>
      <c r="C148" s="882"/>
      <c r="D148" s="2933"/>
      <c r="E148" s="2934">
        <f t="shared" si="90"/>
        <v>0</v>
      </c>
      <c r="F148" s="2935"/>
      <c r="G148" s="2936">
        <f t="shared" si="65"/>
        <v>0</v>
      </c>
      <c r="H148" s="2937">
        <f t="shared" si="66"/>
        <v>0</v>
      </c>
      <c r="I148" s="2944"/>
      <c r="J148" s="2944"/>
      <c r="K148" s="2944"/>
      <c r="L148" s="2944"/>
      <c r="M148" s="2944"/>
      <c r="N148" s="2944"/>
      <c r="O148" s="2944"/>
      <c r="P148" s="2944"/>
      <c r="Q148" s="2944"/>
      <c r="R148" s="2944"/>
      <c r="S148" s="2944"/>
      <c r="T148" s="2944"/>
      <c r="U148" s="2944"/>
      <c r="V148" s="2944"/>
      <c r="W148" s="2944"/>
      <c r="X148" s="2944"/>
      <c r="Y148" s="2944"/>
      <c r="Z148" s="2944"/>
      <c r="AA148" s="2944"/>
      <c r="AB148" s="2944"/>
      <c r="AC148" s="2934">
        <f t="shared" si="67"/>
        <v>0</v>
      </c>
      <c r="AD148" s="2954"/>
      <c r="AE148" s="2954"/>
      <c r="AF148" s="2954"/>
      <c r="AG148" s="2954"/>
      <c r="AH148" s="2954"/>
      <c r="AI148" s="2954"/>
      <c r="AJ148" s="2954"/>
      <c r="AK148" s="2954"/>
      <c r="AL148" s="2954"/>
      <c r="AM148" s="2954"/>
      <c r="AN148" s="2954"/>
      <c r="AO148" s="2954"/>
      <c r="AP148" s="2954"/>
      <c r="AQ148" s="2954"/>
      <c r="AR148" s="2954"/>
      <c r="AS148" s="2954"/>
      <c r="AT148" s="2935"/>
      <c r="AU148" s="2964"/>
      <c r="AV148" s="857">
        <f t="shared" si="91"/>
        <v>0</v>
      </c>
      <c r="AW148" s="857">
        <f t="shared" si="92"/>
        <v>0</v>
      </c>
      <c r="AX148" s="857">
        <f t="shared" si="93"/>
        <v>0</v>
      </c>
      <c r="AY148" s="807">
        <f t="shared" si="68"/>
        <v>0</v>
      </c>
      <c r="AZ148" s="2934">
        <f t="shared" si="69"/>
        <v>0</v>
      </c>
      <c r="BA148" s="2934">
        <f t="shared" si="70"/>
        <v>0</v>
      </c>
      <c r="BB148" s="2934">
        <f t="shared" si="71"/>
        <v>0</v>
      </c>
      <c r="BC148" s="2934">
        <f t="shared" si="72"/>
        <v>0</v>
      </c>
      <c r="BD148" s="2934">
        <f t="shared" si="73"/>
        <v>0</v>
      </c>
      <c r="BE148" s="2934">
        <f t="shared" si="74"/>
        <v>0</v>
      </c>
      <c r="BF148" s="2934">
        <f t="shared" si="75"/>
        <v>0</v>
      </c>
      <c r="BG148" s="2934">
        <f t="shared" si="76"/>
        <v>0</v>
      </c>
      <c r="BH148" s="2934">
        <f t="shared" si="77"/>
        <v>0</v>
      </c>
      <c r="BI148" s="2934">
        <f t="shared" si="78"/>
        <v>0</v>
      </c>
      <c r="BJ148" s="2934">
        <f t="shared" si="79"/>
        <v>0</v>
      </c>
      <c r="BK148" s="2934">
        <f t="shared" si="80"/>
        <v>0</v>
      </c>
      <c r="BL148" s="2934">
        <f t="shared" si="81"/>
        <v>0</v>
      </c>
      <c r="BM148" s="2934">
        <f t="shared" si="82"/>
        <v>0</v>
      </c>
      <c r="BN148" s="2934">
        <f t="shared" si="83"/>
        <v>0</v>
      </c>
      <c r="BO148" s="2934">
        <f t="shared" si="84"/>
        <v>0</v>
      </c>
      <c r="BP148" s="2934">
        <f t="shared" si="85"/>
        <v>0</v>
      </c>
      <c r="BQ148" s="2934">
        <f t="shared" si="86"/>
        <v>0</v>
      </c>
      <c r="BR148" s="2934">
        <f t="shared" si="87"/>
        <v>0</v>
      </c>
      <c r="BS148" s="2934">
        <f t="shared" si="88"/>
        <v>0</v>
      </c>
      <c r="BT148" s="2982">
        <f t="shared" si="89"/>
        <v>0</v>
      </c>
    </row>
    <row r="149" spans="1:72">
      <c r="A149" s="874"/>
      <c r="B149" s="882"/>
      <c r="C149" s="882"/>
      <c r="D149" s="2933"/>
      <c r="E149" s="2934">
        <f t="shared" si="90"/>
        <v>0</v>
      </c>
      <c r="F149" s="2935"/>
      <c r="G149" s="2936">
        <f t="shared" si="65"/>
        <v>0</v>
      </c>
      <c r="H149" s="2937">
        <f t="shared" si="66"/>
        <v>0</v>
      </c>
      <c r="I149" s="2944"/>
      <c r="J149" s="2944"/>
      <c r="K149" s="2944"/>
      <c r="L149" s="2944"/>
      <c r="M149" s="2944"/>
      <c r="N149" s="2944"/>
      <c r="O149" s="2944"/>
      <c r="P149" s="2944"/>
      <c r="Q149" s="2944"/>
      <c r="R149" s="2944"/>
      <c r="S149" s="2944"/>
      <c r="T149" s="2944"/>
      <c r="U149" s="2944"/>
      <c r="V149" s="2944"/>
      <c r="W149" s="2944"/>
      <c r="X149" s="2944"/>
      <c r="Y149" s="2944"/>
      <c r="Z149" s="2944"/>
      <c r="AA149" s="2944"/>
      <c r="AB149" s="2944"/>
      <c r="AC149" s="2934">
        <f t="shared" si="67"/>
        <v>0</v>
      </c>
      <c r="AD149" s="2954"/>
      <c r="AE149" s="2954"/>
      <c r="AF149" s="2954"/>
      <c r="AG149" s="2954"/>
      <c r="AH149" s="2954"/>
      <c r="AI149" s="2954"/>
      <c r="AJ149" s="2954"/>
      <c r="AK149" s="2954"/>
      <c r="AL149" s="2954"/>
      <c r="AM149" s="2954"/>
      <c r="AN149" s="2954"/>
      <c r="AO149" s="2954"/>
      <c r="AP149" s="2954"/>
      <c r="AQ149" s="2954"/>
      <c r="AR149" s="2954"/>
      <c r="AS149" s="2954"/>
      <c r="AT149" s="2935"/>
      <c r="AU149" s="2964"/>
      <c r="AV149" s="857">
        <f t="shared" si="91"/>
        <v>0</v>
      </c>
      <c r="AW149" s="857">
        <f t="shared" si="92"/>
        <v>0</v>
      </c>
      <c r="AX149" s="857">
        <f t="shared" si="93"/>
        <v>0</v>
      </c>
      <c r="AY149" s="807">
        <f t="shared" si="68"/>
        <v>0</v>
      </c>
      <c r="AZ149" s="2934">
        <f t="shared" si="69"/>
        <v>0</v>
      </c>
      <c r="BA149" s="2934">
        <f t="shared" si="70"/>
        <v>0</v>
      </c>
      <c r="BB149" s="2934">
        <f t="shared" si="71"/>
        <v>0</v>
      </c>
      <c r="BC149" s="2934">
        <f t="shared" si="72"/>
        <v>0</v>
      </c>
      <c r="BD149" s="2934">
        <f t="shared" si="73"/>
        <v>0</v>
      </c>
      <c r="BE149" s="2934">
        <f t="shared" si="74"/>
        <v>0</v>
      </c>
      <c r="BF149" s="2934">
        <f t="shared" si="75"/>
        <v>0</v>
      </c>
      <c r="BG149" s="2934">
        <f t="shared" si="76"/>
        <v>0</v>
      </c>
      <c r="BH149" s="2934">
        <f t="shared" si="77"/>
        <v>0</v>
      </c>
      <c r="BI149" s="2934">
        <f t="shared" si="78"/>
        <v>0</v>
      </c>
      <c r="BJ149" s="2934">
        <f t="shared" si="79"/>
        <v>0</v>
      </c>
      <c r="BK149" s="2934">
        <f t="shared" si="80"/>
        <v>0</v>
      </c>
      <c r="BL149" s="2934">
        <f t="shared" si="81"/>
        <v>0</v>
      </c>
      <c r="BM149" s="2934">
        <f t="shared" si="82"/>
        <v>0</v>
      </c>
      <c r="BN149" s="2934">
        <f t="shared" si="83"/>
        <v>0</v>
      </c>
      <c r="BO149" s="2934">
        <f t="shared" si="84"/>
        <v>0</v>
      </c>
      <c r="BP149" s="2934">
        <f t="shared" si="85"/>
        <v>0</v>
      </c>
      <c r="BQ149" s="2934">
        <f t="shared" si="86"/>
        <v>0</v>
      </c>
      <c r="BR149" s="2934">
        <f t="shared" si="87"/>
        <v>0</v>
      </c>
      <c r="BS149" s="2934">
        <f t="shared" si="88"/>
        <v>0</v>
      </c>
      <c r="BT149" s="2982">
        <f t="shared" si="89"/>
        <v>0</v>
      </c>
    </row>
    <row r="150" spans="1:72">
      <c r="A150" s="874"/>
      <c r="B150" s="882"/>
      <c r="C150" s="882"/>
      <c r="D150" s="2933"/>
      <c r="E150" s="2934">
        <f t="shared" si="90"/>
        <v>0</v>
      </c>
      <c r="F150" s="2935"/>
      <c r="G150" s="2936">
        <f t="shared" si="65"/>
        <v>0</v>
      </c>
      <c r="H150" s="2937">
        <f t="shared" si="66"/>
        <v>0</v>
      </c>
      <c r="I150" s="2944"/>
      <c r="J150" s="2944"/>
      <c r="K150" s="2944"/>
      <c r="L150" s="2944"/>
      <c r="M150" s="2944"/>
      <c r="N150" s="2944"/>
      <c r="O150" s="2944"/>
      <c r="P150" s="2944"/>
      <c r="Q150" s="2944"/>
      <c r="R150" s="2944"/>
      <c r="S150" s="2944"/>
      <c r="T150" s="2944"/>
      <c r="U150" s="2944"/>
      <c r="V150" s="2944"/>
      <c r="W150" s="2944"/>
      <c r="X150" s="2944"/>
      <c r="Y150" s="2944"/>
      <c r="Z150" s="2944"/>
      <c r="AA150" s="2944"/>
      <c r="AB150" s="2944"/>
      <c r="AC150" s="2934">
        <f t="shared" si="67"/>
        <v>0</v>
      </c>
      <c r="AD150" s="2954"/>
      <c r="AE150" s="2954"/>
      <c r="AF150" s="2954"/>
      <c r="AG150" s="2954"/>
      <c r="AH150" s="2954"/>
      <c r="AI150" s="2954"/>
      <c r="AJ150" s="2954"/>
      <c r="AK150" s="2954"/>
      <c r="AL150" s="2954"/>
      <c r="AM150" s="2954"/>
      <c r="AN150" s="2954"/>
      <c r="AO150" s="2954"/>
      <c r="AP150" s="2954"/>
      <c r="AQ150" s="2954"/>
      <c r="AR150" s="2954"/>
      <c r="AS150" s="2954"/>
      <c r="AT150" s="2935"/>
      <c r="AU150" s="2964"/>
      <c r="AV150" s="857">
        <f t="shared" si="91"/>
        <v>0</v>
      </c>
      <c r="AW150" s="857">
        <f t="shared" si="92"/>
        <v>0</v>
      </c>
      <c r="AX150" s="857">
        <f t="shared" si="93"/>
        <v>0</v>
      </c>
      <c r="AY150" s="807">
        <f t="shared" si="68"/>
        <v>0</v>
      </c>
      <c r="AZ150" s="2934">
        <f t="shared" si="69"/>
        <v>0</v>
      </c>
      <c r="BA150" s="2934">
        <f t="shared" si="70"/>
        <v>0</v>
      </c>
      <c r="BB150" s="2934">
        <f t="shared" si="71"/>
        <v>0</v>
      </c>
      <c r="BC150" s="2934">
        <f t="shared" si="72"/>
        <v>0</v>
      </c>
      <c r="BD150" s="2934">
        <f t="shared" si="73"/>
        <v>0</v>
      </c>
      <c r="BE150" s="2934">
        <f t="shared" si="74"/>
        <v>0</v>
      </c>
      <c r="BF150" s="2934">
        <f t="shared" si="75"/>
        <v>0</v>
      </c>
      <c r="BG150" s="2934">
        <f t="shared" si="76"/>
        <v>0</v>
      </c>
      <c r="BH150" s="2934">
        <f t="shared" si="77"/>
        <v>0</v>
      </c>
      <c r="BI150" s="2934">
        <f t="shared" si="78"/>
        <v>0</v>
      </c>
      <c r="BJ150" s="2934">
        <f t="shared" si="79"/>
        <v>0</v>
      </c>
      <c r="BK150" s="2934">
        <f t="shared" si="80"/>
        <v>0</v>
      </c>
      <c r="BL150" s="2934">
        <f t="shared" si="81"/>
        <v>0</v>
      </c>
      <c r="BM150" s="2934">
        <f t="shared" si="82"/>
        <v>0</v>
      </c>
      <c r="BN150" s="2934">
        <f t="shared" si="83"/>
        <v>0</v>
      </c>
      <c r="BO150" s="2934">
        <f t="shared" si="84"/>
        <v>0</v>
      </c>
      <c r="BP150" s="2934">
        <f t="shared" si="85"/>
        <v>0</v>
      </c>
      <c r="BQ150" s="2934">
        <f t="shared" si="86"/>
        <v>0</v>
      </c>
      <c r="BR150" s="2934">
        <f t="shared" si="87"/>
        <v>0</v>
      </c>
      <c r="BS150" s="2934">
        <f t="shared" si="88"/>
        <v>0</v>
      </c>
      <c r="BT150" s="2982">
        <f t="shared" si="89"/>
        <v>0</v>
      </c>
    </row>
    <row r="151" spans="1:72">
      <c r="A151" s="874"/>
      <c r="B151" s="882"/>
      <c r="C151" s="882"/>
      <c r="D151" s="2933"/>
      <c r="E151" s="2934">
        <f t="shared" si="90"/>
        <v>0</v>
      </c>
      <c r="F151" s="2935"/>
      <c r="G151" s="2936">
        <f t="shared" si="65"/>
        <v>0</v>
      </c>
      <c r="H151" s="2937">
        <f t="shared" si="66"/>
        <v>0</v>
      </c>
      <c r="I151" s="2944"/>
      <c r="J151" s="2944"/>
      <c r="K151" s="2944"/>
      <c r="L151" s="2944"/>
      <c r="M151" s="2944"/>
      <c r="N151" s="2944"/>
      <c r="O151" s="2944"/>
      <c r="P151" s="2944"/>
      <c r="Q151" s="2944"/>
      <c r="R151" s="2944"/>
      <c r="S151" s="2944"/>
      <c r="T151" s="2944"/>
      <c r="U151" s="2944"/>
      <c r="V151" s="2944"/>
      <c r="W151" s="2944"/>
      <c r="X151" s="2944"/>
      <c r="Y151" s="2944"/>
      <c r="Z151" s="2944"/>
      <c r="AA151" s="2944"/>
      <c r="AB151" s="2944"/>
      <c r="AC151" s="2934">
        <f t="shared" si="67"/>
        <v>0</v>
      </c>
      <c r="AD151" s="2954"/>
      <c r="AE151" s="2954"/>
      <c r="AF151" s="2954"/>
      <c r="AG151" s="2954"/>
      <c r="AH151" s="2954"/>
      <c r="AI151" s="2954"/>
      <c r="AJ151" s="2954"/>
      <c r="AK151" s="2954"/>
      <c r="AL151" s="2954"/>
      <c r="AM151" s="2954"/>
      <c r="AN151" s="2954"/>
      <c r="AO151" s="2954"/>
      <c r="AP151" s="2954"/>
      <c r="AQ151" s="2954"/>
      <c r="AR151" s="2954"/>
      <c r="AS151" s="2954"/>
      <c r="AT151" s="2935"/>
      <c r="AU151" s="2964"/>
      <c r="AV151" s="857">
        <f t="shared" si="91"/>
        <v>0</v>
      </c>
      <c r="AW151" s="857">
        <f t="shared" si="92"/>
        <v>0</v>
      </c>
      <c r="AX151" s="857">
        <f t="shared" si="93"/>
        <v>0</v>
      </c>
      <c r="AY151" s="807">
        <f t="shared" si="68"/>
        <v>0</v>
      </c>
      <c r="AZ151" s="2934">
        <f t="shared" si="69"/>
        <v>0</v>
      </c>
      <c r="BA151" s="2934">
        <f t="shared" si="70"/>
        <v>0</v>
      </c>
      <c r="BB151" s="2934">
        <f t="shared" si="71"/>
        <v>0</v>
      </c>
      <c r="BC151" s="2934">
        <f t="shared" si="72"/>
        <v>0</v>
      </c>
      <c r="BD151" s="2934">
        <f t="shared" si="73"/>
        <v>0</v>
      </c>
      <c r="BE151" s="2934">
        <f t="shared" si="74"/>
        <v>0</v>
      </c>
      <c r="BF151" s="2934">
        <f t="shared" si="75"/>
        <v>0</v>
      </c>
      <c r="BG151" s="2934">
        <f t="shared" si="76"/>
        <v>0</v>
      </c>
      <c r="BH151" s="2934">
        <f t="shared" si="77"/>
        <v>0</v>
      </c>
      <c r="BI151" s="2934">
        <f t="shared" si="78"/>
        <v>0</v>
      </c>
      <c r="BJ151" s="2934">
        <f t="shared" si="79"/>
        <v>0</v>
      </c>
      <c r="BK151" s="2934">
        <f t="shared" si="80"/>
        <v>0</v>
      </c>
      <c r="BL151" s="2934">
        <f t="shared" si="81"/>
        <v>0</v>
      </c>
      <c r="BM151" s="2934">
        <f t="shared" si="82"/>
        <v>0</v>
      </c>
      <c r="BN151" s="2934">
        <f t="shared" si="83"/>
        <v>0</v>
      </c>
      <c r="BO151" s="2934">
        <f t="shared" si="84"/>
        <v>0</v>
      </c>
      <c r="BP151" s="2934">
        <f t="shared" si="85"/>
        <v>0</v>
      </c>
      <c r="BQ151" s="2934">
        <f t="shared" si="86"/>
        <v>0</v>
      </c>
      <c r="BR151" s="2934">
        <f t="shared" si="87"/>
        <v>0</v>
      </c>
      <c r="BS151" s="2934">
        <f t="shared" si="88"/>
        <v>0</v>
      </c>
      <c r="BT151" s="2982">
        <f t="shared" si="89"/>
        <v>0</v>
      </c>
    </row>
    <row r="152" spans="1:72">
      <c r="A152" s="874"/>
      <c r="B152" s="882"/>
      <c r="C152" s="882"/>
      <c r="D152" s="2933"/>
      <c r="E152" s="2934">
        <f t="shared" si="90"/>
        <v>0</v>
      </c>
      <c r="F152" s="2935"/>
      <c r="G152" s="2936">
        <f t="shared" si="65"/>
        <v>0</v>
      </c>
      <c r="H152" s="2937">
        <f t="shared" si="66"/>
        <v>0</v>
      </c>
      <c r="I152" s="2944"/>
      <c r="J152" s="2944"/>
      <c r="K152" s="2944"/>
      <c r="L152" s="2944"/>
      <c r="M152" s="2944"/>
      <c r="N152" s="2944"/>
      <c r="O152" s="2944"/>
      <c r="P152" s="2944"/>
      <c r="Q152" s="2944"/>
      <c r="R152" s="2944"/>
      <c r="S152" s="2944"/>
      <c r="T152" s="2944"/>
      <c r="U152" s="2944"/>
      <c r="V152" s="2944"/>
      <c r="W152" s="2944"/>
      <c r="X152" s="2944"/>
      <c r="Y152" s="2944"/>
      <c r="Z152" s="2944"/>
      <c r="AA152" s="2944"/>
      <c r="AB152" s="2944"/>
      <c r="AC152" s="2934">
        <f t="shared" si="67"/>
        <v>0</v>
      </c>
      <c r="AD152" s="2954"/>
      <c r="AE152" s="2954"/>
      <c r="AF152" s="2954"/>
      <c r="AG152" s="2954"/>
      <c r="AH152" s="2954"/>
      <c r="AI152" s="2954"/>
      <c r="AJ152" s="2954"/>
      <c r="AK152" s="2954"/>
      <c r="AL152" s="2954"/>
      <c r="AM152" s="2954"/>
      <c r="AN152" s="2954"/>
      <c r="AO152" s="2954"/>
      <c r="AP152" s="2954"/>
      <c r="AQ152" s="2954"/>
      <c r="AR152" s="2954"/>
      <c r="AS152" s="2954"/>
      <c r="AT152" s="2935"/>
      <c r="AU152" s="2964"/>
      <c r="AV152" s="857">
        <f t="shared" si="91"/>
        <v>0</v>
      </c>
      <c r="AW152" s="857">
        <f t="shared" si="92"/>
        <v>0</v>
      </c>
      <c r="AX152" s="857">
        <f t="shared" si="93"/>
        <v>0</v>
      </c>
      <c r="AY152" s="807">
        <f t="shared" si="68"/>
        <v>0</v>
      </c>
      <c r="AZ152" s="2934">
        <f t="shared" si="69"/>
        <v>0</v>
      </c>
      <c r="BA152" s="2934">
        <f t="shared" si="70"/>
        <v>0</v>
      </c>
      <c r="BB152" s="2934">
        <f t="shared" si="71"/>
        <v>0</v>
      </c>
      <c r="BC152" s="2934">
        <f t="shared" si="72"/>
        <v>0</v>
      </c>
      <c r="BD152" s="2934">
        <f t="shared" si="73"/>
        <v>0</v>
      </c>
      <c r="BE152" s="2934">
        <f t="shared" si="74"/>
        <v>0</v>
      </c>
      <c r="BF152" s="2934">
        <f t="shared" si="75"/>
        <v>0</v>
      </c>
      <c r="BG152" s="2934">
        <f t="shared" si="76"/>
        <v>0</v>
      </c>
      <c r="BH152" s="2934">
        <f t="shared" si="77"/>
        <v>0</v>
      </c>
      <c r="BI152" s="2934">
        <f t="shared" si="78"/>
        <v>0</v>
      </c>
      <c r="BJ152" s="2934">
        <f t="shared" si="79"/>
        <v>0</v>
      </c>
      <c r="BK152" s="2934">
        <f t="shared" si="80"/>
        <v>0</v>
      </c>
      <c r="BL152" s="2934">
        <f t="shared" si="81"/>
        <v>0</v>
      </c>
      <c r="BM152" s="2934">
        <f t="shared" si="82"/>
        <v>0</v>
      </c>
      <c r="BN152" s="2934">
        <f t="shared" si="83"/>
        <v>0</v>
      </c>
      <c r="BO152" s="2934">
        <f t="shared" si="84"/>
        <v>0</v>
      </c>
      <c r="BP152" s="2934">
        <f t="shared" si="85"/>
        <v>0</v>
      </c>
      <c r="BQ152" s="2934">
        <f t="shared" si="86"/>
        <v>0</v>
      </c>
      <c r="BR152" s="2934">
        <f t="shared" si="87"/>
        <v>0</v>
      </c>
      <c r="BS152" s="2934">
        <f t="shared" si="88"/>
        <v>0</v>
      </c>
      <c r="BT152" s="2982">
        <f t="shared" si="89"/>
        <v>0</v>
      </c>
    </row>
    <row r="153" spans="1:72">
      <c r="A153" s="874"/>
      <c r="B153" s="882"/>
      <c r="C153" s="882"/>
      <c r="D153" s="2933"/>
      <c r="E153" s="2934">
        <f t="shared" si="90"/>
        <v>0</v>
      </c>
      <c r="F153" s="2935"/>
      <c r="G153" s="2936">
        <f t="shared" si="65"/>
        <v>0</v>
      </c>
      <c r="H153" s="2937">
        <f t="shared" si="66"/>
        <v>0</v>
      </c>
      <c r="I153" s="2944"/>
      <c r="J153" s="2944"/>
      <c r="K153" s="2944"/>
      <c r="L153" s="2944"/>
      <c r="M153" s="2944"/>
      <c r="N153" s="2944"/>
      <c r="O153" s="2944"/>
      <c r="P153" s="2944"/>
      <c r="Q153" s="2944"/>
      <c r="R153" s="2944"/>
      <c r="S153" s="2944"/>
      <c r="T153" s="2944"/>
      <c r="U153" s="2944"/>
      <c r="V153" s="2944"/>
      <c r="W153" s="2944"/>
      <c r="X153" s="2944"/>
      <c r="Y153" s="2944"/>
      <c r="Z153" s="2944"/>
      <c r="AA153" s="2944"/>
      <c r="AB153" s="2944"/>
      <c r="AC153" s="2934">
        <f t="shared" si="67"/>
        <v>0</v>
      </c>
      <c r="AD153" s="2954"/>
      <c r="AE153" s="2954"/>
      <c r="AF153" s="2954"/>
      <c r="AG153" s="2954"/>
      <c r="AH153" s="2954"/>
      <c r="AI153" s="2954"/>
      <c r="AJ153" s="2954"/>
      <c r="AK153" s="2954"/>
      <c r="AL153" s="2954"/>
      <c r="AM153" s="2954"/>
      <c r="AN153" s="2954"/>
      <c r="AO153" s="2954"/>
      <c r="AP153" s="2954"/>
      <c r="AQ153" s="2954"/>
      <c r="AR153" s="2954"/>
      <c r="AS153" s="2954"/>
      <c r="AT153" s="2935"/>
      <c r="AU153" s="2964"/>
      <c r="AV153" s="857">
        <f t="shared" si="91"/>
        <v>0</v>
      </c>
      <c r="AW153" s="857">
        <f t="shared" si="92"/>
        <v>0</v>
      </c>
      <c r="AX153" s="857">
        <f t="shared" si="93"/>
        <v>0</v>
      </c>
      <c r="AY153" s="807">
        <f t="shared" si="68"/>
        <v>0</v>
      </c>
      <c r="AZ153" s="2934">
        <f t="shared" si="69"/>
        <v>0</v>
      </c>
      <c r="BA153" s="2934">
        <f t="shared" si="70"/>
        <v>0</v>
      </c>
      <c r="BB153" s="2934">
        <f t="shared" si="71"/>
        <v>0</v>
      </c>
      <c r="BC153" s="2934">
        <f t="shared" si="72"/>
        <v>0</v>
      </c>
      <c r="BD153" s="2934">
        <f t="shared" si="73"/>
        <v>0</v>
      </c>
      <c r="BE153" s="2934">
        <f t="shared" si="74"/>
        <v>0</v>
      </c>
      <c r="BF153" s="2934">
        <f t="shared" si="75"/>
        <v>0</v>
      </c>
      <c r="BG153" s="2934">
        <f t="shared" si="76"/>
        <v>0</v>
      </c>
      <c r="BH153" s="2934">
        <f t="shared" si="77"/>
        <v>0</v>
      </c>
      <c r="BI153" s="2934">
        <f t="shared" si="78"/>
        <v>0</v>
      </c>
      <c r="BJ153" s="2934">
        <f t="shared" si="79"/>
        <v>0</v>
      </c>
      <c r="BK153" s="2934">
        <f t="shared" si="80"/>
        <v>0</v>
      </c>
      <c r="BL153" s="2934">
        <f t="shared" si="81"/>
        <v>0</v>
      </c>
      <c r="BM153" s="2934">
        <f t="shared" si="82"/>
        <v>0</v>
      </c>
      <c r="BN153" s="2934">
        <f t="shared" si="83"/>
        <v>0</v>
      </c>
      <c r="BO153" s="2934">
        <f t="shared" si="84"/>
        <v>0</v>
      </c>
      <c r="BP153" s="2934">
        <f t="shared" si="85"/>
        <v>0</v>
      </c>
      <c r="BQ153" s="2934">
        <f t="shared" si="86"/>
        <v>0</v>
      </c>
      <c r="BR153" s="2934">
        <f t="shared" si="87"/>
        <v>0</v>
      </c>
      <c r="BS153" s="2934">
        <f t="shared" si="88"/>
        <v>0</v>
      </c>
      <c r="BT153" s="2982">
        <f t="shared" si="89"/>
        <v>0</v>
      </c>
    </row>
    <row r="154" spans="1:72">
      <c r="A154" s="874"/>
      <c r="B154" s="882"/>
      <c r="C154" s="882"/>
      <c r="D154" s="2933"/>
      <c r="E154" s="2934">
        <f t="shared" si="90"/>
        <v>0</v>
      </c>
      <c r="F154" s="2935"/>
      <c r="G154" s="2936">
        <f t="shared" si="65"/>
        <v>0</v>
      </c>
      <c r="H154" s="2937">
        <f t="shared" si="66"/>
        <v>0</v>
      </c>
      <c r="I154" s="2944"/>
      <c r="J154" s="2944"/>
      <c r="K154" s="2944"/>
      <c r="L154" s="2944"/>
      <c r="M154" s="2944"/>
      <c r="N154" s="2944"/>
      <c r="O154" s="2944"/>
      <c r="P154" s="2944"/>
      <c r="Q154" s="2944"/>
      <c r="R154" s="2944"/>
      <c r="S154" s="2944"/>
      <c r="T154" s="2944"/>
      <c r="U154" s="2944"/>
      <c r="V154" s="2944"/>
      <c r="W154" s="2944"/>
      <c r="X154" s="2944"/>
      <c r="Y154" s="2944"/>
      <c r="Z154" s="2944"/>
      <c r="AA154" s="2944"/>
      <c r="AB154" s="2944"/>
      <c r="AC154" s="2934">
        <f t="shared" si="67"/>
        <v>0</v>
      </c>
      <c r="AD154" s="2954"/>
      <c r="AE154" s="2954"/>
      <c r="AF154" s="2954"/>
      <c r="AG154" s="2954"/>
      <c r="AH154" s="2954"/>
      <c r="AI154" s="2954"/>
      <c r="AJ154" s="2954"/>
      <c r="AK154" s="2954"/>
      <c r="AL154" s="2954"/>
      <c r="AM154" s="2954"/>
      <c r="AN154" s="2954"/>
      <c r="AO154" s="2954"/>
      <c r="AP154" s="2954"/>
      <c r="AQ154" s="2954"/>
      <c r="AR154" s="2954"/>
      <c r="AS154" s="2954"/>
      <c r="AT154" s="2935"/>
      <c r="AU154" s="2964"/>
      <c r="AV154" s="857">
        <f t="shared" si="91"/>
        <v>0</v>
      </c>
      <c r="AW154" s="857">
        <f t="shared" si="92"/>
        <v>0</v>
      </c>
      <c r="AX154" s="857">
        <f t="shared" si="93"/>
        <v>0</v>
      </c>
      <c r="AY154" s="807">
        <f t="shared" si="68"/>
        <v>0</v>
      </c>
      <c r="AZ154" s="2934">
        <f t="shared" si="69"/>
        <v>0</v>
      </c>
      <c r="BA154" s="2934">
        <f t="shared" si="70"/>
        <v>0</v>
      </c>
      <c r="BB154" s="2934">
        <f t="shared" si="71"/>
        <v>0</v>
      </c>
      <c r="BC154" s="2934">
        <f t="shared" si="72"/>
        <v>0</v>
      </c>
      <c r="BD154" s="2934">
        <f t="shared" si="73"/>
        <v>0</v>
      </c>
      <c r="BE154" s="2934">
        <f t="shared" si="74"/>
        <v>0</v>
      </c>
      <c r="BF154" s="2934">
        <f t="shared" si="75"/>
        <v>0</v>
      </c>
      <c r="BG154" s="2934">
        <f t="shared" si="76"/>
        <v>0</v>
      </c>
      <c r="BH154" s="2934">
        <f t="shared" si="77"/>
        <v>0</v>
      </c>
      <c r="BI154" s="2934">
        <f t="shared" si="78"/>
        <v>0</v>
      </c>
      <c r="BJ154" s="2934">
        <f t="shared" si="79"/>
        <v>0</v>
      </c>
      <c r="BK154" s="2934">
        <f t="shared" si="80"/>
        <v>0</v>
      </c>
      <c r="BL154" s="2934">
        <f t="shared" si="81"/>
        <v>0</v>
      </c>
      <c r="BM154" s="2934">
        <f t="shared" si="82"/>
        <v>0</v>
      </c>
      <c r="BN154" s="2934">
        <f t="shared" si="83"/>
        <v>0</v>
      </c>
      <c r="BO154" s="2934">
        <f t="shared" si="84"/>
        <v>0</v>
      </c>
      <c r="BP154" s="2934">
        <f t="shared" si="85"/>
        <v>0</v>
      </c>
      <c r="BQ154" s="2934">
        <f t="shared" si="86"/>
        <v>0</v>
      </c>
      <c r="BR154" s="2934">
        <f t="shared" si="87"/>
        <v>0</v>
      </c>
      <c r="BS154" s="2934">
        <f t="shared" si="88"/>
        <v>0</v>
      </c>
      <c r="BT154" s="2982">
        <f t="shared" si="89"/>
        <v>0</v>
      </c>
    </row>
    <row r="155" spans="1:72">
      <c r="A155" s="874"/>
      <c r="B155" s="882"/>
      <c r="C155" s="882"/>
      <c r="D155" s="2933"/>
      <c r="E155" s="2934">
        <f t="shared" si="90"/>
        <v>0</v>
      </c>
      <c r="F155" s="2935"/>
      <c r="G155" s="2936">
        <f t="shared" si="65"/>
        <v>0</v>
      </c>
      <c r="H155" s="2937">
        <f t="shared" si="66"/>
        <v>0</v>
      </c>
      <c r="I155" s="2944"/>
      <c r="J155" s="2944"/>
      <c r="K155" s="2944"/>
      <c r="L155" s="2944"/>
      <c r="M155" s="2944"/>
      <c r="N155" s="2944"/>
      <c r="O155" s="2944"/>
      <c r="P155" s="2944"/>
      <c r="Q155" s="2944"/>
      <c r="R155" s="2944"/>
      <c r="S155" s="2944"/>
      <c r="T155" s="2944"/>
      <c r="U155" s="2944"/>
      <c r="V155" s="2944"/>
      <c r="W155" s="2944"/>
      <c r="X155" s="2944"/>
      <c r="Y155" s="2944"/>
      <c r="Z155" s="2944"/>
      <c r="AA155" s="2944"/>
      <c r="AB155" s="2944"/>
      <c r="AC155" s="2934">
        <f t="shared" si="67"/>
        <v>0</v>
      </c>
      <c r="AD155" s="2954"/>
      <c r="AE155" s="2954"/>
      <c r="AF155" s="2954"/>
      <c r="AG155" s="2954"/>
      <c r="AH155" s="2954"/>
      <c r="AI155" s="2954"/>
      <c r="AJ155" s="2954"/>
      <c r="AK155" s="2954"/>
      <c r="AL155" s="2954"/>
      <c r="AM155" s="2954"/>
      <c r="AN155" s="2954"/>
      <c r="AO155" s="2954"/>
      <c r="AP155" s="2954"/>
      <c r="AQ155" s="2954"/>
      <c r="AR155" s="2954"/>
      <c r="AS155" s="2954"/>
      <c r="AT155" s="2935"/>
      <c r="AU155" s="2964"/>
      <c r="AV155" s="857">
        <f t="shared" si="91"/>
        <v>0</v>
      </c>
      <c r="AW155" s="857">
        <f t="shared" si="92"/>
        <v>0</v>
      </c>
      <c r="AX155" s="857">
        <f t="shared" si="93"/>
        <v>0</v>
      </c>
      <c r="AY155" s="807">
        <f t="shared" si="68"/>
        <v>0</v>
      </c>
      <c r="AZ155" s="2934">
        <f t="shared" si="69"/>
        <v>0</v>
      </c>
      <c r="BA155" s="2934">
        <f t="shared" si="70"/>
        <v>0</v>
      </c>
      <c r="BB155" s="2934">
        <f t="shared" si="71"/>
        <v>0</v>
      </c>
      <c r="BC155" s="2934">
        <f t="shared" si="72"/>
        <v>0</v>
      </c>
      <c r="BD155" s="2934">
        <f t="shared" si="73"/>
        <v>0</v>
      </c>
      <c r="BE155" s="2934">
        <f t="shared" si="74"/>
        <v>0</v>
      </c>
      <c r="BF155" s="2934">
        <f t="shared" si="75"/>
        <v>0</v>
      </c>
      <c r="BG155" s="2934">
        <f t="shared" si="76"/>
        <v>0</v>
      </c>
      <c r="BH155" s="2934">
        <f t="shared" si="77"/>
        <v>0</v>
      </c>
      <c r="BI155" s="2934">
        <f t="shared" si="78"/>
        <v>0</v>
      </c>
      <c r="BJ155" s="2934">
        <f t="shared" si="79"/>
        <v>0</v>
      </c>
      <c r="BK155" s="2934">
        <f t="shared" si="80"/>
        <v>0</v>
      </c>
      <c r="BL155" s="2934">
        <f t="shared" si="81"/>
        <v>0</v>
      </c>
      <c r="BM155" s="2934">
        <f t="shared" si="82"/>
        <v>0</v>
      </c>
      <c r="BN155" s="2934">
        <f t="shared" si="83"/>
        <v>0</v>
      </c>
      <c r="BO155" s="2934">
        <f t="shared" si="84"/>
        <v>0</v>
      </c>
      <c r="BP155" s="2934">
        <f t="shared" si="85"/>
        <v>0</v>
      </c>
      <c r="BQ155" s="2934">
        <f t="shared" si="86"/>
        <v>0</v>
      </c>
      <c r="BR155" s="2934">
        <f t="shared" si="87"/>
        <v>0</v>
      </c>
      <c r="BS155" s="2934">
        <f t="shared" si="88"/>
        <v>0</v>
      </c>
      <c r="BT155" s="2982">
        <f t="shared" si="89"/>
        <v>0</v>
      </c>
    </row>
    <row r="156" spans="1:72">
      <c r="A156" s="874"/>
      <c r="B156" s="882"/>
      <c r="C156" s="882"/>
      <c r="D156" s="2933"/>
      <c r="E156" s="2934">
        <f t="shared" si="90"/>
        <v>0</v>
      </c>
      <c r="F156" s="2935"/>
      <c r="G156" s="2936">
        <f t="shared" si="65"/>
        <v>0</v>
      </c>
      <c r="H156" s="2937">
        <f t="shared" si="66"/>
        <v>0</v>
      </c>
      <c r="I156" s="2944"/>
      <c r="J156" s="2944"/>
      <c r="K156" s="2944"/>
      <c r="L156" s="2944"/>
      <c r="M156" s="2944"/>
      <c r="N156" s="2944"/>
      <c r="O156" s="2944"/>
      <c r="P156" s="2944"/>
      <c r="Q156" s="2944"/>
      <c r="R156" s="2944"/>
      <c r="S156" s="2944"/>
      <c r="T156" s="2944"/>
      <c r="U156" s="2944"/>
      <c r="V156" s="2944"/>
      <c r="W156" s="2944"/>
      <c r="X156" s="2944"/>
      <c r="Y156" s="2944"/>
      <c r="Z156" s="2944"/>
      <c r="AA156" s="2944"/>
      <c r="AB156" s="2944"/>
      <c r="AC156" s="2934">
        <f t="shared" si="67"/>
        <v>0</v>
      </c>
      <c r="AD156" s="2954"/>
      <c r="AE156" s="2954"/>
      <c r="AF156" s="2954"/>
      <c r="AG156" s="2954"/>
      <c r="AH156" s="2954"/>
      <c r="AI156" s="2954"/>
      <c r="AJ156" s="2954"/>
      <c r="AK156" s="2954"/>
      <c r="AL156" s="2954"/>
      <c r="AM156" s="2954"/>
      <c r="AN156" s="2954"/>
      <c r="AO156" s="2954"/>
      <c r="AP156" s="2954"/>
      <c r="AQ156" s="2954"/>
      <c r="AR156" s="2954"/>
      <c r="AS156" s="2954"/>
      <c r="AT156" s="2935"/>
      <c r="AU156" s="2964"/>
      <c r="AV156" s="857">
        <f t="shared" si="91"/>
        <v>0</v>
      </c>
      <c r="AW156" s="857">
        <f t="shared" si="92"/>
        <v>0</v>
      </c>
      <c r="AX156" s="857">
        <f t="shared" si="93"/>
        <v>0</v>
      </c>
      <c r="AY156" s="807">
        <f t="shared" si="68"/>
        <v>0</v>
      </c>
      <c r="AZ156" s="2934">
        <f t="shared" si="69"/>
        <v>0</v>
      </c>
      <c r="BA156" s="2934">
        <f t="shared" si="70"/>
        <v>0</v>
      </c>
      <c r="BB156" s="2934">
        <f t="shared" si="71"/>
        <v>0</v>
      </c>
      <c r="BC156" s="2934">
        <f t="shared" si="72"/>
        <v>0</v>
      </c>
      <c r="BD156" s="2934">
        <f t="shared" si="73"/>
        <v>0</v>
      </c>
      <c r="BE156" s="2934">
        <f t="shared" si="74"/>
        <v>0</v>
      </c>
      <c r="BF156" s="2934">
        <f t="shared" si="75"/>
        <v>0</v>
      </c>
      <c r="BG156" s="2934">
        <f t="shared" si="76"/>
        <v>0</v>
      </c>
      <c r="BH156" s="2934">
        <f t="shared" si="77"/>
        <v>0</v>
      </c>
      <c r="BI156" s="2934">
        <f t="shared" si="78"/>
        <v>0</v>
      </c>
      <c r="BJ156" s="2934">
        <f t="shared" si="79"/>
        <v>0</v>
      </c>
      <c r="BK156" s="2934">
        <f t="shared" si="80"/>
        <v>0</v>
      </c>
      <c r="BL156" s="2934">
        <f t="shared" si="81"/>
        <v>0</v>
      </c>
      <c r="BM156" s="2934">
        <f t="shared" si="82"/>
        <v>0</v>
      </c>
      <c r="BN156" s="2934">
        <f t="shared" si="83"/>
        <v>0</v>
      </c>
      <c r="BO156" s="2934">
        <f t="shared" si="84"/>
        <v>0</v>
      </c>
      <c r="BP156" s="2934">
        <f t="shared" si="85"/>
        <v>0</v>
      </c>
      <c r="BQ156" s="2934">
        <f t="shared" si="86"/>
        <v>0</v>
      </c>
      <c r="BR156" s="2934">
        <f t="shared" si="87"/>
        <v>0</v>
      </c>
      <c r="BS156" s="2934">
        <f t="shared" si="88"/>
        <v>0</v>
      </c>
      <c r="BT156" s="2982">
        <f t="shared" si="89"/>
        <v>0</v>
      </c>
    </row>
    <row r="157" spans="1:72">
      <c r="A157" s="874"/>
      <c r="B157" s="882"/>
      <c r="C157" s="882"/>
      <c r="D157" s="2933"/>
      <c r="E157" s="2934">
        <f t="shared" si="90"/>
        <v>0</v>
      </c>
      <c r="F157" s="2935"/>
      <c r="G157" s="2936">
        <f t="shared" si="65"/>
        <v>0</v>
      </c>
      <c r="H157" s="2937">
        <f t="shared" si="66"/>
        <v>0</v>
      </c>
      <c r="I157" s="2944"/>
      <c r="J157" s="2944"/>
      <c r="K157" s="2944"/>
      <c r="L157" s="2944"/>
      <c r="M157" s="2944"/>
      <c r="N157" s="2944"/>
      <c r="O157" s="2944"/>
      <c r="P157" s="2944"/>
      <c r="Q157" s="2944"/>
      <c r="R157" s="2944"/>
      <c r="S157" s="2944"/>
      <c r="T157" s="2944"/>
      <c r="U157" s="2944"/>
      <c r="V157" s="2944"/>
      <c r="W157" s="2944"/>
      <c r="X157" s="2944"/>
      <c r="Y157" s="2944"/>
      <c r="Z157" s="2944"/>
      <c r="AA157" s="2944"/>
      <c r="AB157" s="2944"/>
      <c r="AC157" s="2934">
        <f t="shared" si="67"/>
        <v>0</v>
      </c>
      <c r="AD157" s="2954"/>
      <c r="AE157" s="2954"/>
      <c r="AF157" s="2954"/>
      <c r="AG157" s="2954"/>
      <c r="AH157" s="2954"/>
      <c r="AI157" s="2954"/>
      <c r="AJ157" s="2954"/>
      <c r="AK157" s="2954"/>
      <c r="AL157" s="2954"/>
      <c r="AM157" s="2954"/>
      <c r="AN157" s="2954"/>
      <c r="AO157" s="2954"/>
      <c r="AP157" s="2954"/>
      <c r="AQ157" s="2954"/>
      <c r="AR157" s="2954"/>
      <c r="AS157" s="2954"/>
      <c r="AT157" s="2935"/>
      <c r="AU157" s="2964"/>
      <c r="AV157" s="857">
        <f t="shared" si="91"/>
        <v>0</v>
      </c>
      <c r="AW157" s="857">
        <f t="shared" si="92"/>
        <v>0</v>
      </c>
      <c r="AX157" s="857">
        <f t="shared" si="93"/>
        <v>0</v>
      </c>
      <c r="AY157" s="807">
        <f t="shared" si="68"/>
        <v>0</v>
      </c>
      <c r="AZ157" s="2934">
        <f t="shared" si="69"/>
        <v>0</v>
      </c>
      <c r="BA157" s="2934">
        <f t="shared" si="70"/>
        <v>0</v>
      </c>
      <c r="BB157" s="2934">
        <f t="shared" si="71"/>
        <v>0</v>
      </c>
      <c r="BC157" s="2934">
        <f t="shared" si="72"/>
        <v>0</v>
      </c>
      <c r="BD157" s="2934">
        <f t="shared" si="73"/>
        <v>0</v>
      </c>
      <c r="BE157" s="2934">
        <f t="shared" si="74"/>
        <v>0</v>
      </c>
      <c r="BF157" s="2934">
        <f t="shared" si="75"/>
        <v>0</v>
      </c>
      <c r="BG157" s="2934">
        <f t="shared" si="76"/>
        <v>0</v>
      </c>
      <c r="BH157" s="2934">
        <f t="shared" si="77"/>
        <v>0</v>
      </c>
      <c r="BI157" s="2934">
        <f t="shared" si="78"/>
        <v>0</v>
      </c>
      <c r="BJ157" s="2934">
        <f t="shared" si="79"/>
        <v>0</v>
      </c>
      <c r="BK157" s="2934">
        <f t="shared" si="80"/>
        <v>0</v>
      </c>
      <c r="BL157" s="2934">
        <f t="shared" si="81"/>
        <v>0</v>
      </c>
      <c r="BM157" s="2934">
        <f t="shared" si="82"/>
        <v>0</v>
      </c>
      <c r="BN157" s="2934">
        <f t="shared" si="83"/>
        <v>0</v>
      </c>
      <c r="BO157" s="2934">
        <f t="shared" si="84"/>
        <v>0</v>
      </c>
      <c r="BP157" s="2934">
        <f t="shared" si="85"/>
        <v>0</v>
      </c>
      <c r="BQ157" s="2934">
        <f t="shared" si="86"/>
        <v>0</v>
      </c>
      <c r="BR157" s="2934">
        <f t="shared" si="87"/>
        <v>0</v>
      </c>
      <c r="BS157" s="2934">
        <f t="shared" si="88"/>
        <v>0</v>
      </c>
      <c r="BT157" s="2982">
        <f t="shared" si="89"/>
        <v>0</v>
      </c>
    </row>
    <row r="158" spans="1:72">
      <c r="A158" s="874"/>
      <c r="B158" s="882"/>
      <c r="C158" s="882"/>
      <c r="D158" s="2933"/>
      <c r="E158" s="2934">
        <f t="shared" si="90"/>
        <v>0</v>
      </c>
      <c r="F158" s="2935"/>
      <c r="G158" s="2936">
        <f t="shared" si="65"/>
        <v>0</v>
      </c>
      <c r="H158" s="2937">
        <f t="shared" si="66"/>
        <v>0</v>
      </c>
      <c r="I158" s="2944"/>
      <c r="J158" s="2944"/>
      <c r="K158" s="2944"/>
      <c r="L158" s="2944"/>
      <c r="M158" s="2944"/>
      <c r="N158" s="2944"/>
      <c r="O158" s="2944"/>
      <c r="P158" s="2944"/>
      <c r="Q158" s="2944"/>
      <c r="R158" s="2944"/>
      <c r="S158" s="2944"/>
      <c r="T158" s="2944"/>
      <c r="U158" s="2944"/>
      <c r="V158" s="2944"/>
      <c r="W158" s="2944"/>
      <c r="X158" s="2944"/>
      <c r="Y158" s="2944"/>
      <c r="Z158" s="2944"/>
      <c r="AA158" s="2944"/>
      <c r="AB158" s="2944"/>
      <c r="AC158" s="2934">
        <f t="shared" si="67"/>
        <v>0</v>
      </c>
      <c r="AD158" s="2954"/>
      <c r="AE158" s="2954"/>
      <c r="AF158" s="2954"/>
      <c r="AG158" s="2954"/>
      <c r="AH158" s="2954"/>
      <c r="AI158" s="2954"/>
      <c r="AJ158" s="2954"/>
      <c r="AK158" s="2954"/>
      <c r="AL158" s="2954"/>
      <c r="AM158" s="2954"/>
      <c r="AN158" s="2954"/>
      <c r="AO158" s="2954"/>
      <c r="AP158" s="2954"/>
      <c r="AQ158" s="2954"/>
      <c r="AR158" s="2954"/>
      <c r="AS158" s="2954"/>
      <c r="AT158" s="2935"/>
      <c r="AU158" s="2964"/>
      <c r="AV158" s="857">
        <f t="shared" si="91"/>
        <v>0</v>
      </c>
      <c r="AW158" s="857">
        <f t="shared" si="92"/>
        <v>0</v>
      </c>
      <c r="AX158" s="857">
        <f t="shared" si="93"/>
        <v>0</v>
      </c>
      <c r="AY158" s="807">
        <f t="shared" si="68"/>
        <v>0</v>
      </c>
      <c r="AZ158" s="2934">
        <f t="shared" si="69"/>
        <v>0</v>
      </c>
      <c r="BA158" s="2934">
        <f t="shared" si="70"/>
        <v>0</v>
      </c>
      <c r="BB158" s="2934">
        <f t="shared" si="71"/>
        <v>0</v>
      </c>
      <c r="BC158" s="2934">
        <f t="shared" si="72"/>
        <v>0</v>
      </c>
      <c r="BD158" s="2934">
        <f t="shared" si="73"/>
        <v>0</v>
      </c>
      <c r="BE158" s="2934">
        <f t="shared" si="74"/>
        <v>0</v>
      </c>
      <c r="BF158" s="2934">
        <f t="shared" si="75"/>
        <v>0</v>
      </c>
      <c r="BG158" s="2934">
        <f t="shared" si="76"/>
        <v>0</v>
      </c>
      <c r="BH158" s="2934">
        <f t="shared" si="77"/>
        <v>0</v>
      </c>
      <c r="BI158" s="2934">
        <f t="shared" si="78"/>
        <v>0</v>
      </c>
      <c r="BJ158" s="2934">
        <f t="shared" si="79"/>
        <v>0</v>
      </c>
      <c r="BK158" s="2934">
        <f t="shared" si="80"/>
        <v>0</v>
      </c>
      <c r="BL158" s="2934">
        <f t="shared" si="81"/>
        <v>0</v>
      </c>
      <c r="BM158" s="2934">
        <f t="shared" si="82"/>
        <v>0</v>
      </c>
      <c r="BN158" s="2934">
        <f t="shared" si="83"/>
        <v>0</v>
      </c>
      <c r="BO158" s="2934">
        <f t="shared" si="84"/>
        <v>0</v>
      </c>
      <c r="BP158" s="2934">
        <f t="shared" si="85"/>
        <v>0</v>
      </c>
      <c r="BQ158" s="2934">
        <f t="shared" si="86"/>
        <v>0</v>
      </c>
      <c r="BR158" s="2934">
        <f t="shared" si="87"/>
        <v>0</v>
      </c>
      <c r="BS158" s="2934">
        <f t="shared" si="88"/>
        <v>0</v>
      </c>
      <c r="BT158" s="2982">
        <f t="shared" si="89"/>
        <v>0</v>
      </c>
    </row>
    <row r="159" spans="1:72">
      <c r="A159" s="874"/>
      <c r="B159" s="882"/>
      <c r="C159" s="882"/>
      <c r="D159" s="2933"/>
      <c r="E159" s="2934">
        <f t="shared" si="90"/>
        <v>0</v>
      </c>
      <c r="F159" s="2935"/>
      <c r="G159" s="2936">
        <f t="shared" si="65"/>
        <v>0</v>
      </c>
      <c r="H159" s="2937">
        <f t="shared" si="66"/>
        <v>0</v>
      </c>
      <c r="I159" s="2944"/>
      <c r="J159" s="2944"/>
      <c r="K159" s="2944"/>
      <c r="L159" s="2944"/>
      <c r="M159" s="2944"/>
      <c r="N159" s="2944"/>
      <c r="O159" s="2944"/>
      <c r="P159" s="2944"/>
      <c r="Q159" s="2944"/>
      <c r="R159" s="2944"/>
      <c r="S159" s="2944"/>
      <c r="T159" s="2944"/>
      <c r="U159" s="2944"/>
      <c r="V159" s="2944"/>
      <c r="W159" s="2944"/>
      <c r="X159" s="2944"/>
      <c r="Y159" s="2944"/>
      <c r="Z159" s="2944"/>
      <c r="AA159" s="2944"/>
      <c r="AB159" s="2944"/>
      <c r="AC159" s="2934">
        <f t="shared" si="67"/>
        <v>0</v>
      </c>
      <c r="AD159" s="2954"/>
      <c r="AE159" s="2954"/>
      <c r="AF159" s="2954"/>
      <c r="AG159" s="2954"/>
      <c r="AH159" s="2954"/>
      <c r="AI159" s="2954"/>
      <c r="AJ159" s="2954"/>
      <c r="AK159" s="2954"/>
      <c r="AL159" s="2954"/>
      <c r="AM159" s="2954"/>
      <c r="AN159" s="2954"/>
      <c r="AO159" s="2954"/>
      <c r="AP159" s="2954"/>
      <c r="AQ159" s="2954"/>
      <c r="AR159" s="2954"/>
      <c r="AS159" s="2954"/>
      <c r="AT159" s="2935"/>
      <c r="AU159" s="2964"/>
      <c r="AV159" s="857">
        <f t="shared" si="91"/>
        <v>0</v>
      </c>
      <c r="AW159" s="857">
        <f t="shared" si="92"/>
        <v>0</v>
      </c>
      <c r="AX159" s="857">
        <f t="shared" si="93"/>
        <v>0</v>
      </c>
      <c r="AY159" s="807">
        <f t="shared" si="68"/>
        <v>0</v>
      </c>
      <c r="AZ159" s="2934">
        <f t="shared" si="69"/>
        <v>0</v>
      </c>
      <c r="BA159" s="2934">
        <f t="shared" si="70"/>
        <v>0</v>
      </c>
      <c r="BB159" s="2934">
        <f t="shared" si="71"/>
        <v>0</v>
      </c>
      <c r="BC159" s="2934">
        <f t="shared" si="72"/>
        <v>0</v>
      </c>
      <c r="BD159" s="2934">
        <f t="shared" si="73"/>
        <v>0</v>
      </c>
      <c r="BE159" s="2934">
        <f t="shared" si="74"/>
        <v>0</v>
      </c>
      <c r="BF159" s="2934">
        <f t="shared" si="75"/>
        <v>0</v>
      </c>
      <c r="BG159" s="2934">
        <f t="shared" si="76"/>
        <v>0</v>
      </c>
      <c r="BH159" s="2934">
        <f t="shared" si="77"/>
        <v>0</v>
      </c>
      <c r="BI159" s="2934">
        <f t="shared" si="78"/>
        <v>0</v>
      </c>
      <c r="BJ159" s="2934">
        <f t="shared" si="79"/>
        <v>0</v>
      </c>
      <c r="BK159" s="2934">
        <f t="shared" si="80"/>
        <v>0</v>
      </c>
      <c r="BL159" s="2934">
        <f t="shared" si="81"/>
        <v>0</v>
      </c>
      <c r="BM159" s="2934">
        <f t="shared" si="82"/>
        <v>0</v>
      </c>
      <c r="BN159" s="2934">
        <f t="shared" si="83"/>
        <v>0</v>
      </c>
      <c r="BO159" s="2934">
        <f t="shared" si="84"/>
        <v>0</v>
      </c>
      <c r="BP159" s="2934">
        <f t="shared" si="85"/>
        <v>0</v>
      </c>
      <c r="BQ159" s="2934">
        <f t="shared" si="86"/>
        <v>0</v>
      </c>
      <c r="BR159" s="2934">
        <f t="shared" si="87"/>
        <v>0</v>
      </c>
      <c r="BS159" s="2934">
        <f t="shared" si="88"/>
        <v>0</v>
      </c>
      <c r="BT159" s="2982">
        <f t="shared" si="89"/>
        <v>0</v>
      </c>
    </row>
    <row r="160" spans="1:72">
      <c r="A160" s="874"/>
      <c r="B160" s="882"/>
      <c r="C160" s="882"/>
      <c r="D160" s="2933"/>
      <c r="E160" s="2934">
        <f t="shared" si="90"/>
        <v>0</v>
      </c>
      <c r="F160" s="2935"/>
      <c r="G160" s="2936">
        <f t="shared" si="65"/>
        <v>0</v>
      </c>
      <c r="H160" s="2937">
        <f t="shared" si="66"/>
        <v>0</v>
      </c>
      <c r="I160" s="2944"/>
      <c r="J160" s="2944"/>
      <c r="K160" s="2944"/>
      <c r="L160" s="2944"/>
      <c r="M160" s="2944"/>
      <c r="N160" s="2944"/>
      <c r="O160" s="2944"/>
      <c r="P160" s="2944"/>
      <c r="Q160" s="2944"/>
      <c r="R160" s="2944"/>
      <c r="S160" s="2944"/>
      <c r="T160" s="2944"/>
      <c r="U160" s="2944"/>
      <c r="V160" s="2944"/>
      <c r="W160" s="2944"/>
      <c r="X160" s="2944"/>
      <c r="Y160" s="2944"/>
      <c r="Z160" s="2944"/>
      <c r="AA160" s="2944"/>
      <c r="AB160" s="2944"/>
      <c r="AC160" s="2934">
        <f t="shared" si="67"/>
        <v>0</v>
      </c>
      <c r="AD160" s="2954"/>
      <c r="AE160" s="2954"/>
      <c r="AF160" s="2954"/>
      <c r="AG160" s="2954"/>
      <c r="AH160" s="2954"/>
      <c r="AI160" s="2954"/>
      <c r="AJ160" s="2954"/>
      <c r="AK160" s="2954"/>
      <c r="AL160" s="2954"/>
      <c r="AM160" s="2954"/>
      <c r="AN160" s="2954"/>
      <c r="AO160" s="2954"/>
      <c r="AP160" s="2954"/>
      <c r="AQ160" s="2954"/>
      <c r="AR160" s="2954"/>
      <c r="AS160" s="2954"/>
      <c r="AT160" s="2935"/>
      <c r="AU160" s="2964"/>
      <c r="AV160" s="857">
        <f t="shared" si="91"/>
        <v>0</v>
      </c>
      <c r="AW160" s="857">
        <f t="shared" si="92"/>
        <v>0</v>
      </c>
      <c r="AX160" s="857">
        <f t="shared" si="93"/>
        <v>0</v>
      </c>
      <c r="AY160" s="807">
        <f t="shared" si="68"/>
        <v>0</v>
      </c>
      <c r="AZ160" s="2934">
        <f t="shared" si="69"/>
        <v>0</v>
      </c>
      <c r="BA160" s="2934">
        <f t="shared" si="70"/>
        <v>0</v>
      </c>
      <c r="BB160" s="2934">
        <f t="shared" si="71"/>
        <v>0</v>
      </c>
      <c r="BC160" s="2934">
        <f t="shared" si="72"/>
        <v>0</v>
      </c>
      <c r="BD160" s="2934">
        <f t="shared" si="73"/>
        <v>0</v>
      </c>
      <c r="BE160" s="2934">
        <f t="shared" si="74"/>
        <v>0</v>
      </c>
      <c r="BF160" s="2934">
        <f t="shared" si="75"/>
        <v>0</v>
      </c>
      <c r="BG160" s="2934">
        <f t="shared" si="76"/>
        <v>0</v>
      </c>
      <c r="BH160" s="2934">
        <f t="shared" si="77"/>
        <v>0</v>
      </c>
      <c r="BI160" s="2934">
        <f t="shared" si="78"/>
        <v>0</v>
      </c>
      <c r="BJ160" s="2934">
        <f t="shared" si="79"/>
        <v>0</v>
      </c>
      <c r="BK160" s="2934">
        <f t="shared" si="80"/>
        <v>0</v>
      </c>
      <c r="BL160" s="2934">
        <f t="shared" si="81"/>
        <v>0</v>
      </c>
      <c r="BM160" s="2934">
        <f t="shared" si="82"/>
        <v>0</v>
      </c>
      <c r="BN160" s="2934">
        <f t="shared" si="83"/>
        <v>0</v>
      </c>
      <c r="BO160" s="2934">
        <f t="shared" si="84"/>
        <v>0</v>
      </c>
      <c r="BP160" s="2934">
        <f t="shared" si="85"/>
        <v>0</v>
      </c>
      <c r="BQ160" s="2934">
        <f t="shared" si="86"/>
        <v>0</v>
      </c>
      <c r="BR160" s="2934">
        <f t="shared" si="87"/>
        <v>0</v>
      </c>
      <c r="BS160" s="2934">
        <f t="shared" si="88"/>
        <v>0</v>
      </c>
      <c r="BT160" s="2982">
        <f t="shared" si="89"/>
        <v>0</v>
      </c>
    </row>
    <row r="161" spans="1:72">
      <c r="A161" s="874"/>
      <c r="B161" s="882"/>
      <c r="C161" s="882"/>
      <c r="D161" s="2933"/>
      <c r="E161" s="2934">
        <f t="shared" si="90"/>
        <v>0</v>
      </c>
      <c r="F161" s="2935"/>
      <c r="G161" s="2936">
        <f t="shared" si="65"/>
        <v>0</v>
      </c>
      <c r="H161" s="2937">
        <f t="shared" si="66"/>
        <v>0</v>
      </c>
      <c r="I161" s="2944"/>
      <c r="J161" s="2944"/>
      <c r="K161" s="2944"/>
      <c r="L161" s="2944"/>
      <c r="M161" s="2944"/>
      <c r="N161" s="2944"/>
      <c r="O161" s="2944"/>
      <c r="P161" s="2944"/>
      <c r="Q161" s="2944"/>
      <c r="R161" s="2944"/>
      <c r="S161" s="2944"/>
      <c r="T161" s="2944"/>
      <c r="U161" s="2944"/>
      <c r="V161" s="2944"/>
      <c r="W161" s="2944"/>
      <c r="X161" s="2944"/>
      <c r="Y161" s="2944"/>
      <c r="Z161" s="2944"/>
      <c r="AA161" s="2944"/>
      <c r="AB161" s="2944"/>
      <c r="AC161" s="2934">
        <f t="shared" si="67"/>
        <v>0</v>
      </c>
      <c r="AD161" s="2954"/>
      <c r="AE161" s="2954"/>
      <c r="AF161" s="2954"/>
      <c r="AG161" s="2954"/>
      <c r="AH161" s="2954"/>
      <c r="AI161" s="2954"/>
      <c r="AJ161" s="2954"/>
      <c r="AK161" s="2954"/>
      <c r="AL161" s="2954"/>
      <c r="AM161" s="2954"/>
      <c r="AN161" s="2954"/>
      <c r="AO161" s="2954"/>
      <c r="AP161" s="2954"/>
      <c r="AQ161" s="2954"/>
      <c r="AR161" s="2954"/>
      <c r="AS161" s="2954"/>
      <c r="AT161" s="2935"/>
      <c r="AU161" s="2964"/>
      <c r="AV161" s="857">
        <f t="shared" si="91"/>
        <v>0</v>
      </c>
      <c r="AW161" s="857">
        <f t="shared" si="92"/>
        <v>0</v>
      </c>
      <c r="AX161" s="857">
        <f t="shared" si="93"/>
        <v>0</v>
      </c>
      <c r="AY161" s="807">
        <f t="shared" si="68"/>
        <v>0</v>
      </c>
      <c r="AZ161" s="2934">
        <f t="shared" si="69"/>
        <v>0</v>
      </c>
      <c r="BA161" s="2934">
        <f t="shared" si="70"/>
        <v>0</v>
      </c>
      <c r="BB161" s="2934">
        <f t="shared" si="71"/>
        <v>0</v>
      </c>
      <c r="BC161" s="2934">
        <f t="shared" si="72"/>
        <v>0</v>
      </c>
      <c r="BD161" s="2934">
        <f t="shared" si="73"/>
        <v>0</v>
      </c>
      <c r="BE161" s="2934">
        <f t="shared" si="74"/>
        <v>0</v>
      </c>
      <c r="BF161" s="2934">
        <f t="shared" si="75"/>
        <v>0</v>
      </c>
      <c r="BG161" s="2934">
        <f t="shared" si="76"/>
        <v>0</v>
      </c>
      <c r="BH161" s="2934">
        <f t="shared" si="77"/>
        <v>0</v>
      </c>
      <c r="BI161" s="2934">
        <f t="shared" si="78"/>
        <v>0</v>
      </c>
      <c r="BJ161" s="2934">
        <f t="shared" si="79"/>
        <v>0</v>
      </c>
      <c r="BK161" s="2934">
        <f t="shared" si="80"/>
        <v>0</v>
      </c>
      <c r="BL161" s="2934">
        <f t="shared" si="81"/>
        <v>0</v>
      </c>
      <c r="BM161" s="2934">
        <f t="shared" si="82"/>
        <v>0</v>
      </c>
      <c r="BN161" s="2934">
        <f t="shared" si="83"/>
        <v>0</v>
      </c>
      <c r="BO161" s="2934">
        <f t="shared" si="84"/>
        <v>0</v>
      </c>
      <c r="BP161" s="2934">
        <f t="shared" si="85"/>
        <v>0</v>
      </c>
      <c r="BQ161" s="2934">
        <f t="shared" si="86"/>
        <v>0</v>
      </c>
      <c r="BR161" s="2934">
        <f t="shared" si="87"/>
        <v>0</v>
      </c>
      <c r="BS161" s="2934">
        <f t="shared" si="88"/>
        <v>0</v>
      </c>
      <c r="BT161" s="2982">
        <f t="shared" si="89"/>
        <v>0</v>
      </c>
    </row>
    <row r="162" spans="1:72">
      <c r="A162" s="874"/>
      <c r="B162" s="882"/>
      <c r="C162" s="882"/>
      <c r="D162" s="2933"/>
      <c r="E162" s="2934">
        <f t="shared" si="90"/>
        <v>0</v>
      </c>
      <c r="F162" s="2935"/>
      <c r="G162" s="2936">
        <f t="shared" si="65"/>
        <v>0</v>
      </c>
      <c r="H162" s="2937">
        <f t="shared" si="66"/>
        <v>0</v>
      </c>
      <c r="I162" s="2944"/>
      <c r="J162" s="2944"/>
      <c r="K162" s="2944"/>
      <c r="L162" s="2944"/>
      <c r="M162" s="2944"/>
      <c r="N162" s="2944"/>
      <c r="O162" s="2944"/>
      <c r="P162" s="2944"/>
      <c r="Q162" s="2944"/>
      <c r="R162" s="2944"/>
      <c r="S162" s="2944"/>
      <c r="T162" s="2944"/>
      <c r="U162" s="2944"/>
      <c r="V162" s="2944"/>
      <c r="W162" s="2944"/>
      <c r="X162" s="2944"/>
      <c r="Y162" s="2944"/>
      <c r="Z162" s="2944"/>
      <c r="AA162" s="2944"/>
      <c r="AB162" s="2944"/>
      <c r="AC162" s="2934">
        <f t="shared" si="67"/>
        <v>0</v>
      </c>
      <c r="AD162" s="2954"/>
      <c r="AE162" s="2954"/>
      <c r="AF162" s="2954"/>
      <c r="AG162" s="2954"/>
      <c r="AH162" s="2954"/>
      <c r="AI162" s="2954"/>
      <c r="AJ162" s="2954"/>
      <c r="AK162" s="2954"/>
      <c r="AL162" s="2954"/>
      <c r="AM162" s="2954"/>
      <c r="AN162" s="2954"/>
      <c r="AO162" s="2954"/>
      <c r="AP162" s="2954"/>
      <c r="AQ162" s="2954"/>
      <c r="AR162" s="2954"/>
      <c r="AS162" s="2954"/>
      <c r="AT162" s="2935"/>
      <c r="AU162" s="2964"/>
      <c r="AV162" s="857">
        <f t="shared" si="91"/>
        <v>0</v>
      </c>
      <c r="AW162" s="857">
        <f t="shared" si="92"/>
        <v>0</v>
      </c>
      <c r="AX162" s="857">
        <f t="shared" si="93"/>
        <v>0</v>
      </c>
      <c r="AY162" s="807">
        <f t="shared" si="68"/>
        <v>0</v>
      </c>
      <c r="AZ162" s="2934">
        <f t="shared" si="69"/>
        <v>0</v>
      </c>
      <c r="BA162" s="2934">
        <f t="shared" si="70"/>
        <v>0</v>
      </c>
      <c r="BB162" s="2934">
        <f t="shared" si="71"/>
        <v>0</v>
      </c>
      <c r="BC162" s="2934">
        <f t="shared" si="72"/>
        <v>0</v>
      </c>
      <c r="BD162" s="2934">
        <f t="shared" si="73"/>
        <v>0</v>
      </c>
      <c r="BE162" s="2934">
        <f t="shared" si="74"/>
        <v>0</v>
      </c>
      <c r="BF162" s="2934">
        <f t="shared" si="75"/>
        <v>0</v>
      </c>
      <c r="BG162" s="2934">
        <f t="shared" si="76"/>
        <v>0</v>
      </c>
      <c r="BH162" s="2934">
        <f t="shared" si="77"/>
        <v>0</v>
      </c>
      <c r="BI162" s="2934">
        <f t="shared" si="78"/>
        <v>0</v>
      </c>
      <c r="BJ162" s="2934">
        <f t="shared" si="79"/>
        <v>0</v>
      </c>
      <c r="BK162" s="2934">
        <f t="shared" si="80"/>
        <v>0</v>
      </c>
      <c r="BL162" s="2934">
        <f t="shared" si="81"/>
        <v>0</v>
      </c>
      <c r="BM162" s="2934">
        <f t="shared" si="82"/>
        <v>0</v>
      </c>
      <c r="BN162" s="2934">
        <f t="shared" si="83"/>
        <v>0</v>
      </c>
      <c r="BO162" s="2934">
        <f t="shared" si="84"/>
        <v>0</v>
      </c>
      <c r="BP162" s="2934">
        <f t="shared" si="85"/>
        <v>0</v>
      </c>
      <c r="BQ162" s="2934">
        <f t="shared" si="86"/>
        <v>0</v>
      </c>
      <c r="BR162" s="2934">
        <f t="shared" si="87"/>
        <v>0</v>
      </c>
      <c r="BS162" s="2934">
        <f t="shared" si="88"/>
        <v>0</v>
      </c>
      <c r="BT162" s="2982">
        <f t="shared" si="89"/>
        <v>0</v>
      </c>
    </row>
    <row r="163" spans="1:72">
      <c r="A163" s="874"/>
      <c r="B163" s="882"/>
      <c r="C163" s="882"/>
      <c r="D163" s="2933"/>
      <c r="E163" s="2934">
        <f t="shared" si="90"/>
        <v>0</v>
      </c>
      <c r="F163" s="2935"/>
      <c r="G163" s="2936">
        <f t="shared" si="65"/>
        <v>0</v>
      </c>
      <c r="H163" s="2937">
        <f t="shared" si="66"/>
        <v>0</v>
      </c>
      <c r="I163" s="2944"/>
      <c r="J163" s="2944"/>
      <c r="K163" s="2944"/>
      <c r="L163" s="2944"/>
      <c r="M163" s="2944"/>
      <c r="N163" s="2944"/>
      <c r="O163" s="2944"/>
      <c r="P163" s="2944"/>
      <c r="Q163" s="2944"/>
      <c r="R163" s="2944"/>
      <c r="S163" s="2944"/>
      <c r="T163" s="2944"/>
      <c r="U163" s="2944"/>
      <c r="V163" s="2944"/>
      <c r="W163" s="2944"/>
      <c r="X163" s="2944"/>
      <c r="Y163" s="2944"/>
      <c r="Z163" s="2944"/>
      <c r="AA163" s="2944"/>
      <c r="AB163" s="2944"/>
      <c r="AC163" s="2934">
        <f t="shared" si="67"/>
        <v>0</v>
      </c>
      <c r="AD163" s="2954"/>
      <c r="AE163" s="2954"/>
      <c r="AF163" s="2954"/>
      <c r="AG163" s="2954"/>
      <c r="AH163" s="2954"/>
      <c r="AI163" s="2954"/>
      <c r="AJ163" s="2954"/>
      <c r="AK163" s="2954"/>
      <c r="AL163" s="2954"/>
      <c r="AM163" s="2954"/>
      <c r="AN163" s="2954"/>
      <c r="AO163" s="2954"/>
      <c r="AP163" s="2954"/>
      <c r="AQ163" s="2954"/>
      <c r="AR163" s="2954"/>
      <c r="AS163" s="2954"/>
      <c r="AT163" s="2935"/>
      <c r="AU163" s="2964"/>
      <c r="AV163" s="857">
        <f t="shared" si="91"/>
        <v>0</v>
      </c>
      <c r="AW163" s="857">
        <f t="shared" si="92"/>
        <v>0</v>
      </c>
      <c r="AX163" s="857">
        <f t="shared" si="93"/>
        <v>0</v>
      </c>
      <c r="AY163" s="807">
        <f t="shared" si="68"/>
        <v>0</v>
      </c>
      <c r="AZ163" s="2934">
        <f t="shared" si="69"/>
        <v>0</v>
      </c>
      <c r="BA163" s="2934">
        <f t="shared" si="70"/>
        <v>0</v>
      </c>
      <c r="BB163" s="2934">
        <f t="shared" si="71"/>
        <v>0</v>
      </c>
      <c r="BC163" s="2934">
        <f t="shared" si="72"/>
        <v>0</v>
      </c>
      <c r="BD163" s="2934">
        <f t="shared" si="73"/>
        <v>0</v>
      </c>
      <c r="BE163" s="2934">
        <f t="shared" si="74"/>
        <v>0</v>
      </c>
      <c r="BF163" s="2934">
        <f t="shared" si="75"/>
        <v>0</v>
      </c>
      <c r="BG163" s="2934">
        <f t="shared" si="76"/>
        <v>0</v>
      </c>
      <c r="BH163" s="2934">
        <f t="shared" si="77"/>
        <v>0</v>
      </c>
      <c r="BI163" s="2934">
        <f t="shared" si="78"/>
        <v>0</v>
      </c>
      <c r="BJ163" s="2934">
        <f t="shared" si="79"/>
        <v>0</v>
      </c>
      <c r="BK163" s="2934">
        <f t="shared" si="80"/>
        <v>0</v>
      </c>
      <c r="BL163" s="2934">
        <f t="shared" si="81"/>
        <v>0</v>
      </c>
      <c r="BM163" s="2934">
        <f t="shared" si="82"/>
        <v>0</v>
      </c>
      <c r="BN163" s="2934">
        <f t="shared" si="83"/>
        <v>0</v>
      </c>
      <c r="BO163" s="2934">
        <f t="shared" si="84"/>
        <v>0</v>
      </c>
      <c r="BP163" s="2934">
        <f t="shared" si="85"/>
        <v>0</v>
      </c>
      <c r="BQ163" s="2934">
        <f t="shared" si="86"/>
        <v>0</v>
      </c>
      <c r="BR163" s="2934">
        <f t="shared" si="87"/>
        <v>0</v>
      </c>
      <c r="BS163" s="2934">
        <f t="shared" si="88"/>
        <v>0</v>
      </c>
      <c r="BT163" s="2982">
        <f t="shared" si="89"/>
        <v>0</v>
      </c>
    </row>
    <row r="164" spans="1:72">
      <c r="A164" s="874"/>
      <c r="B164" s="882"/>
      <c r="C164" s="882"/>
      <c r="D164" s="2933"/>
      <c r="E164" s="2934">
        <f t="shared" si="90"/>
        <v>0</v>
      </c>
      <c r="F164" s="2935"/>
      <c r="G164" s="2936">
        <f t="shared" si="65"/>
        <v>0</v>
      </c>
      <c r="H164" s="2937">
        <f t="shared" si="66"/>
        <v>0</v>
      </c>
      <c r="I164" s="2944"/>
      <c r="J164" s="2944"/>
      <c r="K164" s="2944"/>
      <c r="L164" s="2944"/>
      <c r="M164" s="2944"/>
      <c r="N164" s="2944"/>
      <c r="O164" s="2944"/>
      <c r="P164" s="2944"/>
      <c r="Q164" s="2944"/>
      <c r="R164" s="2944"/>
      <c r="S164" s="2944"/>
      <c r="T164" s="2944"/>
      <c r="U164" s="2944"/>
      <c r="V164" s="2944"/>
      <c r="W164" s="2944"/>
      <c r="X164" s="2944"/>
      <c r="Y164" s="2944"/>
      <c r="Z164" s="2944"/>
      <c r="AA164" s="2944"/>
      <c r="AB164" s="2944"/>
      <c r="AC164" s="2934">
        <f t="shared" si="67"/>
        <v>0</v>
      </c>
      <c r="AD164" s="2954"/>
      <c r="AE164" s="2954"/>
      <c r="AF164" s="2954"/>
      <c r="AG164" s="2954"/>
      <c r="AH164" s="2954"/>
      <c r="AI164" s="2954"/>
      <c r="AJ164" s="2954"/>
      <c r="AK164" s="2954"/>
      <c r="AL164" s="2954"/>
      <c r="AM164" s="2954"/>
      <c r="AN164" s="2954"/>
      <c r="AO164" s="2954"/>
      <c r="AP164" s="2954"/>
      <c r="AQ164" s="2954"/>
      <c r="AR164" s="2954"/>
      <c r="AS164" s="2954"/>
      <c r="AT164" s="2935"/>
      <c r="AU164" s="2964"/>
      <c r="AV164" s="857">
        <f t="shared" si="91"/>
        <v>0</v>
      </c>
      <c r="AW164" s="857">
        <f t="shared" si="92"/>
        <v>0</v>
      </c>
      <c r="AX164" s="857">
        <f t="shared" si="93"/>
        <v>0</v>
      </c>
      <c r="AY164" s="807">
        <f t="shared" si="68"/>
        <v>0</v>
      </c>
      <c r="AZ164" s="2934">
        <f t="shared" si="69"/>
        <v>0</v>
      </c>
      <c r="BA164" s="2934">
        <f t="shared" si="70"/>
        <v>0</v>
      </c>
      <c r="BB164" s="2934">
        <f t="shared" si="71"/>
        <v>0</v>
      </c>
      <c r="BC164" s="2934">
        <f t="shared" si="72"/>
        <v>0</v>
      </c>
      <c r="BD164" s="2934">
        <f t="shared" si="73"/>
        <v>0</v>
      </c>
      <c r="BE164" s="2934">
        <f t="shared" si="74"/>
        <v>0</v>
      </c>
      <c r="BF164" s="2934">
        <f t="shared" si="75"/>
        <v>0</v>
      </c>
      <c r="BG164" s="2934">
        <f t="shared" si="76"/>
        <v>0</v>
      </c>
      <c r="BH164" s="2934">
        <f t="shared" si="77"/>
        <v>0</v>
      </c>
      <c r="BI164" s="2934">
        <f t="shared" si="78"/>
        <v>0</v>
      </c>
      <c r="BJ164" s="2934">
        <f t="shared" si="79"/>
        <v>0</v>
      </c>
      <c r="BK164" s="2934">
        <f t="shared" si="80"/>
        <v>0</v>
      </c>
      <c r="BL164" s="2934">
        <f t="shared" si="81"/>
        <v>0</v>
      </c>
      <c r="BM164" s="2934">
        <f t="shared" si="82"/>
        <v>0</v>
      </c>
      <c r="BN164" s="2934">
        <f t="shared" si="83"/>
        <v>0</v>
      </c>
      <c r="BO164" s="2934">
        <f t="shared" si="84"/>
        <v>0</v>
      </c>
      <c r="BP164" s="2934">
        <f t="shared" si="85"/>
        <v>0</v>
      </c>
      <c r="BQ164" s="2934">
        <f t="shared" si="86"/>
        <v>0</v>
      </c>
      <c r="BR164" s="2934">
        <f t="shared" si="87"/>
        <v>0</v>
      </c>
      <c r="BS164" s="2934">
        <f t="shared" si="88"/>
        <v>0</v>
      </c>
      <c r="BT164" s="2982">
        <f t="shared" si="89"/>
        <v>0</v>
      </c>
    </row>
    <row r="165" spans="1:72">
      <c r="A165" s="874"/>
      <c r="B165" s="882"/>
      <c r="C165" s="882"/>
      <c r="D165" s="2933"/>
      <c r="E165" s="2934">
        <f t="shared" si="90"/>
        <v>0</v>
      </c>
      <c r="F165" s="2935"/>
      <c r="G165" s="2936">
        <f t="shared" si="65"/>
        <v>0</v>
      </c>
      <c r="H165" s="2937">
        <f t="shared" si="66"/>
        <v>0</v>
      </c>
      <c r="I165" s="2944"/>
      <c r="J165" s="2944"/>
      <c r="K165" s="2944"/>
      <c r="L165" s="2944"/>
      <c r="M165" s="2944"/>
      <c r="N165" s="2944"/>
      <c r="O165" s="2944"/>
      <c r="P165" s="2944"/>
      <c r="Q165" s="2944"/>
      <c r="R165" s="2944"/>
      <c r="S165" s="2944"/>
      <c r="T165" s="2944"/>
      <c r="U165" s="2944"/>
      <c r="V165" s="2944"/>
      <c r="W165" s="2944"/>
      <c r="X165" s="2944"/>
      <c r="Y165" s="2944"/>
      <c r="Z165" s="2944"/>
      <c r="AA165" s="2944"/>
      <c r="AB165" s="2944"/>
      <c r="AC165" s="2934">
        <f t="shared" si="67"/>
        <v>0</v>
      </c>
      <c r="AD165" s="2954"/>
      <c r="AE165" s="2954"/>
      <c r="AF165" s="2954"/>
      <c r="AG165" s="2954"/>
      <c r="AH165" s="2954"/>
      <c r="AI165" s="2954"/>
      <c r="AJ165" s="2954"/>
      <c r="AK165" s="2954"/>
      <c r="AL165" s="2954"/>
      <c r="AM165" s="2954"/>
      <c r="AN165" s="2954"/>
      <c r="AO165" s="2954"/>
      <c r="AP165" s="2954"/>
      <c r="AQ165" s="2954"/>
      <c r="AR165" s="2954"/>
      <c r="AS165" s="2954"/>
      <c r="AT165" s="2935"/>
      <c r="AU165" s="2964"/>
      <c r="AV165" s="857">
        <f t="shared" si="91"/>
        <v>0</v>
      </c>
      <c r="AW165" s="857">
        <f t="shared" si="92"/>
        <v>0</v>
      </c>
      <c r="AX165" s="857">
        <f t="shared" si="93"/>
        <v>0</v>
      </c>
      <c r="AY165" s="807">
        <f t="shared" si="68"/>
        <v>0</v>
      </c>
      <c r="AZ165" s="2934">
        <f t="shared" si="69"/>
        <v>0</v>
      </c>
      <c r="BA165" s="2934">
        <f t="shared" si="70"/>
        <v>0</v>
      </c>
      <c r="BB165" s="2934">
        <f t="shared" si="71"/>
        <v>0</v>
      </c>
      <c r="BC165" s="2934">
        <f t="shared" si="72"/>
        <v>0</v>
      </c>
      <c r="BD165" s="2934">
        <f t="shared" si="73"/>
        <v>0</v>
      </c>
      <c r="BE165" s="2934">
        <f t="shared" si="74"/>
        <v>0</v>
      </c>
      <c r="BF165" s="2934">
        <f t="shared" si="75"/>
        <v>0</v>
      </c>
      <c r="BG165" s="2934">
        <f t="shared" si="76"/>
        <v>0</v>
      </c>
      <c r="BH165" s="2934">
        <f t="shared" si="77"/>
        <v>0</v>
      </c>
      <c r="BI165" s="2934">
        <f t="shared" si="78"/>
        <v>0</v>
      </c>
      <c r="BJ165" s="2934">
        <f t="shared" si="79"/>
        <v>0</v>
      </c>
      <c r="BK165" s="2934">
        <f t="shared" si="80"/>
        <v>0</v>
      </c>
      <c r="BL165" s="2934">
        <f t="shared" si="81"/>
        <v>0</v>
      </c>
      <c r="BM165" s="2934">
        <f t="shared" si="82"/>
        <v>0</v>
      </c>
      <c r="BN165" s="2934">
        <f t="shared" si="83"/>
        <v>0</v>
      </c>
      <c r="BO165" s="2934">
        <f t="shared" si="84"/>
        <v>0</v>
      </c>
      <c r="BP165" s="2934">
        <f t="shared" si="85"/>
        <v>0</v>
      </c>
      <c r="BQ165" s="2934">
        <f t="shared" si="86"/>
        <v>0</v>
      </c>
      <c r="BR165" s="2934">
        <f t="shared" si="87"/>
        <v>0</v>
      </c>
      <c r="BS165" s="2934">
        <f t="shared" si="88"/>
        <v>0</v>
      </c>
      <c r="BT165" s="2982">
        <f t="shared" si="89"/>
        <v>0</v>
      </c>
    </row>
    <row r="166" spans="1:72">
      <c r="A166" s="874"/>
      <c r="B166" s="882"/>
      <c r="C166" s="882"/>
      <c r="D166" s="2933"/>
      <c r="E166" s="2934">
        <f t="shared" si="90"/>
        <v>0</v>
      </c>
      <c r="F166" s="2935"/>
      <c r="G166" s="2936">
        <f t="shared" si="65"/>
        <v>0</v>
      </c>
      <c r="H166" s="2937">
        <f t="shared" si="66"/>
        <v>0</v>
      </c>
      <c r="I166" s="2944"/>
      <c r="J166" s="2944"/>
      <c r="K166" s="2944"/>
      <c r="L166" s="2944"/>
      <c r="M166" s="2944"/>
      <c r="N166" s="2944"/>
      <c r="O166" s="2944"/>
      <c r="P166" s="2944"/>
      <c r="Q166" s="2944"/>
      <c r="R166" s="2944"/>
      <c r="S166" s="2944"/>
      <c r="T166" s="2944"/>
      <c r="U166" s="2944"/>
      <c r="V166" s="2944"/>
      <c r="W166" s="2944"/>
      <c r="X166" s="2944"/>
      <c r="Y166" s="2944"/>
      <c r="Z166" s="2944"/>
      <c r="AA166" s="2944"/>
      <c r="AB166" s="2944"/>
      <c r="AC166" s="2934">
        <f t="shared" si="67"/>
        <v>0</v>
      </c>
      <c r="AD166" s="2954"/>
      <c r="AE166" s="2954"/>
      <c r="AF166" s="2954"/>
      <c r="AG166" s="2954"/>
      <c r="AH166" s="2954"/>
      <c r="AI166" s="2954"/>
      <c r="AJ166" s="2954"/>
      <c r="AK166" s="2954"/>
      <c r="AL166" s="2954"/>
      <c r="AM166" s="2954"/>
      <c r="AN166" s="2954"/>
      <c r="AO166" s="2954"/>
      <c r="AP166" s="2954"/>
      <c r="AQ166" s="2954"/>
      <c r="AR166" s="2954"/>
      <c r="AS166" s="2954"/>
      <c r="AT166" s="2935"/>
      <c r="AU166" s="2964"/>
      <c r="AV166" s="857">
        <f t="shared" si="91"/>
        <v>0</v>
      </c>
      <c r="AW166" s="857">
        <f t="shared" si="92"/>
        <v>0</v>
      </c>
      <c r="AX166" s="857">
        <f t="shared" si="93"/>
        <v>0</v>
      </c>
      <c r="AY166" s="807">
        <f t="shared" si="68"/>
        <v>0</v>
      </c>
      <c r="AZ166" s="2934">
        <f t="shared" si="69"/>
        <v>0</v>
      </c>
      <c r="BA166" s="2934">
        <f t="shared" si="70"/>
        <v>0</v>
      </c>
      <c r="BB166" s="2934">
        <f t="shared" si="71"/>
        <v>0</v>
      </c>
      <c r="BC166" s="2934">
        <f t="shared" si="72"/>
        <v>0</v>
      </c>
      <c r="BD166" s="2934">
        <f t="shared" si="73"/>
        <v>0</v>
      </c>
      <c r="BE166" s="2934">
        <f t="shared" si="74"/>
        <v>0</v>
      </c>
      <c r="BF166" s="2934">
        <f t="shared" si="75"/>
        <v>0</v>
      </c>
      <c r="BG166" s="2934">
        <f t="shared" si="76"/>
        <v>0</v>
      </c>
      <c r="BH166" s="2934">
        <f t="shared" si="77"/>
        <v>0</v>
      </c>
      <c r="BI166" s="2934">
        <f t="shared" si="78"/>
        <v>0</v>
      </c>
      <c r="BJ166" s="2934">
        <f t="shared" si="79"/>
        <v>0</v>
      </c>
      <c r="BK166" s="2934">
        <f t="shared" si="80"/>
        <v>0</v>
      </c>
      <c r="BL166" s="2934">
        <f t="shared" si="81"/>
        <v>0</v>
      </c>
      <c r="BM166" s="2934">
        <f t="shared" si="82"/>
        <v>0</v>
      </c>
      <c r="BN166" s="2934">
        <f t="shared" si="83"/>
        <v>0</v>
      </c>
      <c r="BO166" s="2934">
        <f t="shared" si="84"/>
        <v>0</v>
      </c>
      <c r="BP166" s="2934">
        <f t="shared" si="85"/>
        <v>0</v>
      </c>
      <c r="BQ166" s="2934">
        <f t="shared" si="86"/>
        <v>0</v>
      </c>
      <c r="BR166" s="2934">
        <f t="shared" si="87"/>
        <v>0</v>
      </c>
      <c r="BS166" s="2934">
        <f t="shared" si="88"/>
        <v>0</v>
      </c>
      <c r="BT166" s="2982">
        <f t="shared" si="89"/>
        <v>0</v>
      </c>
    </row>
    <row r="167" spans="1:72">
      <c r="A167" s="874"/>
      <c r="B167" s="882"/>
      <c r="C167" s="882"/>
      <c r="D167" s="2933"/>
      <c r="E167" s="2934">
        <f t="shared" si="90"/>
        <v>0</v>
      </c>
      <c r="F167" s="2935"/>
      <c r="G167" s="2936">
        <f t="shared" si="65"/>
        <v>0</v>
      </c>
      <c r="H167" s="2937">
        <f t="shared" si="66"/>
        <v>0</v>
      </c>
      <c r="I167" s="2944"/>
      <c r="J167" s="2944"/>
      <c r="K167" s="2944"/>
      <c r="L167" s="2944"/>
      <c r="M167" s="2944"/>
      <c r="N167" s="2944"/>
      <c r="O167" s="2944"/>
      <c r="P167" s="2944"/>
      <c r="Q167" s="2944"/>
      <c r="R167" s="2944"/>
      <c r="S167" s="2944"/>
      <c r="T167" s="2944"/>
      <c r="U167" s="2944"/>
      <c r="V167" s="2944"/>
      <c r="W167" s="2944"/>
      <c r="X167" s="2944"/>
      <c r="Y167" s="2944"/>
      <c r="Z167" s="2944"/>
      <c r="AA167" s="2944"/>
      <c r="AB167" s="2944"/>
      <c r="AC167" s="2934">
        <f t="shared" si="67"/>
        <v>0</v>
      </c>
      <c r="AD167" s="2954"/>
      <c r="AE167" s="2954"/>
      <c r="AF167" s="2954"/>
      <c r="AG167" s="2954"/>
      <c r="AH167" s="2954"/>
      <c r="AI167" s="2954"/>
      <c r="AJ167" s="2954"/>
      <c r="AK167" s="2954"/>
      <c r="AL167" s="2954"/>
      <c r="AM167" s="2954"/>
      <c r="AN167" s="2954"/>
      <c r="AO167" s="2954"/>
      <c r="AP167" s="2954"/>
      <c r="AQ167" s="2954"/>
      <c r="AR167" s="2954"/>
      <c r="AS167" s="2954"/>
      <c r="AT167" s="2935"/>
      <c r="AU167" s="2964"/>
      <c r="AV167" s="857">
        <f t="shared" si="91"/>
        <v>0</v>
      </c>
      <c r="AW167" s="857">
        <f t="shared" si="92"/>
        <v>0</v>
      </c>
      <c r="AX167" s="857">
        <f t="shared" si="93"/>
        <v>0</v>
      </c>
      <c r="AY167" s="807">
        <f t="shared" si="68"/>
        <v>0</v>
      </c>
      <c r="AZ167" s="2934">
        <f t="shared" si="69"/>
        <v>0</v>
      </c>
      <c r="BA167" s="2934">
        <f t="shared" si="70"/>
        <v>0</v>
      </c>
      <c r="BB167" s="2934">
        <f t="shared" si="71"/>
        <v>0</v>
      </c>
      <c r="BC167" s="2934">
        <f t="shared" si="72"/>
        <v>0</v>
      </c>
      <c r="BD167" s="2934">
        <f t="shared" si="73"/>
        <v>0</v>
      </c>
      <c r="BE167" s="2934">
        <f t="shared" si="74"/>
        <v>0</v>
      </c>
      <c r="BF167" s="2934">
        <f t="shared" si="75"/>
        <v>0</v>
      </c>
      <c r="BG167" s="2934">
        <f t="shared" si="76"/>
        <v>0</v>
      </c>
      <c r="BH167" s="2934">
        <f t="shared" si="77"/>
        <v>0</v>
      </c>
      <c r="BI167" s="2934">
        <f t="shared" si="78"/>
        <v>0</v>
      </c>
      <c r="BJ167" s="2934">
        <f t="shared" si="79"/>
        <v>0</v>
      </c>
      <c r="BK167" s="2934">
        <f t="shared" si="80"/>
        <v>0</v>
      </c>
      <c r="BL167" s="2934">
        <f t="shared" si="81"/>
        <v>0</v>
      </c>
      <c r="BM167" s="2934">
        <f t="shared" si="82"/>
        <v>0</v>
      </c>
      <c r="BN167" s="2934">
        <f t="shared" si="83"/>
        <v>0</v>
      </c>
      <c r="BO167" s="2934">
        <f t="shared" si="84"/>
        <v>0</v>
      </c>
      <c r="BP167" s="2934">
        <f t="shared" si="85"/>
        <v>0</v>
      </c>
      <c r="BQ167" s="2934">
        <f t="shared" si="86"/>
        <v>0</v>
      </c>
      <c r="BR167" s="2934">
        <f t="shared" si="87"/>
        <v>0</v>
      </c>
      <c r="BS167" s="2934">
        <f t="shared" si="88"/>
        <v>0</v>
      </c>
      <c r="BT167" s="2982">
        <f t="shared" si="89"/>
        <v>0</v>
      </c>
    </row>
    <row r="168" spans="1:72">
      <c r="A168" s="874"/>
      <c r="B168" s="882"/>
      <c r="C168" s="882"/>
      <c r="D168" s="2933"/>
      <c r="E168" s="2934">
        <f t="shared" si="90"/>
        <v>0</v>
      </c>
      <c r="F168" s="2935"/>
      <c r="G168" s="2936">
        <f t="shared" si="65"/>
        <v>0</v>
      </c>
      <c r="H168" s="2937">
        <f t="shared" si="66"/>
        <v>0</v>
      </c>
      <c r="I168" s="2944"/>
      <c r="J168" s="2944"/>
      <c r="K168" s="2944"/>
      <c r="L168" s="2944"/>
      <c r="M168" s="2944"/>
      <c r="N168" s="2944"/>
      <c r="O168" s="2944"/>
      <c r="P168" s="2944"/>
      <c r="Q168" s="2944"/>
      <c r="R168" s="2944"/>
      <c r="S168" s="2944"/>
      <c r="T168" s="2944"/>
      <c r="U168" s="2944"/>
      <c r="V168" s="2944"/>
      <c r="W168" s="2944"/>
      <c r="X168" s="2944"/>
      <c r="Y168" s="2944"/>
      <c r="Z168" s="2944"/>
      <c r="AA168" s="2944"/>
      <c r="AB168" s="2944"/>
      <c r="AC168" s="2934">
        <f t="shared" si="67"/>
        <v>0</v>
      </c>
      <c r="AD168" s="2954"/>
      <c r="AE168" s="2954"/>
      <c r="AF168" s="2954"/>
      <c r="AG168" s="2954"/>
      <c r="AH168" s="2954"/>
      <c r="AI168" s="2954"/>
      <c r="AJ168" s="2954"/>
      <c r="AK168" s="2954"/>
      <c r="AL168" s="2954"/>
      <c r="AM168" s="2954"/>
      <c r="AN168" s="2954"/>
      <c r="AO168" s="2954"/>
      <c r="AP168" s="2954"/>
      <c r="AQ168" s="2954"/>
      <c r="AR168" s="2954"/>
      <c r="AS168" s="2954"/>
      <c r="AT168" s="2935"/>
      <c r="AU168" s="2964"/>
      <c r="AV168" s="857">
        <f t="shared" si="91"/>
        <v>0</v>
      </c>
      <c r="AW168" s="857">
        <f t="shared" si="92"/>
        <v>0</v>
      </c>
      <c r="AX168" s="857">
        <f t="shared" si="93"/>
        <v>0</v>
      </c>
      <c r="AY168" s="807">
        <f t="shared" si="68"/>
        <v>0</v>
      </c>
      <c r="AZ168" s="2934">
        <f t="shared" si="69"/>
        <v>0</v>
      </c>
      <c r="BA168" s="2934">
        <f t="shared" si="70"/>
        <v>0</v>
      </c>
      <c r="BB168" s="2934">
        <f t="shared" si="71"/>
        <v>0</v>
      </c>
      <c r="BC168" s="2934">
        <f t="shared" si="72"/>
        <v>0</v>
      </c>
      <c r="BD168" s="2934">
        <f t="shared" si="73"/>
        <v>0</v>
      </c>
      <c r="BE168" s="2934">
        <f t="shared" si="74"/>
        <v>0</v>
      </c>
      <c r="BF168" s="2934">
        <f t="shared" si="75"/>
        <v>0</v>
      </c>
      <c r="BG168" s="2934">
        <f t="shared" si="76"/>
        <v>0</v>
      </c>
      <c r="BH168" s="2934">
        <f t="shared" si="77"/>
        <v>0</v>
      </c>
      <c r="BI168" s="2934">
        <f t="shared" si="78"/>
        <v>0</v>
      </c>
      <c r="BJ168" s="2934">
        <f t="shared" si="79"/>
        <v>0</v>
      </c>
      <c r="BK168" s="2934">
        <f t="shared" si="80"/>
        <v>0</v>
      </c>
      <c r="BL168" s="2934">
        <f t="shared" si="81"/>
        <v>0</v>
      </c>
      <c r="BM168" s="2934">
        <f t="shared" si="82"/>
        <v>0</v>
      </c>
      <c r="BN168" s="2934">
        <f t="shared" si="83"/>
        <v>0</v>
      </c>
      <c r="BO168" s="2934">
        <f t="shared" si="84"/>
        <v>0</v>
      </c>
      <c r="BP168" s="2934">
        <f t="shared" si="85"/>
        <v>0</v>
      </c>
      <c r="BQ168" s="2934">
        <f t="shared" si="86"/>
        <v>0</v>
      </c>
      <c r="BR168" s="2934">
        <f t="shared" si="87"/>
        <v>0</v>
      </c>
      <c r="BS168" s="2934">
        <f t="shared" si="88"/>
        <v>0</v>
      </c>
      <c r="BT168" s="2982">
        <f t="shared" si="89"/>
        <v>0</v>
      </c>
    </row>
    <row r="169" spans="1:72">
      <c r="A169" s="874"/>
      <c r="B169" s="882"/>
      <c r="C169" s="882"/>
      <c r="D169" s="2933"/>
      <c r="E169" s="2934">
        <f t="shared" si="90"/>
        <v>0</v>
      </c>
      <c r="F169" s="2935"/>
      <c r="G169" s="2936">
        <f t="shared" si="65"/>
        <v>0</v>
      </c>
      <c r="H169" s="2937">
        <f t="shared" si="66"/>
        <v>0</v>
      </c>
      <c r="I169" s="2944"/>
      <c r="J169" s="2944"/>
      <c r="K169" s="2944"/>
      <c r="L169" s="2944"/>
      <c r="M169" s="2944"/>
      <c r="N169" s="2944"/>
      <c r="O169" s="2944"/>
      <c r="P169" s="2944"/>
      <c r="Q169" s="2944"/>
      <c r="R169" s="2944"/>
      <c r="S169" s="2944"/>
      <c r="T169" s="2944"/>
      <c r="U169" s="2944"/>
      <c r="V169" s="2944"/>
      <c r="W169" s="2944"/>
      <c r="X169" s="2944"/>
      <c r="Y169" s="2944"/>
      <c r="Z169" s="2944"/>
      <c r="AA169" s="2944"/>
      <c r="AB169" s="2944"/>
      <c r="AC169" s="2934">
        <f t="shared" si="67"/>
        <v>0</v>
      </c>
      <c r="AD169" s="2954"/>
      <c r="AE169" s="2954"/>
      <c r="AF169" s="2954"/>
      <c r="AG169" s="2954"/>
      <c r="AH169" s="2954"/>
      <c r="AI169" s="2954"/>
      <c r="AJ169" s="2954"/>
      <c r="AK169" s="2954"/>
      <c r="AL169" s="2954"/>
      <c r="AM169" s="2954"/>
      <c r="AN169" s="2954"/>
      <c r="AO169" s="2954"/>
      <c r="AP169" s="2954"/>
      <c r="AQ169" s="2954"/>
      <c r="AR169" s="2954"/>
      <c r="AS169" s="2954"/>
      <c r="AT169" s="2935"/>
      <c r="AU169" s="2964"/>
      <c r="AV169" s="857">
        <f t="shared" si="91"/>
        <v>0</v>
      </c>
      <c r="AW169" s="857">
        <f t="shared" si="92"/>
        <v>0</v>
      </c>
      <c r="AX169" s="857">
        <f t="shared" si="93"/>
        <v>0</v>
      </c>
      <c r="AY169" s="807">
        <f t="shared" si="68"/>
        <v>0</v>
      </c>
      <c r="AZ169" s="2934">
        <f t="shared" si="69"/>
        <v>0</v>
      </c>
      <c r="BA169" s="2934">
        <f t="shared" si="70"/>
        <v>0</v>
      </c>
      <c r="BB169" s="2934">
        <f t="shared" si="71"/>
        <v>0</v>
      </c>
      <c r="BC169" s="2934">
        <f t="shared" si="72"/>
        <v>0</v>
      </c>
      <c r="BD169" s="2934">
        <f t="shared" si="73"/>
        <v>0</v>
      </c>
      <c r="BE169" s="2934">
        <f t="shared" si="74"/>
        <v>0</v>
      </c>
      <c r="BF169" s="2934">
        <f t="shared" si="75"/>
        <v>0</v>
      </c>
      <c r="BG169" s="2934">
        <f t="shared" si="76"/>
        <v>0</v>
      </c>
      <c r="BH169" s="2934">
        <f t="shared" si="77"/>
        <v>0</v>
      </c>
      <c r="BI169" s="2934">
        <f t="shared" si="78"/>
        <v>0</v>
      </c>
      <c r="BJ169" s="2934">
        <f t="shared" si="79"/>
        <v>0</v>
      </c>
      <c r="BK169" s="2934">
        <f t="shared" si="80"/>
        <v>0</v>
      </c>
      <c r="BL169" s="2934">
        <f t="shared" si="81"/>
        <v>0</v>
      </c>
      <c r="BM169" s="2934">
        <f t="shared" si="82"/>
        <v>0</v>
      </c>
      <c r="BN169" s="2934">
        <f t="shared" si="83"/>
        <v>0</v>
      </c>
      <c r="BO169" s="2934">
        <f t="shared" si="84"/>
        <v>0</v>
      </c>
      <c r="BP169" s="2934">
        <f t="shared" si="85"/>
        <v>0</v>
      </c>
      <c r="BQ169" s="2934">
        <f t="shared" si="86"/>
        <v>0</v>
      </c>
      <c r="BR169" s="2934">
        <f t="shared" si="87"/>
        <v>0</v>
      </c>
      <c r="BS169" s="2934">
        <f t="shared" si="88"/>
        <v>0</v>
      </c>
      <c r="BT169" s="2982">
        <f t="shared" si="89"/>
        <v>0</v>
      </c>
    </row>
    <row r="170" spans="1:72">
      <c r="A170" s="874"/>
      <c r="B170" s="882"/>
      <c r="C170" s="882"/>
      <c r="D170" s="2933"/>
      <c r="E170" s="2934">
        <f t="shared" si="90"/>
        <v>0</v>
      </c>
      <c r="F170" s="2935"/>
      <c r="G170" s="2936">
        <f t="shared" si="65"/>
        <v>0</v>
      </c>
      <c r="H170" s="2937">
        <f t="shared" si="66"/>
        <v>0</v>
      </c>
      <c r="I170" s="2944"/>
      <c r="J170" s="2944"/>
      <c r="K170" s="2944"/>
      <c r="L170" s="2944"/>
      <c r="M170" s="2944"/>
      <c r="N170" s="2944"/>
      <c r="O170" s="2944"/>
      <c r="P170" s="2944"/>
      <c r="Q170" s="2944"/>
      <c r="R170" s="2944"/>
      <c r="S170" s="2944"/>
      <c r="T170" s="2944"/>
      <c r="U170" s="2944"/>
      <c r="V170" s="2944"/>
      <c r="W170" s="2944"/>
      <c r="X170" s="2944"/>
      <c r="Y170" s="2944"/>
      <c r="Z170" s="2944"/>
      <c r="AA170" s="2944"/>
      <c r="AB170" s="2944"/>
      <c r="AC170" s="2934">
        <f t="shared" si="67"/>
        <v>0</v>
      </c>
      <c r="AD170" s="2954"/>
      <c r="AE170" s="2954"/>
      <c r="AF170" s="2954"/>
      <c r="AG170" s="2954"/>
      <c r="AH170" s="2954"/>
      <c r="AI170" s="2954"/>
      <c r="AJ170" s="2954"/>
      <c r="AK170" s="2954"/>
      <c r="AL170" s="2954"/>
      <c r="AM170" s="2954"/>
      <c r="AN170" s="2954"/>
      <c r="AO170" s="2954"/>
      <c r="AP170" s="2954"/>
      <c r="AQ170" s="2954"/>
      <c r="AR170" s="2954"/>
      <c r="AS170" s="2954"/>
      <c r="AT170" s="2935"/>
      <c r="AU170" s="2964"/>
      <c r="AV170" s="857">
        <f t="shared" si="91"/>
        <v>0</v>
      </c>
      <c r="AW170" s="857">
        <f t="shared" si="92"/>
        <v>0</v>
      </c>
      <c r="AX170" s="857">
        <f t="shared" si="93"/>
        <v>0</v>
      </c>
      <c r="AY170" s="807">
        <f t="shared" si="68"/>
        <v>0</v>
      </c>
      <c r="AZ170" s="2934">
        <f t="shared" si="69"/>
        <v>0</v>
      </c>
      <c r="BA170" s="2934">
        <f t="shared" si="70"/>
        <v>0</v>
      </c>
      <c r="BB170" s="2934">
        <f t="shared" si="71"/>
        <v>0</v>
      </c>
      <c r="BC170" s="2934">
        <f t="shared" si="72"/>
        <v>0</v>
      </c>
      <c r="BD170" s="2934">
        <f t="shared" si="73"/>
        <v>0</v>
      </c>
      <c r="BE170" s="2934">
        <f t="shared" si="74"/>
        <v>0</v>
      </c>
      <c r="BF170" s="2934">
        <f t="shared" si="75"/>
        <v>0</v>
      </c>
      <c r="BG170" s="2934">
        <f t="shared" si="76"/>
        <v>0</v>
      </c>
      <c r="BH170" s="2934">
        <f t="shared" si="77"/>
        <v>0</v>
      </c>
      <c r="BI170" s="2934">
        <f t="shared" si="78"/>
        <v>0</v>
      </c>
      <c r="BJ170" s="2934">
        <f t="shared" si="79"/>
        <v>0</v>
      </c>
      <c r="BK170" s="2934">
        <f t="shared" si="80"/>
        <v>0</v>
      </c>
      <c r="BL170" s="2934">
        <f t="shared" si="81"/>
        <v>0</v>
      </c>
      <c r="BM170" s="2934">
        <f t="shared" si="82"/>
        <v>0</v>
      </c>
      <c r="BN170" s="2934">
        <f t="shared" si="83"/>
        <v>0</v>
      </c>
      <c r="BO170" s="2934">
        <f t="shared" si="84"/>
        <v>0</v>
      </c>
      <c r="BP170" s="2934">
        <f t="shared" si="85"/>
        <v>0</v>
      </c>
      <c r="BQ170" s="2934">
        <f t="shared" si="86"/>
        <v>0</v>
      </c>
      <c r="BR170" s="2934">
        <f t="shared" si="87"/>
        <v>0</v>
      </c>
      <c r="BS170" s="2934">
        <f t="shared" si="88"/>
        <v>0</v>
      </c>
      <c r="BT170" s="2982">
        <f t="shared" si="89"/>
        <v>0</v>
      </c>
    </row>
    <row r="171" spans="1:72">
      <c r="A171" s="874"/>
      <c r="B171" s="882"/>
      <c r="C171" s="882"/>
      <c r="D171" s="2933"/>
      <c r="E171" s="2934">
        <f t="shared" si="90"/>
        <v>0</v>
      </c>
      <c r="F171" s="2935"/>
      <c r="G171" s="2936">
        <f t="shared" si="65"/>
        <v>0</v>
      </c>
      <c r="H171" s="2937">
        <f t="shared" si="66"/>
        <v>0</v>
      </c>
      <c r="I171" s="2944"/>
      <c r="J171" s="2944"/>
      <c r="K171" s="2944"/>
      <c r="L171" s="2944"/>
      <c r="M171" s="2944"/>
      <c r="N171" s="2944"/>
      <c r="O171" s="2944"/>
      <c r="P171" s="2944"/>
      <c r="Q171" s="2944"/>
      <c r="R171" s="2944"/>
      <c r="S171" s="2944"/>
      <c r="T171" s="2944"/>
      <c r="U171" s="2944"/>
      <c r="V171" s="2944"/>
      <c r="W171" s="2944"/>
      <c r="X171" s="2944"/>
      <c r="Y171" s="2944"/>
      <c r="Z171" s="2944"/>
      <c r="AA171" s="2944"/>
      <c r="AB171" s="2944"/>
      <c r="AC171" s="2934">
        <f t="shared" si="67"/>
        <v>0</v>
      </c>
      <c r="AD171" s="2954"/>
      <c r="AE171" s="2954"/>
      <c r="AF171" s="2954"/>
      <c r="AG171" s="2954"/>
      <c r="AH171" s="2954"/>
      <c r="AI171" s="2954"/>
      <c r="AJ171" s="2954"/>
      <c r="AK171" s="2954"/>
      <c r="AL171" s="2954"/>
      <c r="AM171" s="2954"/>
      <c r="AN171" s="2954"/>
      <c r="AO171" s="2954"/>
      <c r="AP171" s="2954"/>
      <c r="AQ171" s="2954"/>
      <c r="AR171" s="2954"/>
      <c r="AS171" s="2954"/>
      <c r="AT171" s="2935"/>
      <c r="AU171" s="2964"/>
      <c r="AV171" s="857">
        <f t="shared" si="91"/>
        <v>0</v>
      </c>
      <c r="AW171" s="857">
        <f t="shared" si="92"/>
        <v>0</v>
      </c>
      <c r="AX171" s="857">
        <f t="shared" si="93"/>
        <v>0</v>
      </c>
      <c r="AY171" s="807">
        <f t="shared" si="68"/>
        <v>0</v>
      </c>
      <c r="AZ171" s="2934">
        <f t="shared" si="69"/>
        <v>0</v>
      </c>
      <c r="BA171" s="2934">
        <f t="shared" si="70"/>
        <v>0</v>
      </c>
      <c r="BB171" s="2934">
        <f t="shared" si="71"/>
        <v>0</v>
      </c>
      <c r="BC171" s="2934">
        <f t="shared" si="72"/>
        <v>0</v>
      </c>
      <c r="BD171" s="2934">
        <f t="shared" si="73"/>
        <v>0</v>
      </c>
      <c r="BE171" s="2934">
        <f t="shared" si="74"/>
        <v>0</v>
      </c>
      <c r="BF171" s="2934">
        <f t="shared" si="75"/>
        <v>0</v>
      </c>
      <c r="BG171" s="2934">
        <f t="shared" si="76"/>
        <v>0</v>
      </c>
      <c r="BH171" s="2934">
        <f t="shared" si="77"/>
        <v>0</v>
      </c>
      <c r="BI171" s="2934">
        <f t="shared" si="78"/>
        <v>0</v>
      </c>
      <c r="BJ171" s="2934">
        <f t="shared" si="79"/>
        <v>0</v>
      </c>
      <c r="BK171" s="2934">
        <f t="shared" si="80"/>
        <v>0</v>
      </c>
      <c r="BL171" s="2934">
        <f t="shared" si="81"/>
        <v>0</v>
      </c>
      <c r="BM171" s="2934">
        <f t="shared" si="82"/>
        <v>0</v>
      </c>
      <c r="BN171" s="2934">
        <f t="shared" si="83"/>
        <v>0</v>
      </c>
      <c r="BO171" s="2934">
        <f t="shared" si="84"/>
        <v>0</v>
      </c>
      <c r="BP171" s="2934">
        <f t="shared" si="85"/>
        <v>0</v>
      </c>
      <c r="BQ171" s="2934">
        <f t="shared" si="86"/>
        <v>0</v>
      </c>
      <c r="BR171" s="2934">
        <f t="shared" si="87"/>
        <v>0</v>
      </c>
      <c r="BS171" s="2934">
        <f t="shared" si="88"/>
        <v>0</v>
      </c>
      <c r="BT171" s="2982">
        <f t="shared" si="89"/>
        <v>0</v>
      </c>
    </row>
    <row r="172" spans="1:72">
      <c r="A172" s="874"/>
      <c r="B172" s="882"/>
      <c r="C172" s="882"/>
      <c r="D172" s="2933"/>
      <c r="E172" s="2934">
        <f t="shared" si="90"/>
        <v>0</v>
      </c>
      <c r="F172" s="2935"/>
      <c r="G172" s="2936">
        <f t="shared" si="65"/>
        <v>0</v>
      </c>
      <c r="H172" s="2937">
        <f t="shared" si="66"/>
        <v>0</v>
      </c>
      <c r="I172" s="2944"/>
      <c r="J172" s="2944"/>
      <c r="K172" s="2944"/>
      <c r="L172" s="2944"/>
      <c r="M172" s="2944"/>
      <c r="N172" s="2944"/>
      <c r="O172" s="2944"/>
      <c r="P172" s="2944"/>
      <c r="Q172" s="2944"/>
      <c r="R172" s="2944"/>
      <c r="S172" s="2944"/>
      <c r="T172" s="2944"/>
      <c r="U172" s="2944"/>
      <c r="V172" s="2944"/>
      <c r="W172" s="2944"/>
      <c r="X172" s="2944"/>
      <c r="Y172" s="2944"/>
      <c r="Z172" s="2944"/>
      <c r="AA172" s="2944"/>
      <c r="AB172" s="2944"/>
      <c r="AC172" s="2934">
        <f t="shared" si="67"/>
        <v>0</v>
      </c>
      <c r="AD172" s="2954"/>
      <c r="AE172" s="2954"/>
      <c r="AF172" s="2954"/>
      <c r="AG172" s="2954"/>
      <c r="AH172" s="2954"/>
      <c r="AI172" s="2954"/>
      <c r="AJ172" s="2954"/>
      <c r="AK172" s="2954"/>
      <c r="AL172" s="2954"/>
      <c r="AM172" s="2954"/>
      <c r="AN172" s="2954"/>
      <c r="AO172" s="2954"/>
      <c r="AP172" s="2954"/>
      <c r="AQ172" s="2954"/>
      <c r="AR172" s="2954"/>
      <c r="AS172" s="2954"/>
      <c r="AT172" s="2935"/>
      <c r="AU172" s="2964"/>
      <c r="AV172" s="857">
        <f t="shared" si="91"/>
        <v>0</v>
      </c>
      <c r="AW172" s="857">
        <f t="shared" si="92"/>
        <v>0</v>
      </c>
      <c r="AX172" s="857">
        <f t="shared" si="93"/>
        <v>0</v>
      </c>
      <c r="AY172" s="807">
        <f t="shared" si="68"/>
        <v>0</v>
      </c>
      <c r="AZ172" s="2934">
        <f t="shared" si="69"/>
        <v>0</v>
      </c>
      <c r="BA172" s="2934">
        <f t="shared" si="70"/>
        <v>0</v>
      </c>
      <c r="BB172" s="2934">
        <f t="shared" si="71"/>
        <v>0</v>
      </c>
      <c r="BC172" s="2934">
        <f t="shared" si="72"/>
        <v>0</v>
      </c>
      <c r="BD172" s="2934">
        <f t="shared" si="73"/>
        <v>0</v>
      </c>
      <c r="BE172" s="2934">
        <f t="shared" si="74"/>
        <v>0</v>
      </c>
      <c r="BF172" s="2934">
        <f t="shared" si="75"/>
        <v>0</v>
      </c>
      <c r="BG172" s="2934">
        <f t="shared" si="76"/>
        <v>0</v>
      </c>
      <c r="BH172" s="2934">
        <f t="shared" si="77"/>
        <v>0</v>
      </c>
      <c r="BI172" s="2934">
        <f t="shared" si="78"/>
        <v>0</v>
      </c>
      <c r="BJ172" s="2934">
        <f t="shared" si="79"/>
        <v>0</v>
      </c>
      <c r="BK172" s="2934">
        <f t="shared" si="80"/>
        <v>0</v>
      </c>
      <c r="BL172" s="2934">
        <f t="shared" si="81"/>
        <v>0</v>
      </c>
      <c r="BM172" s="2934">
        <f t="shared" si="82"/>
        <v>0</v>
      </c>
      <c r="BN172" s="2934">
        <f t="shared" si="83"/>
        <v>0</v>
      </c>
      <c r="BO172" s="2934">
        <f t="shared" si="84"/>
        <v>0</v>
      </c>
      <c r="BP172" s="2934">
        <f t="shared" si="85"/>
        <v>0</v>
      </c>
      <c r="BQ172" s="2934">
        <f t="shared" si="86"/>
        <v>0</v>
      </c>
      <c r="BR172" s="2934">
        <f t="shared" si="87"/>
        <v>0</v>
      </c>
      <c r="BS172" s="2934">
        <f t="shared" si="88"/>
        <v>0</v>
      </c>
      <c r="BT172" s="2982">
        <f t="shared" si="89"/>
        <v>0</v>
      </c>
    </row>
    <row r="173" spans="1:72">
      <c r="A173" s="874"/>
      <c r="B173" s="882"/>
      <c r="C173" s="882"/>
      <c r="D173" s="2933"/>
      <c r="E173" s="2934">
        <f t="shared" si="90"/>
        <v>0</v>
      </c>
      <c r="F173" s="2935"/>
      <c r="G173" s="2936">
        <f t="shared" si="65"/>
        <v>0</v>
      </c>
      <c r="H173" s="2937">
        <f t="shared" si="66"/>
        <v>0</v>
      </c>
      <c r="I173" s="2944"/>
      <c r="J173" s="2944"/>
      <c r="K173" s="2944"/>
      <c r="L173" s="2944"/>
      <c r="M173" s="2944"/>
      <c r="N173" s="2944"/>
      <c r="O173" s="2944"/>
      <c r="P173" s="2944"/>
      <c r="Q173" s="2944"/>
      <c r="R173" s="2944"/>
      <c r="S173" s="2944"/>
      <c r="T173" s="2944"/>
      <c r="U173" s="2944"/>
      <c r="V173" s="2944"/>
      <c r="W173" s="2944"/>
      <c r="X173" s="2944"/>
      <c r="Y173" s="2944"/>
      <c r="Z173" s="2944"/>
      <c r="AA173" s="2944"/>
      <c r="AB173" s="2944"/>
      <c r="AC173" s="2934">
        <f t="shared" si="67"/>
        <v>0</v>
      </c>
      <c r="AD173" s="2954"/>
      <c r="AE173" s="2954"/>
      <c r="AF173" s="2954"/>
      <c r="AG173" s="2954"/>
      <c r="AH173" s="2954"/>
      <c r="AI173" s="2954"/>
      <c r="AJ173" s="2954"/>
      <c r="AK173" s="2954"/>
      <c r="AL173" s="2954"/>
      <c r="AM173" s="2954"/>
      <c r="AN173" s="2954"/>
      <c r="AO173" s="2954"/>
      <c r="AP173" s="2954"/>
      <c r="AQ173" s="2954"/>
      <c r="AR173" s="2954"/>
      <c r="AS173" s="2954"/>
      <c r="AT173" s="2935"/>
      <c r="AU173" s="2964"/>
      <c r="AV173" s="857">
        <f t="shared" si="91"/>
        <v>0</v>
      </c>
      <c r="AW173" s="857">
        <f t="shared" si="92"/>
        <v>0</v>
      </c>
      <c r="AX173" s="857">
        <f t="shared" si="93"/>
        <v>0</v>
      </c>
      <c r="AY173" s="807">
        <f t="shared" si="68"/>
        <v>0</v>
      </c>
      <c r="AZ173" s="2934">
        <f t="shared" si="69"/>
        <v>0</v>
      </c>
      <c r="BA173" s="2934">
        <f t="shared" si="70"/>
        <v>0</v>
      </c>
      <c r="BB173" s="2934">
        <f t="shared" si="71"/>
        <v>0</v>
      </c>
      <c r="BC173" s="2934">
        <f t="shared" si="72"/>
        <v>0</v>
      </c>
      <c r="BD173" s="2934">
        <f t="shared" si="73"/>
        <v>0</v>
      </c>
      <c r="BE173" s="2934">
        <f t="shared" si="74"/>
        <v>0</v>
      </c>
      <c r="BF173" s="2934">
        <f t="shared" si="75"/>
        <v>0</v>
      </c>
      <c r="BG173" s="2934">
        <f t="shared" si="76"/>
        <v>0</v>
      </c>
      <c r="BH173" s="2934">
        <f t="shared" si="77"/>
        <v>0</v>
      </c>
      <c r="BI173" s="2934">
        <f t="shared" si="78"/>
        <v>0</v>
      </c>
      <c r="BJ173" s="2934">
        <f t="shared" si="79"/>
        <v>0</v>
      </c>
      <c r="BK173" s="2934">
        <f t="shared" si="80"/>
        <v>0</v>
      </c>
      <c r="BL173" s="2934">
        <f t="shared" si="81"/>
        <v>0</v>
      </c>
      <c r="BM173" s="2934">
        <f t="shared" si="82"/>
        <v>0</v>
      </c>
      <c r="BN173" s="2934">
        <f t="shared" si="83"/>
        <v>0</v>
      </c>
      <c r="BO173" s="2934">
        <f t="shared" si="84"/>
        <v>0</v>
      </c>
      <c r="BP173" s="2934">
        <f t="shared" si="85"/>
        <v>0</v>
      </c>
      <c r="BQ173" s="2934">
        <f t="shared" si="86"/>
        <v>0</v>
      </c>
      <c r="BR173" s="2934">
        <f t="shared" si="87"/>
        <v>0</v>
      </c>
      <c r="BS173" s="2934">
        <f t="shared" si="88"/>
        <v>0</v>
      </c>
      <c r="BT173" s="2982">
        <f t="shared" si="89"/>
        <v>0</v>
      </c>
    </row>
    <row r="174" spans="1:72">
      <c r="A174" s="874"/>
      <c r="B174" s="882"/>
      <c r="C174" s="882"/>
      <c r="D174" s="2933"/>
      <c r="E174" s="2934">
        <f t="shared" si="90"/>
        <v>0</v>
      </c>
      <c r="F174" s="2935"/>
      <c r="G174" s="2936">
        <f t="shared" ref="G174:G207" si="94">H174+AC174+AT174</f>
        <v>0</v>
      </c>
      <c r="H174" s="2937">
        <f t="shared" ref="H174:H207" si="95">SUMIF(I$12:AB$12,"总值",I174:AB174)</f>
        <v>0</v>
      </c>
      <c r="I174" s="2944"/>
      <c r="J174" s="2944"/>
      <c r="K174" s="2944"/>
      <c r="L174" s="2944"/>
      <c r="M174" s="2944"/>
      <c r="N174" s="2944"/>
      <c r="O174" s="2944"/>
      <c r="P174" s="2944"/>
      <c r="Q174" s="2944"/>
      <c r="R174" s="2944"/>
      <c r="S174" s="2944"/>
      <c r="T174" s="2944"/>
      <c r="U174" s="2944"/>
      <c r="V174" s="2944"/>
      <c r="W174" s="2944"/>
      <c r="X174" s="2944"/>
      <c r="Y174" s="2944"/>
      <c r="Z174" s="2944"/>
      <c r="AA174" s="2944"/>
      <c r="AB174" s="2944"/>
      <c r="AC174" s="2934">
        <f t="shared" ref="AC174:AC207" si="96">SUMIF(AD$12:AS$12,"总值",AD174:AS174)</f>
        <v>0</v>
      </c>
      <c r="AD174" s="2954"/>
      <c r="AE174" s="2954"/>
      <c r="AF174" s="2954"/>
      <c r="AG174" s="2954"/>
      <c r="AH174" s="2954"/>
      <c r="AI174" s="2954"/>
      <c r="AJ174" s="2954"/>
      <c r="AK174" s="2954"/>
      <c r="AL174" s="2954"/>
      <c r="AM174" s="2954"/>
      <c r="AN174" s="2954"/>
      <c r="AO174" s="2954"/>
      <c r="AP174" s="2954"/>
      <c r="AQ174" s="2954"/>
      <c r="AR174" s="2954"/>
      <c r="AS174" s="2954"/>
      <c r="AT174" s="2935"/>
      <c r="AU174" s="2964"/>
      <c r="AV174" s="857">
        <f t="shared" si="91"/>
        <v>0</v>
      </c>
      <c r="AW174" s="857">
        <f t="shared" si="92"/>
        <v>0</v>
      </c>
      <c r="AX174" s="857">
        <f t="shared" si="93"/>
        <v>0</v>
      </c>
      <c r="AY174" s="807">
        <f t="shared" ref="AY174:AY207" si="97">ROUND($AY$6*AZ174/$AZ$5,2)</f>
        <v>0</v>
      </c>
      <c r="AZ174" s="2934">
        <f t="shared" ref="AZ174:AZ207" si="98">BA174+BL174</f>
        <v>0</v>
      </c>
      <c r="BA174" s="2934">
        <f t="shared" ref="BA174:BA207" si="99">SUM(BB174:BK174)</f>
        <v>0</v>
      </c>
      <c r="BB174" s="2934">
        <f t="shared" ref="BB174:BB207" si="100">IF($D174="是",I174-J174,0)</f>
        <v>0</v>
      </c>
      <c r="BC174" s="2934">
        <f t="shared" ref="BC174:BC207" si="101">IF($D174="是",K174-L174,0)</f>
        <v>0</v>
      </c>
      <c r="BD174" s="2934">
        <f t="shared" ref="BD174:BD207" si="102">IF($D174="是",M174-N174,0)</f>
        <v>0</v>
      </c>
      <c r="BE174" s="2934">
        <f t="shared" ref="BE174:BE207" si="103">IF($D174="是",O174-P174,0)</f>
        <v>0</v>
      </c>
      <c r="BF174" s="2934">
        <f t="shared" ref="BF174:BF207" si="104">IF($D174="是",Q174-R174,0)</f>
        <v>0</v>
      </c>
      <c r="BG174" s="2934">
        <f t="shared" ref="BG174:BG207" si="105">IF($D174="是",S174-T174,0)</f>
        <v>0</v>
      </c>
      <c r="BH174" s="2934">
        <f t="shared" ref="BH174:BH207" si="106">IF($D174="是",U174-V174,0)</f>
        <v>0</v>
      </c>
      <c r="BI174" s="2934">
        <f t="shared" ref="BI174:BI207" si="107">IF($D174="是",W174-X174,0)</f>
        <v>0</v>
      </c>
      <c r="BJ174" s="2934">
        <f t="shared" ref="BJ174:BJ207" si="108">IF($D174="是",Y174-Z174,0)</f>
        <v>0</v>
      </c>
      <c r="BK174" s="2934">
        <f t="shared" ref="BK174:BK207" si="109">IF($D174="是",AA174-AB174,0)</f>
        <v>0</v>
      </c>
      <c r="BL174" s="2934">
        <f t="shared" ref="BL174:BL207" si="110">SUM(BM174:BT174)</f>
        <v>0</v>
      </c>
      <c r="BM174" s="2934">
        <f t="shared" ref="BM174:BM207" si="111">IF($D174="是",AD174-AE174,0)</f>
        <v>0</v>
      </c>
      <c r="BN174" s="2934">
        <f t="shared" ref="BN174:BN207" si="112">IF($D174="是",AF174-AG174,0)</f>
        <v>0</v>
      </c>
      <c r="BO174" s="2934">
        <f t="shared" ref="BO174:BO207" si="113">IF($D174="是",AH174-AI174,0)</f>
        <v>0</v>
      </c>
      <c r="BP174" s="2934">
        <f t="shared" ref="BP174:BP207" si="114">IF($D174="是",AJ174-AK174,0)</f>
        <v>0</v>
      </c>
      <c r="BQ174" s="2934">
        <f t="shared" ref="BQ174:BQ207" si="115">IF($D174="是",AL174-AM174,0)</f>
        <v>0</v>
      </c>
      <c r="BR174" s="2934">
        <f t="shared" ref="BR174:BR207" si="116">IF($D174="是",AN174-AO174,0)</f>
        <v>0</v>
      </c>
      <c r="BS174" s="2934">
        <f t="shared" ref="BS174:BS207" si="117">IF($D174="是",AP174-AQ174,0)</f>
        <v>0</v>
      </c>
      <c r="BT174" s="2982">
        <f t="shared" ref="BT174:BT207" si="118">IF($D174="是",AR174-AS174,0)</f>
        <v>0</v>
      </c>
    </row>
    <row r="175" spans="1:72">
      <c r="A175" s="874"/>
      <c r="B175" s="882"/>
      <c r="C175" s="882"/>
      <c r="D175" s="2933"/>
      <c r="E175" s="2934">
        <f t="shared" si="90"/>
        <v>0</v>
      </c>
      <c r="F175" s="2935"/>
      <c r="G175" s="2936">
        <f t="shared" si="94"/>
        <v>0</v>
      </c>
      <c r="H175" s="2937">
        <f t="shared" si="95"/>
        <v>0</v>
      </c>
      <c r="I175" s="2944"/>
      <c r="J175" s="2944"/>
      <c r="K175" s="2944"/>
      <c r="L175" s="2944"/>
      <c r="M175" s="2944"/>
      <c r="N175" s="2944"/>
      <c r="O175" s="2944"/>
      <c r="P175" s="2944"/>
      <c r="Q175" s="2944"/>
      <c r="R175" s="2944"/>
      <c r="S175" s="2944"/>
      <c r="T175" s="2944"/>
      <c r="U175" s="2944"/>
      <c r="V175" s="2944"/>
      <c r="W175" s="2944"/>
      <c r="X175" s="2944"/>
      <c r="Y175" s="2944"/>
      <c r="Z175" s="2944"/>
      <c r="AA175" s="2944"/>
      <c r="AB175" s="2944"/>
      <c r="AC175" s="2934">
        <f t="shared" si="96"/>
        <v>0</v>
      </c>
      <c r="AD175" s="2954"/>
      <c r="AE175" s="2954"/>
      <c r="AF175" s="2954"/>
      <c r="AG175" s="2954"/>
      <c r="AH175" s="2954"/>
      <c r="AI175" s="2954"/>
      <c r="AJ175" s="2954"/>
      <c r="AK175" s="2954"/>
      <c r="AL175" s="2954"/>
      <c r="AM175" s="2954"/>
      <c r="AN175" s="2954"/>
      <c r="AO175" s="2954"/>
      <c r="AP175" s="2954"/>
      <c r="AQ175" s="2954"/>
      <c r="AR175" s="2954"/>
      <c r="AS175" s="2954"/>
      <c r="AT175" s="2935"/>
      <c r="AU175" s="2964"/>
      <c r="AV175" s="857">
        <f t="shared" si="91"/>
        <v>0</v>
      </c>
      <c r="AW175" s="857">
        <f t="shared" si="92"/>
        <v>0</v>
      </c>
      <c r="AX175" s="857">
        <f t="shared" si="93"/>
        <v>0</v>
      </c>
      <c r="AY175" s="807">
        <f t="shared" si="97"/>
        <v>0</v>
      </c>
      <c r="AZ175" s="2934">
        <f t="shared" si="98"/>
        <v>0</v>
      </c>
      <c r="BA175" s="2934">
        <f t="shared" si="99"/>
        <v>0</v>
      </c>
      <c r="BB175" s="2934">
        <f t="shared" si="100"/>
        <v>0</v>
      </c>
      <c r="BC175" s="2934">
        <f t="shared" si="101"/>
        <v>0</v>
      </c>
      <c r="BD175" s="2934">
        <f t="shared" si="102"/>
        <v>0</v>
      </c>
      <c r="BE175" s="2934">
        <f t="shared" si="103"/>
        <v>0</v>
      </c>
      <c r="BF175" s="2934">
        <f t="shared" si="104"/>
        <v>0</v>
      </c>
      <c r="BG175" s="2934">
        <f t="shared" si="105"/>
        <v>0</v>
      </c>
      <c r="BH175" s="2934">
        <f t="shared" si="106"/>
        <v>0</v>
      </c>
      <c r="BI175" s="2934">
        <f t="shared" si="107"/>
        <v>0</v>
      </c>
      <c r="BJ175" s="2934">
        <f t="shared" si="108"/>
        <v>0</v>
      </c>
      <c r="BK175" s="2934">
        <f t="shared" si="109"/>
        <v>0</v>
      </c>
      <c r="BL175" s="2934">
        <f t="shared" si="110"/>
        <v>0</v>
      </c>
      <c r="BM175" s="2934">
        <f t="shared" si="111"/>
        <v>0</v>
      </c>
      <c r="BN175" s="2934">
        <f t="shared" si="112"/>
        <v>0</v>
      </c>
      <c r="BO175" s="2934">
        <f t="shared" si="113"/>
        <v>0</v>
      </c>
      <c r="BP175" s="2934">
        <f t="shared" si="114"/>
        <v>0</v>
      </c>
      <c r="BQ175" s="2934">
        <f t="shared" si="115"/>
        <v>0</v>
      </c>
      <c r="BR175" s="2934">
        <f t="shared" si="116"/>
        <v>0</v>
      </c>
      <c r="BS175" s="2934">
        <f t="shared" si="117"/>
        <v>0</v>
      </c>
      <c r="BT175" s="2982">
        <f t="shared" si="118"/>
        <v>0</v>
      </c>
    </row>
    <row r="176" spans="1:72">
      <c r="A176" s="874"/>
      <c r="B176" s="882"/>
      <c r="C176" s="882"/>
      <c r="D176" s="2933"/>
      <c r="E176" s="2934">
        <f t="shared" si="90"/>
        <v>0</v>
      </c>
      <c r="F176" s="2935"/>
      <c r="G176" s="2936">
        <f t="shared" si="94"/>
        <v>0</v>
      </c>
      <c r="H176" s="2937">
        <f t="shared" si="95"/>
        <v>0</v>
      </c>
      <c r="I176" s="2944"/>
      <c r="J176" s="2944"/>
      <c r="K176" s="2944"/>
      <c r="L176" s="2944"/>
      <c r="M176" s="2944"/>
      <c r="N176" s="2944"/>
      <c r="O176" s="2944"/>
      <c r="P176" s="2944"/>
      <c r="Q176" s="2944"/>
      <c r="R176" s="2944"/>
      <c r="S176" s="2944"/>
      <c r="T176" s="2944"/>
      <c r="U176" s="2944"/>
      <c r="V176" s="2944"/>
      <c r="W176" s="2944"/>
      <c r="X176" s="2944"/>
      <c r="Y176" s="2944"/>
      <c r="Z176" s="2944"/>
      <c r="AA176" s="2944"/>
      <c r="AB176" s="2944"/>
      <c r="AC176" s="2934">
        <f t="shared" si="96"/>
        <v>0</v>
      </c>
      <c r="AD176" s="2954"/>
      <c r="AE176" s="2954"/>
      <c r="AF176" s="2954"/>
      <c r="AG176" s="2954"/>
      <c r="AH176" s="2954"/>
      <c r="AI176" s="2954"/>
      <c r="AJ176" s="2954"/>
      <c r="AK176" s="2954"/>
      <c r="AL176" s="2954"/>
      <c r="AM176" s="2954"/>
      <c r="AN176" s="2954"/>
      <c r="AO176" s="2954"/>
      <c r="AP176" s="2954"/>
      <c r="AQ176" s="2954"/>
      <c r="AR176" s="2954"/>
      <c r="AS176" s="2954"/>
      <c r="AT176" s="2935"/>
      <c r="AU176" s="2964"/>
      <c r="AV176" s="857">
        <f t="shared" si="91"/>
        <v>0</v>
      </c>
      <c r="AW176" s="857">
        <f t="shared" si="92"/>
        <v>0</v>
      </c>
      <c r="AX176" s="857">
        <f t="shared" si="93"/>
        <v>0</v>
      </c>
      <c r="AY176" s="807">
        <f t="shared" si="97"/>
        <v>0</v>
      </c>
      <c r="AZ176" s="2934">
        <f t="shared" si="98"/>
        <v>0</v>
      </c>
      <c r="BA176" s="2934">
        <f t="shared" si="99"/>
        <v>0</v>
      </c>
      <c r="BB176" s="2934">
        <f t="shared" si="100"/>
        <v>0</v>
      </c>
      <c r="BC176" s="2934">
        <f t="shared" si="101"/>
        <v>0</v>
      </c>
      <c r="BD176" s="2934">
        <f t="shared" si="102"/>
        <v>0</v>
      </c>
      <c r="BE176" s="2934">
        <f t="shared" si="103"/>
        <v>0</v>
      </c>
      <c r="BF176" s="2934">
        <f t="shared" si="104"/>
        <v>0</v>
      </c>
      <c r="BG176" s="2934">
        <f t="shared" si="105"/>
        <v>0</v>
      </c>
      <c r="BH176" s="2934">
        <f t="shared" si="106"/>
        <v>0</v>
      </c>
      <c r="BI176" s="2934">
        <f t="shared" si="107"/>
        <v>0</v>
      </c>
      <c r="BJ176" s="2934">
        <f t="shared" si="108"/>
        <v>0</v>
      </c>
      <c r="BK176" s="2934">
        <f t="shared" si="109"/>
        <v>0</v>
      </c>
      <c r="BL176" s="2934">
        <f t="shared" si="110"/>
        <v>0</v>
      </c>
      <c r="BM176" s="2934">
        <f t="shared" si="111"/>
        <v>0</v>
      </c>
      <c r="BN176" s="2934">
        <f t="shared" si="112"/>
        <v>0</v>
      </c>
      <c r="BO176" s="2934">
        <f t="shared" si="113"/>
        <v>0</v>
      </c>
      <c r="BP176" s="2934">
        <f t="shared" si="114"/>
        <v>0</v>
      </c>
      <c r="BQ176" s="2934">
        <f t="shared" si="115"/>
        <v>0</v>
      </c>
      <c r="BR176" s="2934">
        <f t="shared" si="116"/>
        <v>0</v>
      </c>
      <c r="BS176" s="2934">
        <f t="shared" si="117"/>
        <v>0</v>
      </c>
      <c r="BT176" s="2982">
        <f t="shared" si="118"/>
        <v>0</v>
      </c>
    </row>
    <row r="177" spans="1:72">
      <c r="A177" s="874"/>
      <c r="B177" s="882"/>
      <c r="C177" s="882"/>
      <c r="D177" s="2933"/>
      <c r="E177" s="2934">
        <f t="shared" ref="E177:E207" si="119">IF($C$3="是",ROUND($A$3*G177/$B$3,2),ROUND($A$3*(G177-AT177)/$B$3,2))</f>
        <v>0</v>
      </c>
      <c r="F177" s="2935"/>
      <c r="G177" s="2936">
        <f t="shared" si="94"/>
        <v>0</v>
      </c>
      <c r="H177" s="2937">
        <f t="shared" si="95"/>
        <v>0</v>
      </c>
      <c r="I177" s="2944"/>
      <c r="J177" s="2944"/>
      <c r="K177" s="2944"/>
      <c r="L177" s="2944"/>
      <c r="M177" s="2944"/>
      <c r="N177" s="2944"/>
      <c r="O177" s="2944"/>
      <c r="P177" s="2944"/>
      <c r="Q177" s="2944"/>
      <c r="R177" s="2944"/>
      <c r="S177" s="2944"/>
      <c r="T177" s="2944"/>
      <c r="U177" s="2944"/>
      <c r="V177" s="2944"/>
      <c r="W177" s="2944"/>
      <c r="X177" s="2944"/>
      <c r="Y177" s="2944"/>
      <c r="Z177" s="2944"/>
      <c r="AA177" s="2944"/>
      <c r="AB177" s="2944"/>
      <c r="AC177" s="2934">
        <f t="shared" si="96"/>
        <v>0</v>
      </c>
      <c r="AD177" s="2954"/>
      <c r="AE177" s="2954"/>
      <c r="AF177" s="2954"/>
      <c r="AG177" s="2954"/>
      <c r="AH177" s="2954"/>
      <c r="AI177" s="2954"/>
      <c r="AJ177" s="2954"/>
      <c r="AK177" s="2954"/>
      <c r="AL177" s="2954"/>
      <c r="AM177" s="2954"/>
      <c r="AN177" s="2954"/>
      <c r="AO177" s="2954"/>
      <c r="AP177" s="2954"/>
      <c r="AQ177" s="2954"/>
      <c r="AR177" s="2954"/>
      <c r="AS177" s="2954"/>
      <c r="AT177" s="2935"/>
      <c r="AU177" s="2964"/>
      <c r="AV177" s="857">
        <f t="shared" ref="AV177:AV207" si="120">A177</f>
        <v>0</v>
      </c>
      <c r="AW177" s="857">
        <f t="shared" ref="AW177:AW207" si="121">B177</f>
        <v>0</v>
      </c>
      <c r="AX177" s="857">
        <f t="shared" ref="AX177:AX207" si="122">C177</f>
        <v>0</v>
      </c>
      <c r="AY177" s="807">
        <f t="shared" si="97"/>
        <v>0</v>
      </c>
      <c r="AZ177" s="2934">
        <f t="shared" si="98"/>
        <v>0</v>
      </c>
      <c r="BA177" s="2934">
        <f t="shared" si="99"/>
        <v>0</v>
      </c>
      <c r="BB177" s="2934">
        <f t="shared" si="100"/>
        <v>0</v>
      </c>
      <c r="BC177" s="2934">
        <f t="shared" si="101"/>
        <v>0</v>
      </c>
      <c r="BD177" s="2934">
        <f t="shared" si="102"/>
        <v>0</v>
      </c>
      <c r="BE177" s="2934">
        <f t="shared" si="103"/>
        <v>0</v>
      </c>
      <c r="BF177" s="2934">
        <f t="shared" si="104"/>
        <v>0</v>
      </c>
      <c r="BG177" s="2934">
        <f t="shared" si="105"/>
        <v>0</v>
      </c>
      <c r="BH177" s="2934">
        <f t="shared" si="106"/>
        <v>0</v>
      </c>
      <c r="BI177" s="2934">
        <f t="shared" si="107"/>
        <v>0</v>
      </c>
      <c r="BJ177" s="2934">
        <f t="shared" si="108"/>
        <v>0</v>
      </c>
      <c r="BK177" s="2934">
        <f t="shared" si="109"/>
        <v>0</v>
      </c>
      <c r="BL177" s="2934">
        <f t="shared" si="110"/>
        <v>0</v>
      </c>
      <c r="BM177" s="2934">
        <f t="shared" si="111"/>
        <v>0</v>
      </c>
      <c r="BN177" s="2934">
        <f t="shared" si="112"/>
        <v>0</v>
      </c>
      <c r="BO177" s="2934">
        <f t="shared" si="113"/>
        <v>0</v>
      </c>
      <c r="BP177" s="2934">
        <f t="shared" si="114"/>
        <v>0</v>
      </c>
      <c r="BQ177" s="2934">
        <f t="shared" si="115"/>
        <v>0</v>
      </c>
      <c r="BR177" s="2934">
        <f t="shared" si="116"/>
        <v>0</v>
      </c>
      <c r="BS177" s="2934">
        <f t="shared" si="117"/>
        <v>0</v>
      </c>
      <c r="BT177" s="2982">
        <f t="shared" si="118"/>
        <v>0</v>
      </c>
    </row>
    <row r="178" spans="1:72">
      <c r="A178" s="874"/>
      <c r="B178" s="882"/>
      <c r="C178" s="882"/>
      <c r="D178" s="2933"/>
      <c r="E178" s="2934">
        <f t="shared" si="119"/>
        <v>0</v>
      </c>
      <c r="F178" s="2935"/>
      <c r="G178" s="2936">
        <f t="shared" si="94"/>
        <v>0</v>
      </c>
      <c r="H178" s="2937">
        <f t="shared" si="95"/>
        <v>0</v>
      </c>
      <c r="I178" s="2944"/>
      <c r="J178" s="2944"/>
      <c r="K178" s="2944"/>
      <c r="L178" s="2944"/>
      <c r="M178" s="2944"/>
      <c r="N178" s="2944"/>
      <c r="O178" s="2944"/>
      <c r="P178" s="2944"/>
      <c r="Q178" s="2944"/>
      <c r="R178" s="2944"/>
      <c r="S178" s="2944"/>
      <c r="T178" s="2944"/>
      <c r="U178" s="2944"/>
      <c r="V178" s="2944"/>
      <c r="W178" s="2944"/>
      <c r="X178" s="2944"/>
      <c r="Y178" s="2944"/>
      <c r="Z178" s="2944"/>
      <c r="AA178" s="2944"/>
      <c r="AB178" s="2944"/>
      <c r="AC178" s="2934">
        <f t="shared" si="96"/>
        <v>0</v>
      </c>
      <c r="AD178" s="2954"/>
      <c r="AE178" s="2954"/>
      <c r="AF178" s="2954"/>
      <c r="AG178" s="2954"/>
      <c r="AH178" s="2954"/>
      <c r="AI178" s="2954"/>
      <c r="AJ178" s="2954"/>
      <c r="AK178" s="2954"/>
      <c r="AL178" s="2954"/>
      <c r="AM178" s="2954"/>
      <c r="AN178" s="2954"/>
      <c r="AO178" s="2954"/>
      <c r="AP178" s="2954"/>
      <c r="AQ178" s="2954"/>
      <c r="AR178" s="2954"/>
      <c r="AS178" s="2954"/>
      <c r="AT178" s="2935"/>
      <c r="AU178" s="2964"/>
      <c r="AV178" s="857">
        <f t="shared" si="120"/>
        <v>0</v>
      </c>
      <c r="AW178" s="857">
        <f t="shared" si="121"/>
        <v>0</v>
      </c>
      <c r="AX178" s="857">
        <f t="shared" si="122"/>
        <v>0</v>
      </c>
      <c r="AY178" s="807">
        <f t="shared" si="97"/>
        <v>0</v>
      </c>
      <c r="AZ178" s="2934">
        <f t="shared" si="98"/>
        <v>0</v>
      </c>
      <c r="BA178" s="2934">
        <f t="shared" si="99"/>
        <v>0</v>
      </c>
      <c r="BB178" s="2934">
        <f t="shared" si="100"/>
        <v>0</v>
      </c>
      <c r="BC178" s="2934">
        <f t="shared" si="101"/>
        <v>0</v>
      </c>
      <c r="BD178" s="2934">
        <f t="shared" si="102"/>
        <v>0</v>
      </c>
      <c r="BE178" s="2934">
        <f t="shared" si="103"/>
        <v>0</v>
      </c>
      <c r="BF178" s="2934">
        <f t="shared" si="104"/>
        <v>0</v>
      </c>
      <c r="BG178" s="2934">
        <f t="shared" si="105"/>
        <v>0</v>
      </c>
      <c r="BH178" s="2934">
        <f t="shared" si="106"/>
        <v>0</v>
      </c>
      <c r="BI178" s="2934">
        <f t="shared" si="107"/>
        <v>0</v>
      </c>
      <c r="BJ178" s="2934">
        <f t="shared" si="108"/>
        <v>0</v>
      </c>
      <c r="BK178" s="2934">
        <f t="shared" si="109"/>
        <v>0</v>
      </c>
      <c r="BL178" s="2934">
        <f t="shared" si="110"/>
        <v>0</v>
      </c>
      <c r="BM178" s="2934">
        <f t="shared" si="111"/>
        <v>0</v>
      </c>
      <c r="BN178" s="2934">
        <f t="shared" si="112"/>
        <v>0</v>
      </c>
      <c r="BO178" s="2934">
        <f t="shared" si="113"/>
        <v>0</v>
      </c>
      <c r="BP178" s="2934">
        <f t="shared" si="114"/>
        <v>0</v>
      </c>
      <c r="BQ178" s="2934">
        <f t="shared" si="115"/>
        <v>0</v>
      </c>
      <c r="BR178" s="2934">
        <f t="shared" si="116"/>
        <v>0</v>
      </c>
      <c r="BS178" s="2934">
        <f t="shared" si="117"/>
        <v>0</v>
      </c>
      <c r="BT178" s="2982">
        <f t="shared" si="118"/>
        <v>0</v>
      </c>
    </row>
    <row r="179" spans="1:72">
      <c r="A179" s="874"/>
      <c r="B179" s="882"/>
      <c r="C179" s="882"/>
      <c r="D179" s="2933"/>
      <c r="E179" s="2934">
        <f t="shared" si="119"/>
        <v>0</v>
      </c>
      <c r="F179" s="2935"/>
      <c r="G179" s="2936">
        <f t="shared" si="94"/>
        <v>0</v>
      </c>
      <c r="H179" s="2937">
        <f t="shared" si="95"/>
        <v>0</v>
      </c>
      <c r="I179" s="2944"/>
      <c r="J179" s="2944"/>
      <c r="K179" s="2944"/>
      <c r="L179" s="2944"/>
      <c r="M179" s="2944"/>
      <c r="N179" s="2944"/>
      <c r="O179" s="2944"/>
      <c r="P179" s="2944"/>
      <c r="Q179" s="2944"/>
      <c r="R179" s="2944"/>
      <c r="S179" s="2944"/>
      <c r="T179" s="2944"/>
      <c r="U179" s="2944"/>
      <c r="V179" s="2944"/>
      <c r="W179" s="2944"/>
      <c r="X179" s="2944"/>
      <c r="Y179" s="2944"/>
      <c r="Z179" s="2944"/>
      <c r="AA179" s="2944"/>
      <c r="AB179" s="2944"/>
      <c r="AC179" s="2934">
        <f t="shared" si="96"/>
        <v>0</v>
      </c>
      <c r="AD179" s="2954"/>
      <c r="AE179" s="2954"/>
      <c r="AF179" s="2954"/>
      <c r="AG179" s="2954"/>
      <c r="AH179" s="2954"/>
      <c r="AI179" s="2954"/>
      <c r="AJ179" s="2954"/>
      <c r="AK179" s="2954"/>
      <c r="AL179" s="2954"/>
      <c r="AM179" s="2954"/>
      <c r="AN179" s="2954"/>
      <c r="AO179" s="2954"/>
      <c r="AP179" s="2954"/>
      <c r="AQ179" s="2954"/>
      <c r="AR179" s="2954"/>
      <c r="AS179" s="2954"/>
      <c r="AT179" s="2935"/>
      <c r="AU179" s="2964"/>
      <c r="AV179" s="857">
        <f t="shared" si="120"/>
        <v>0</v>
      </c>
      <c r="AW179" s="857">
        <f t="shared" si="121"/>
        <v>0</v>
      </c>
      <c r="AX179" s="857">
        <f t="shared" si="122"/>
        <v>0</v>
      </c>
      <c r="AY179" s="807">
        <f t="shared" si="97"/>
        <v>0</v>
      </c>
      <c r="AZ179" s="2934">
        <f t="shared" si="98"/>
        <v>0</v>
      </c>
      <c r="BA179" s="2934">
        <f t="shared" si="99"/>
        <v>0</v>
      </c>
      <c r="BB179" s="2934">
        <f t="shared" si="100"/>
        <v>0</v>
      </c>
      <c r="BC179" s="2934">
        <f t="shared" si="101"/>
        <v>0</v>
      </c>
      <c r="BD179" s="2934">
        <f t="shared" si="102"/>
        <v>0</v>
      </c>
      <c r="BE179" s="2934">
        <f t="shared" si="103"/>
        <v>0</v>
      </c>
      <c r="BF179" s="2934">
        <f t="shared" si="104"/>
        <v>0</v>
      </c>
      <c r="BG179" s="2934">
        <f t="shared" si="105"/>
        <v>0</v>
      </c>
      <c r="BH179" s="2934">
        <f t="shared" si="106"/>
        <v>0</v>
      </c>
      <c r="BI179" s="2934">
        <f t="shared" si="107"/>
        <v>0</v>
      </c>
      <c r="BJ179" s="2934">
        <f t="shared" si="108"/>
        <v>0</v>
      </c>
      <c r="BK179" s="2934">
        <f t="shared" si="109"/>
        <v>0</v>
      </c>
      <c r="BL179" s="2934">
        <f t="shared" si="110"/>
        <v>0</v>
      </c>
      <c r="BM179" s="2934">
        <f t="shared" si="111"/>
        <v>0</v>
      </c>
      <c r="BN179" s="2934">
        <f t="shared" si="112"/>
        <v>0</v>
      </c>
      <c r="BO179" s="2934">
        <f t="shared" si="113"/>
        <v>0</v>
      </c>
      <c r="BP179" s="2934">
        <f t="shared" si="114"/>
        <v>0</v>
      </c>
      <c r="BQ179" s="2934">
        <f t="shared" si="115"/>
        <v>0</v>
      </c>
      <c r="BR179" s="2934">
        <f t="shared" si="116"/>
        <v>0</v>
      </c>
      <c r="BS179" s="2934">
        <f t="shared" si="117"/>
        <v>0</v>
      </c>
      <c r="BT179" s="2982">
        <f t="shared" si="118"/>
        <v>0</v>
      </c>
    </row>
    <row r="180" spans="1:72">
      <c r="A180" s="874"/>
      <c r="B180" s="882"/>
      <c r="C180" s="882"/>
      <c r="D180" s="2933"/>
      <c r="E180" s="2934">
        <f t="shared" si="119"/>
        <v>0</v>
      </c>
      <c r="F180" s="2935"/>
      <c r="G180" s="2936">
        <f t="shared" si="94"/>
        <v>0</v>
      </c>
      <c r="H180" s="2937">
        <f t="shared" si="95"/>
        <v>0</v>
      </c>
      <c r="I180" s="2944"/>
      <c r="J180" s="2944"/>
      <c r="K180" s="2944"/>
      <c r="L180" s="2944"/>
      <c r="M180" s="2944"/>
      <c r="N180" s="2944"/>
      <c r="O180" s="2944"/>
      <c r="P180" s="2944"/>
      <c r="Q180" s="2944"/>
      <c r="R180" s="2944"/>
      <c r="S180" s="2944"/>
      <c r="T180" s="2944"/>
      <c r="U180" s="2944"/>
      <c r="V180" s="2944"/>
      <c r="W180" s="2944"/>
      <c r="X180" s="2944"/>
      <c r="Y180" s="2944"/>
      <c r="Z180" s="2944"/>
      <c r="AA180" s="2944"/>
      <c r="AB180" s="2944"/>
      <c r="AC180" s="2934">
        <f t="shared" si="96"/>
        <v>0</v>
      </c>
      <c r="AD180" s="2954"/>
      <c r="AE180" s="2954"/>
      <c r="AF180" s="2954"/>
      <c r="AG180" s="2954"/>
      <c r="AH180" s="2954"/>
      <c r="AI180" s="2954"/>
      <c r="AJ180" s="2954"/>
      <c r="AK180" s="2954"/>
      <c r="AL180" s="2954"/>
      <c r="AM180" s="2954"/>
      <c r="AN180" s="2954"/>
      <c r="AO180" s="2954"/>
      <c r="AP180" s="2954"/>
      <c r="AQ180" s="2954"/>
      <c r="AR180" s="2954"/>
      <c r="AS180" s="2954"/>
      <c r="AT180" s="2935"/>
      <c r="AU180" s="2964"/>
      <c r="AV180" s="857">
        <f t="shared" si="120"/>
        <v>0</v>
      </c>
      <c r="AW180" s="857">
        <f t="shared" si="121"/>
        <v>0</v>
      </c>
      <c r="AX180" s="857">
        <f t="shared" si="122"/>
        <v>0</v>
      </c>
      <c r="AY180" s="807">
        <f t="shared" si="97"/>
        <v>0</v>
      </c>
      <c r="AZ180" s="2934">
        <f t="shared" si="98"/>
        <v>0</v>
      </c>
      <c r="BA180" s="2934">
        <f t="shared" si="99"/>
        <v>0</v>
      </c>
      <c r="BB180" s="2934">
        <f t="shared" si="100"/>
        <v>0</v>
      </c>
      <c r="BC180" s="2934">
        <f t="shared" si="101"/>
        <v>0</v>
      </c>
      <c r="BD180" s="2934">
        <f t="shared" si="102"/>
        <v>0</v>
      </c>
      <c r="BE180" s="2934">
        <f t="shared" si="103"/>
        <v>0</v>
      </c>
      <c r="BF180" s="2934">
        <f t="shared" si="104"/>
        <v>0</v>
      </c>
      <c r="BG180" s="2934">
        <f t="shared" si="105"/>
        <v>0</v>
      </c>
      <c r="BH180" s="2934">
        <f t="shared" si="106"/>
        <v>0</v>
      </c>
      <c r="BI180" s="2934">
        <f t="shared" si="107"/>
        <v>0</v>
      </c>
      <c r="BJ180" s="2934">
        <f t="shared" si="108"/>
        <v>0</v>
      </c>
      <c r="BK180" s="2934">
        <f t="shared" si="109"/>
        <v>0</v>
      </c>
      <c r="BL180" s="2934">
        <f t="shared" si="110"/>
        <v>0</v>
      </c>
      <c r="BM180" s="2934">
        <f t="shared" si="111"/>
        <v>0</v>
      </c>
      <c r="BN180" s="2934">
        <f t="shared" si="112"/>
        <v>0</v>
      </c>
      <c r="BO180" s="2934">
        <f t="shared" si="113"/>
        <v>0</v>
      </c>
      <c r="BP180" s="2934">
        <f t="shared" si="114"/>
        <v>0</v>
      </c>
      <c r="BQ180" s="2934">
        <f t="shared" si="115"/>
        <v>0</v>
      </c>
      <c r="BR180" s="2934">
        <f t="shared" si="116"/>
        <v>0</v>
      </c>
      <c r="BS180" s="2934">
        <f t="shared" si="117"/>
        <v>0</v>
      </c>
      <c r="BT180" s="2982">
        <f t="shared" si="118"/>
        <v>0</v>
      </c>
    </row>
    <row r="181" spans="1:72">
      <c r="A181" s="874"/>
      <c r="B181" s="882"/>
      <c r="C181" s="882"/>
      <c r="D181" s="2933"/>
      <c r="E181" s="2934">
        <f t="shared" si="119"/>
        <v>0</v>
      </c>
      <c r="F181" s="2935"/>
      <c r="G181" s="2936">
        <f t="shared" si="94"/>
        <v>0</v>
      </c>
      <c r="H181" s="2937">
        <f t="shared" si="95"/>
        <v>0</v>
      </c>
      <c r="I181" s="2944"/>
      <c r="J181" s="2944"/>
      <c r="K181" s="2944"/>
      <c r="L181" s="2944"/>
      <c r="M181" s="2944"/>
      <c r="N181" s="2944"/>
      <c r="O181" s="2944"/>
      <c r="P181" s="2944"/>
      <c r="Q181" s="2944"/>
      <c r="R181" s="2944"/>
      <c r="S181" s="2944"/>
      <c r="T181" s="2944"/>
      <c r="U181" s="2944"/>
      <c r="V181" s="2944"/>
      <c r="W181" s="2944"/>
      <c r="X181" s="2944"/>
      <c r="Y181" s="2944"/>
      <c r="Z181" s="2944"/>
      <c r="AA181" s="2944"/>
      <c r="AB181" s="2944"/>
      <c r="AC181" s="2934">
        <f t="shared" si="96"/>
        <v>0</v>
      </c>
      <c r="AD181" s="2954"/>
      <c r="AE181" s="2954"/>
      <c r="AF181" s="2954"/>
      <c r="AG181" s="2954"/>
      <c r="AH181" s="2954"/>
      <c r="AI181" s="2954"/>
      <c r="AJ181" s="2954"/>
      <c r="AK181" s="2954"/>
      <c r="AL181" s="2954"/>
      <c r="AM181" s="2954"/>
      <c r="AN181" s="2954"/>
      <c r="AO181" s="2954"/>
      <c r="AP181" s="2954"/>
      <c r="AQ181" s="2954"/>
      <c r="AR181" s="2954"/>
      <c r="AS181" s="2954"/>
      <c r="AT181" s="2935"/>
      <c r="AU181" s="2964"/>
      <c r="AV181" s="857">
        <f t="shared" si="120"/>
        <v>0</v>
      </c>
      <c r="AW181" s="857">
        <f t="shared" si="121"/>
        <v>0</v>
      </c>
      <c r="AX181" s="857">
        <f t="shared" si="122"/>
        <v>0</v>
      </c>
      <c r="AY181" s="807">
        <f t="shared" si="97"/>
        <v>0</v>
      </c>
      <c r="AZ181" s="2934">
        <f t="shared" si="98"/>
        <v>0</v>
      </c>
      <c r="BA181" s="2934">
        <f t="shared" si="99"/>
        <v>0</v>
      </c>
      <c r="BB181" s="2934">
        <f t="shared" si="100"/>
        <v>0</v>
      </c>
      <c r="BC181" s="2934">
        <f t="shared" si="101"/>
        <v>0</v>
      </c>
      <c r="BD181" s="2934">
        <f t="shared" si="102"/>
        <v>0</v>
      </c>
      <c r="BE181" s="2934">
        <f t="shared" si="103"/>
        <v>0</v>
      </c>
      <c r="BF181" s="2934">
        <f t="shared" si="104"/>
        <v>0</v>
      </c>
      <c r="BG181" s="2934">
        <f t="shared" si="105"/>
        <v>0</v>
      </c>
      <c r="BH181" s="2934">
        <f t="shared" si="106"/>
        <v>0</v>
      </c>
      <c r="BI181" s="2934">
        <f t="shared" si="107"/>
        <v>0</v>
      </c>
      <c r="BJ181" s="2934">
        <f t="shared" si="108"/>
        <v>0</v>
      </c>
      <c r="BK181" s="2934">
        <f t="shared" si="109"/>
        <v>0</v>
      </c>
      <c r="BL181" s="2934">
        <f t="shared" si="110"/>
        <v>0</v>
      </c>
      <c r="BM181" s="2934">
        <f t="shared" si="111"/>
        <v>0</v>
      </c>
      <c r="BN181" s="2934">
        <f t="shared" si="112"/>
        <v>0</v>
      </c>
      <c r="BO181" s="2934">
        <f t="shared" si="113"/>
        <v>0</v>
      </c>
      <c r="BP181" s="2934">
        <f t="shared" si="114"/>
        <v>0</v>
      </c>
      <c r="BQ181" s="2934">
        <f t="shared" si="115"/>
        <v>0</v>
      </c>
      <c r="BR181" s="2934">
        <f t="shared" si="116"/>
        <v>0</v>
      </c>
      <c r="BS181" s="2934">
        <f t="shared" si="117"/>
        <v>0</v>
      </c>
      <c r="BT181" s="2982">
        <f t="shared" si="118"/>
        <v>0</v>
      </c>
    </row>
    <row r="182" spans="1:72">
      <c r="A182" s="874"/>
      <c r="B182" s="882"/>
      <c r="C182" s="882"/>
      <c r="D182" s="2933"/>
      <c r="E182" s="2934">
        <f t="shared" si="119"/>
        <v>0</v>
      </c>
      <c r="F182" s="2935"/>
      <c r="G182" s="2936">
        <f t="shared" si="94"/>
        <v>0</v>
      </c>
      <c r="H182" s="2937">
        <f t="shared" si="95"/>
        <v>0</v>
      </c>
      <c r="I182" s="2944"/>
      <c r="J182" s="2944"/>
      <c r="K182" s="2944"/>
      <c r="L182" s="2944"/>
      <c r="M182" s="2944"/>
      <c r="N182" s="2944"/>
      <c r="O182" s="2944"/>
      <c r="P182" s="2944"/>
      <c r="Q182" s="2944"/>
      <c r="R182" s="2944"/>
      <c r="S182" s="2944"/>
      <c r="T182" s="2944"/>
      <c r="U182" s="2944"/>
      <c r="V182" s="2944"/>
      <c r="W182" s="2944"/>
      <c r="X182" s="2944"/>
      <c r="Y182" s="2944"/>
      <c r="Z182" s="2944"/>
      <c r="AA182" s="2944"/>
      <c r="AB182" s="2944"/>
      <c r="AC182" s="2934">
        <f t="shared" si="96"/>
        <v>0</v>
      </c>
      <c r="AD182" s="2954"/>
      <c r="AE182" s="2954"/>
      <c r="AF182" s="2954"/>
      <c r="AG182" s="2954"/>
      <c r="AH182" s="2954"/>
      <c r="AI182" s="2954"/>
      <c r="AJ182" s="2954"/>
      <c r="AK182" s="2954"/>
      <c r="AL182" s="2954"/>
      <c r="AM182" s="2954"/>
      <c r="AN182" s="2954"/>
      <c r="AO182" s="2954"/>
      <c r="AP182" s="2954"/>
      <c r="AQ182" s="2954"/>
      <c r="AR182" s="2954"/>
      <c r="AS182" s="2954"/>
      <c r="AT182" s="2935"/>
      <c r="AU182" s="2964"/>
      <c r="AV182" s="857">
        <f t="shared" si="120"/>
        <v>0</v>
      </c>
      <c r="AW182" s="857">
        <f t="shared" si="121"/>
        <v>0</v>
      </c>
      <c r="AX182" s="857">
        <f t="shared" si="122"/>
        <v>0</v>
      </c>
      <c r="AY182" s="807">
        <f t="shared" si="97"/>
        <v>0</v>
      </c>
      <c r="AZ182" s="2934">
        <f t="shared" si="98"/>
        <v>0</v>
      </c>
      <c r="BA182" s="2934">
        <f t="shared" si="99"/>
        <v>0</v>
      </c>
      <c r="BB182" s="2934">
        <f t="shared" si="100"/>
        <v>0</v>
      </c>
      <c r="BC182" s="2934">
        <f t="shared" si="101"/>
        <v>0</v>
      </c>
      <c r="BD182" s="2934">
        <f t="shared" si="102"/>
        <v>0</v>
      </c>
      <c r="BE182" s="2934">
        <f t="shared" si="103"/>
        <v>0</v>
      </c>
      <c r="BF182" s="2934">
        <f t="shared" si="104"/>
        <v>0</v>
      </c>
      <c r="BG182" s="2934">
        <f t="shared" si="105"/>
        <v>0</v>
      </c>
      <c r="BH182" s="2934">
        <f t="shared" si="106"/>
        <v>0</v>
      </c>
      <c r="BI182" s="2934">
        <f t="shared" si="107"/>
        <v>0</v>
      </c>
      <c r="BJ182" s="2934">
        <f t="shared" si="108"/>
        <v>0</v>
      </c>
      <c r="BK182" s="2934">
        <f t="shared" si="109"/>
        <v>0</v>
      </c>
      <c r="BL182" s="2934">
        <f t="shared" si="110"/>
        <v>0</v>
      </c>
      <c r="BM182" s="2934">
        <f t="shared" si="111"/>
        <v>0</v>
      </c>
      <c r="BN182" s="2934">
        <f t="shared" si="112"/>
        <v>0</v>
      </c>
      <c r="BO182" s="2934">
        <f t="shared" si="113"/>
        <v>0</v>
      </c>
      <c r="BP182" s="2934">
        <f t="shared" si="114"/>
        <v>0</v>
      </c>
      <c r="BQ182" s="2934">
        <f t="shared" si="115"/>
        <v>0</v>
      </c>
      <c r="BR182" s="2934">
        <f t="shared" si="116"/>
        <v>0</v>
      </c>
      <c r="BS182" s="2934">
        <f t="shared" si="117"/>
        <v>0</v>
      </c>
      <c r="BT182" s="2982">
        <f t="shared" si="118"/>
        <v>0</v>
      </c>
    </row>
    <row r="183" spans="1:72">
      <c r="A183" s="874"/>
      <c r="B183" s="882"/>
      <c r="C183" s="882"/>
      <c r="D183" s="2933"/>
      <c r="E183" s="2934">
        <f t="shared" si="119"/>
        <v>0</v>
      </c>
      <c r="F183" s="2935"/>
      <c r="G183" s="2936">
        <f t="shared" si="94"/>
        <v>0</v>
      </c>
      <c r="H183" s="2937">
        <f t="shared" si="95"/>
        <v>0</v>
      </c>
      <c r="I183" s="2944"/>
      <c r="J183" s="2944"/>
      <c r="K183" s="2944"/>
      <c r="L183" s="2944"/>
      <c r="M183" s="2944"/>
      <c r="N183" s="2944"/>
      <c r="O183" s="2944"/>
      <c r="P183" s="2944"/>
      <c r="Q183" s="2944"/>
      <c r="R183" s="2944"/>
      <c r="S183" s="2944"/>
      <c r="T183" s="2944"/>
      <c r="U183" s="2944"/>
      <c r="V183" s="2944"/>
      <c r="W183" s="2944"/>
      <c r="X183" s="2944"/>
      <c r="Y183" s="2944"/>
      <c r="Z183" s="2944"/>
      <c r="AA183" s="2944"/>
      <c r="AB183" s="2944"/>
      <c r="AC183" s="2934">
        <f t="shared" si="96"/>
        <v>0</v>
      </c>
      <c r="AD183" s="2954"/>
      <c r="AE183" s="2954"/>
      <c r="AF183" s="2954"/>
      <c r="AG183" s="2954"/>
      <c r="AH183" s="2954"/>
      <c r="AI183" s="2954"/>
      <c r="AJ183" s="2954"/>
      <c r="AK183" s="2954"/>
      <c r="AL183" s="2954"/>
      <c r="AM183" s="2954"/>
      <c r="AN183" s="2954"/>
      <c r="AO183" s="2954"/>
      <c r="AP183" s="2954"/>
      <c r="AQ183" s="2954"/>
      <c r="AR183" s="2954"/>
      <c r="AS183" s="2954"/>
      <c r="AT183" s="2935"/>
      <c r="AU183" s="2964"/>
      <c r="AV183" s="857">
        <f t="shared" si="120"/>
        <v>0</v>
      </c>
      <c r="AW183" s="857">
        <f t="shared" si="121"/>
        <v>0</v>
      </c>
      <c r="AX183" s="857">
        <f t="shared" si="122"/>
        <v>0</v>
      </c>
      <c r="AY183" s="807">
        <f t="shared" si="97"/>
        <v>0</v>
      </c>
      <c r="AZ183" s="2934">
        <f t="shared" si="98"/>
        <v>0</v>
      </c>
      <c r="BA183" s="2934">
        <f t="shared" si="99"/>
        <v>0</v>
      </c>
      <c r="BB183" s="2934">
        <f t="shared" si="100"/>
        <v>0</v>
      </c>
      <c r="BC183" s="2934">
        <f t="shared" si="101"/>
        <v>0</v>
      </c>
      <c r="BD183" s="2934">
        <f t="shared" si="102"/>
        <v>0</v>
      </c>
      <c r="BE183" s="2934">
        <f t="shared" si="103"/>
        <v>0</v>
      </c>
      <c r="BF183" s="2934">
        <f t="shared" si="104"/>
        <v>0</v>
      </c>
      <c r="BG183" s="2934">
        <f t="shared" si="105"/>
        <v>0</v>
      </c>
      <c r="BH183" s="2934">
        <f t="shared" si="106"/>
        <v>0</v>
      </c>
      <c r="BI183" s="2934">
        <f t="shared" si="107"/>
        <v>0</v>
      </c>
      <c r="BJ183" s="2934">
        <f t="shared" si="108"/>
        <v>0</v>
      </c>
      <c r="BK183" s="2934">
        <f t="shared" si="109"/>
        <v>0</v>
      </c>
      <c r="BL183" s="2934">
        <f t="shared" si="110"/>
        <v>0</v>
      </c>
      <c r="BM183" s="2934">
        <f t="shared" si="111"/>
        <v>0</v>
      </c>
      <c r="BN183" s="2934">
        <f t="shared" si="112"/>
        <v>0</v>
      </c>
      <c r="BO183" s="2934">
        <f t="shared" si="113"/>
        <v>0</v>
      </c>
      <c r="BP183" s="2934">
        <f t="shared" si="114"/>
        <v>0</v>
      </c>
      <c r="BQ183" s="2934">
        <f t="shared" si="115"/>
        <v>0</v>
      </c>
      <c r="BR183" s="2934">
        <f t="shared" si="116"/>
        <v>0</v>
      </c>
      <c r="BS183" s="2934">
        <f t="shared" si="117"/>
        <v>0</v>
      </c>
      <c r="BT183" s="2982">
        <f t="shared" si="118"/>
        <v>0</v>
      </c>
    </row>
    <row r="184" spans="1:72">
      <c r="A184" s="874"/>
      <c r="B184" s="882"/>
      <c r="C184" s="882"/>
      <c r="D184" s="2933"/>
      <c r="E184" s="2934">
        <f t="shared" si="119"/>
        <v>0</v>
      </c>
      <c r="F184" s="2935"/>
      <c r="G184" s="2936">
        <f t="shared" si="94"/>
        <v>0</v>
      </c>
      <c r="H184" s="2937">
        <f t="shared" si="95"/>
        <v>0</v>
      </c>
      <c r="I184" s="2944"/>
      <c r="J184" s="2944"/>
      <c r="K184" s="2944"/>
      <c r="L184" s="2944"/>
      <c r="M184" s="2944"/>
      <c r="N184" s="2944"/>
      <c r="O184" s="2944"/>
      <c r="P184" s="2944"/>
      <c r="Q184" s="2944"/>
      <c r="R184" s="2944"/>
      <c r="S184" s="2944"/>
      <c r="T184" s="2944"/>
      <c r="U184" s="2944"/>
      <c r="V184" s="2944"/>
      <c r="W184" s="2944"/>
      <c r="X184" s="2944"/>
      <c r="Y184" s="2944"/>
      <c r="Z184" s="2944"/>
      <c r="AA184" s="2944"/>
      <c r="AB184" s="2944"/>
      <c r="AC184" s="2934">
        <f t="shared" si="96"/>
        <v>0</v>
      </c>
      <c r="AD184" s="2954"/>
      <c r="AE184" s="2954"/>
      <c r="AF184" s="2954"/>
      <c r="AG184" s="2954"/>
      <c r="AH184" s="2954"/>
      <c r="AI184" s="2954"/>
      <c r="AJ184" s="2954"/>
      <c r="AK184" s="2954"/>
      <c r="AL184" s="2954"/>
      <c r="AM184" s="2954"/>
      <c r="AN184" s="2954"/>
      <c r="AO184" s="2954"/>
      <c r="AP184" s="2954"/>
      <c r="AQ184" s="2954"/>
      <c r="AR184" s="2954"/>
      <c r="AS184" s="2954"/>
      <c r="AT184" s="2935"/>
      <c r="AU184" s="2964"/>
      <c r="AV184" s="857">
        <f t="shared" si="120"/>
        <v>0</v>
      </c>
      <c r="AW184" s="857">
        <f t="shared" si="121"/>
        <v>0</v>
      </c>
      <c r="AX184" s="857">
        <f t="shared" si="122"/>
        <v>0</v>
      </c>
      <c r="AY184" s="807">
        <f t="shared" si="97"/>
        <v>0</v>
      </c>
      <c r="AZ184" s="2934">
        <f t="shared" si="98"/>
        <v>0</v>
      </c>
      <c r="BA184" s="2934">
        <f t="shared" si="99"/>
        <v>0</v>
      </c>
      <c r="BB184" s="2934">
        <f t="shared" si="100"/>
        <v>0</v>
      </c>
      <c r="BC184" s="2934">
        <f t="shared" si="101"/>
        <v>0</v>
      </c>
      <c r="BD184" s="2934">
        <f t="shared" si="102"/>
        <v>0</v>
      </c>
      <c r="BE184" s="2934">
        <f t="shared" si="103"/>
        <v>0</v>
      </c>
      <c r="BF184" s="2934">
        <f t="shared" si="104"/>
        <v>0</v>
      </c>
      <c r="BG184" s="2934">
        <f t="shared" si="105"/>
        <v>0</v>
      </c>
      <c r="BH184" s="2934">
        <f t="shared" si="106"/>
        <v>0</v>
      </c>
      <c r="BI184" s="2934">
        <f t="shared" si="107"/>
        <v>0</v>
      </c>
      <c r="BJ184" s="2934">
        <f t="shared" si="108"/>
        <v>0</v>
      </c>
      <c r="BK184" s="2934">
        <f t="shared" si="109"/>
        <v>0</v>
      </c>
      <c r="BL184" s="2934">
        <f t="shared" si="110"/>
        <v>0</v>
      </c>
      <c r="BM184" s="2934">
        <f t="shared" si="111"/>
        <v>0</v>
      </c>
      <c r="BN184" s="2934">
        <f t="shared" si="112"/>
        <v>0</v>
      </c>
      <c r="BO184" s="2934">
        <f t="shared" si="113"/>
        <v>0</v>
      </c>
      <c r="BP184" s="2934">
        <f t="shared" si="114"/>
        <v>0</v>
      </c>
      <c r="BQ184" s="2934">
        <f t="shared" si="115"/>
        <v>0</v>
      </c>
      <c r="BR184" s="2934">
        <f t="shared" si="116"/>
        <v>0</v>
      </c>
      <c r="BS184" s="2934">
        <f t="shared" si="117"/>
        <v>0</v>
      </c>
      <c r="BT184" s="2982">
        <f t="shared" si="118"/>
        <v>0</v>
      </c>
    </row>
    <row r="185" spans="1:72">
      <c r="A185" s="874"/>
      <c r="B185" s="882"/>
      <c r="C185" s="882"/>
      <c r="D185" s="2933"/>
      <c r="E185" s="2934">
        <f t="shared" si="119"/>
        <v>0</v>
      </c>
      <c r="F185" s="2935"/>
      <c r="G185" s="2936">
        <f t="shared" si="94"/>
        <v>0</v>
      </c>
      <c r="H185" s="2937">
        <f t="shared" si="95"/>
        <v>0</v>
      </c>
      <c r="I185" s="2944"/>
      <c r="J185" s="2944"/>
      <c r="K185" s="2944"/>
      <c r="L185" s="2944"/>
      <c r="M185" s="2944"/>
      <c r="N185" s="2944"/>
      <c r="O185" s="2944"/>
      <c r="P185" s="2944"/>
      <c r="Q185" s="2944"/>
      <c r="R185" s="2944"/>
      <c r="S185" s="2944"/>
      <c r="T185" s="2944"/>
      <c r="U185" s="2944"/>
      <c r="V185" s="2944"/>
      <c r="W185" s="2944"/>
      <c r="X185" s="2944"/>
      <c r="Y185" s="2944"/>
      <c r="Z185" s="2944"/>
      <c r="AA185" s="2944"/>
      <c r="AB185" s="2944"/>
      <c r="AC185" s="2934">
        <f t="shared" si="96"/>
        <v>0</v>
      </c>
      <c r="AD185" s="2954"/>
      <c r="AE185" s="2954"/>
      <c r="AF185" s="2954"/>
      <c r="AG185" s="2954"/>
      <c r="AH185" s="2954"/>
      <c r="AI185" s="2954"/>
      <c r="AJ185" s="2954"/>
      <c r="AK185" s="2954"/>
      <c r="AL185" s="2954"/>
      <c r="AM185" s="2954"/>
      <c r="AN185" s="2954"/>
      <c r="AO185" s="2954"/>
      <c r="AP185" s="2954"/>
      <c r="AQ185" s="2954"/>
      <c r="AR185" s="2954"/>
      <c r="AS185" s="2954"/>
      <c r="AT185" s="2935"/>
      <c r="AU185" s="2964"/>
      <c r="AV185" s="857">
        <f t="shared" si="120"/>
        <v>0</v>
      </c>
      <c r="AW185" s="857">
        <f t="shared" si="121"/>
        <v>0</v>
      </c>
      <c r="AX185" s="857">
        <f t="shared" si="122"/>
        <v>0</v>
      </c>
      <c r="AY185" s="807">
        <f t="shared" si="97"/>
        <v>0</v>
      </c>
      <c r="AZ185" s="2934">
        <f t="shared" si="98"/>
        <v>0</v>
      </c>
      <c r="BA185" s="2934">
        <f t="shared" si="99"/>
        <v>0</v>
      </c>
      <c r="BB185" s="2934">
        <f t="shared" si="100"/>
        <v>0</v>
      </c>
      <c r="BC185" s="2934">
        <f t="shared" si="101"/>
        <v>0</v>
      </c>
      <c r="BD185" s="2934">
        <f t="shared" si="102"/>
        <v>0</v>
      </c>
      <c r="BE185" s="2934">
        <f t="shared" si="103"/>
        <v>0</v>
      </c>
      <c r="BF185" s="2934">
        <f t="shared" si="104"/>
        <v>0</v>
      </c>
      <c r="BG185" s="2934">
        <f t="shared" si="105"/>
        <v>0</v>
      </c>
      <c r="BH185" s="2934">
        <f t="shared" si="106"/>
        <v>0</v>
      </c>
      <c r="BI185" s="2934">
        <f t="shared" si="107"/>
        <v>0</v>
      </c>
      <c r="BJ185" s="2934">
        <f t="shared" si="108"/>
        <v>0</v>
      </c>
      <c r="BK185" s="2934">
        <f t="shared" si="109"/>
        <v>0</v>
      </c>
      <c r="BL185" s="2934">
        <f t="shared" si="110"/>
        <v>0</v>
      </c>
      <c r="BM185" s="2934">
        <f t="shared" si="111"/>
        <v>0</v>
      </c>
      <c r="BN185" s="2934">
        <f t="shared" si="112"/>
        <v>0</v>
      </c>
      <c r="BO185" s="2934">
        <f t="shared" si="113"/>
        <v>0</v>
      </c>
      <c r="BP185" s="2934">
        <f t="shared" si="114"/>
        <v>0</v>
      </c>
      <c r="BQ185" s="2934">
        <f t="shared" si="115"/>
        <v>0</v>
      </c>
      <c r="BR185" s="2934">
        <f t="shared" si="116"/>
        <v>0</v>
      </c>
      <c r="BS185" s="2934">
        <f t="shared" si="117"/>
        <v>0</v>
      </c>
      <c r="BT185" s="2982">
        <f t="shared" si="118"/>
        <v>0</v>
      </c>
    </row>
    <row r="186" spans="1:72">
      <c r="A186" s="874"/>
      <c r="B186" s="882"/>
      <c r="C186" s="882"/>
      <c r="D186" s="2933"/>
      <c r="E186" s="2934">
        <f t="shared" si="119"/>
        <v>0</v>
      </c>
      <c r="F186" s="2935"/>
      <c r="G186" s="2936">
        <f t="shared" si="94"/>
        <v>0</v>
      </c>
      <c r="H186" s="2937">
        <f t="shared" si="95"/>
        <v>0</v>
      </c>
      <c r="I186" s="2944"/>
      <c r="J186" s="2944"/>
      <c r="K186" s="2944"/>
      <c r="L186" s="2944"/>
      <c r="M186" s="2944"/>
      <c r="N186" s="2944"/>
      <c r="O186" s="2944"/>
      <c r="P186" s="2944"/>
      <c r="Q186" s="2944"/>
      <c r="R186" s="2944"/>
      <c r="S186" s="2944"/>
      <c r="T186" s="2944"/>
      <c r="U186" s="2944"/>
      <c r="V186" s="2944"/>
      <c r="W186" s="2944"/>
      <c r="X186" s="2944"/>
      <c r="Y186" s="2944"/>
      <c r="Z186" s="2944"/>
      <c r="AA186" s="2944"/>
      <c r="AB186" s="2944"/>
      <c r="AC186" s="2934">
        <f t="shared" si="96"/>
        <v>0</v>
      </c>
      <c r="AD186" s="2954"/>
      <c r="AE186" s="2954"/>
      <c r="AF186" s="2954"/>
      <c r="AG186" s="2954"/>
      <c r="AH186" s="2954"/>
      <c r="AI186" s="2954"/>
      <c r="AJ186" s="2954"/>
      <c r="AK186" s="2954"/>
      <c r="AL186" s="2954"/>
      <c r="AM186" s="2954"/>
      <c r="AN186" s="2954"/>
      <c r="AO186" s="2954"/>
      <c r="AP186" s="2954"/>
      <c r="AQ186" s="2954"/>
      <c r="AR186" s="2954"/>
      <c r="AS186" s="2954"/>
      <c r="AT186" s="2935"/>
      <c r="AU186" s="2964"/>
      <c r="AV186" s="857">
        <f t="shared" si="120"/>
        <v>0</v>
      </c>
      <c r="AW186" s="857">
        <f t="shared" si="121"/>
        <v>0</v>
      </c>
      <c r="AX186" s="857">
        <f t="shared" si="122"/>
        <v>0</v>
      </c>
      <c r="AY186" s="807">
        <f t="shared" si="97"/>
        <v>0</v>
      </c>
      <c r="AZ186" s="2934">
        <f t="shared" si="98"/>
        <v>0</v>
      </c>
      <c r="BA186" s="2934">
        <f t="shared" si="99"/>
        <v>0</v>
      </c>
      <c r="BB186" s="2934">
        <f t="shared" si="100"/>
        <v>0</v>
      </c>
      <c r="BC186" s="2934">
        <f t="shared" si="101"/>
        <v>0</v>
      </c>
      <c r="BD186" s="2934">
        <f t="shared" si="102"/>
        <v>0</v>
      </c>
      <c r="BE186" s="2934">
        <f t="shared" si="103"/>
        <v>0</v>
      </c>
      <c r="BF186" s="2934">
        <f t="shared" si="104"/>
        <v>0</v>
      </c>
      <c r="BG186" s="2934">
        <f t="shared" si="105"/>
        <v>0</v>
      </c>
      <c r="BH186" s="2934">
        <f t="shared" si="106"/>
        <v>0</v>
      </c>
      <c r="BI186" s="2934">
        <f t="shared" si="107"/>
        <v>0</v>
      </c>
      <c r="BJ186" s="2934">
        <f t="shared" si="108"/>
        <v>0</v>
      </c>
      <c r="BK186" s="2934">
        <f t="shared" si="109"/>
        <v>0</v>
      </c>
      <c r="BL186" s="2934">
        <f t="shared" si="110"/>
        <v>0</v>
      </c>
      <c r="BM186" s="2934">
        <f t="shared" si="111"/>
        <v>0</v>
      </c>
      <c r="BN186" s="2934">
        <f t="shared" si="112"/>
        <v>0</v>
      </c>
      <c r="BO186" s="2934">
        <f t="shared" si="113"/>
        <v>0</v>
      </c>
      <c r="BP186" s="2934">
        <f t="shared" si="114"/>
        <v>0</v>
      </c>
      <c r="BQ186" s="2934">
        <f t="shared" si="115"/>
        <v>0</v>
      </c>
      <c r="BR186" s="2934">
        <f t="shared" si="116"/>
        <v>0</v>
      </c>
      <c r="BS186" s="2934">
        <f t="shared" si="117"/>
        <v>0</v>
      </c>
      <c r="BT186" s="2982">
        <f t="shared" si="118"/>
        <v>0</v>
      </c>
    </row>
    <row r="187" spans="1:72">
      <c r="A187" s="874"/>
      <c r="B187" s="882"/>
      <c r="C187" s="882"/>
      <c r="D187" s="2933"/>
      <c r="E187" s="2934">
        <f t="shared" si="119"/>
        <v>0</v>
      </c>
      <c r="F187" s="2935"/>
      <c r="G187" s="2936">
        <f t="shared" si="94"/>
        <v>0</v>
      </c>
      <c r="H187" s="2937">
        <f t="shared" si="95"/>
        <v>0</v>
      </c>
      <c r="I187" s="2944"/>
      <c r="J187" s="2944"/>
      <c r="K187" s="2944"/>
      <c r="L187" s="2944"/>
      <c r="M187" s="2944"/>
      <c r="N187" s="2944"/>
      <c r="O187" s="2944"/>
      <c r="P187" s="2944"/>
      <c r="Q187" s="2944"/>
      <c r="R187" s="2944"/>
      <c r="S187" s="2944"/>
      <c r="T187" s="2944"/>
      <c r="U187" s="2944"/>
      <c r="V187" s="2944"/>
      <c r="W187" s="2944"/>
      <c r="X187" s="2944"/>
      <c r="Y187" s="2944"/>
      <c r="Z187" s="2944"/>
      <c r="AA187" s="2944"/>
      <c r="AB187" s="2944"/>
      <c r="AC187" s="2934">
        <f t="shared" si="96"/>
        <v>0</v>
      </c>
      <c r="AD187" s="2954"/>
      <c r="AE187" s="2954"/>
      <c r="AF187" s="2954"/>
      <c r="AG187" s="2954"/>
      <c r="AH187" s="2954"/>
      <c r="AI187" s="2954"/>
      <c r="AJ187" s="2954"/>
      <c r="AK187" s="2954"/>
      <c r="AL187" s="2954"/>
      <c r="AM187" s="2954"/>
      <c r="AN187" s="2954"/>
      <c r="AO187" s="2954"/>
      <c r="AP187" s="2954"/>
      <c r="AQ187" s="2954"/>
      <c r="AR187" s="2954"/>
      <c r="AS187" s="2954"/>
      <c r="AT187" s="2935"/>
      <c r="AU187" s="2964"/>
      <c r="AV187" s="857">
        <f t="shared" si="120"/>
        <v>0</v>
      </c>
      <c r="AW187" s="857">
        <f t="shared" si="121"/>
        <v>0</v>
      </c>
      <c r="AX187" s="857">
        <f t="shared" si="122"/>
        <v>0</v>
      </c>
      <c r="AY187" s="807">
        <f t="shared" si="97"/>
        <v>0</v>
      </c>
      <c r="AZ187" s="2934">
        <f t="shared" si="98"/>
        <v>0</v>
      </c>
      <c r="BA187" s="2934">
        <f t="shared" si="99"/>
        <v>0</v>
      </c>
      <c r="BB187" s="2934">
        <f t="shared" si="100"/>
        <v>0</v>
      </c>
      <c r="BC187" s="2934">
        <f t="shared" si="101"/>
        <v>0</v>
      </c>
      <c r="BD187" s="2934">
        <f t="shared" si="102"/>
        <v>0</v>
      </c>
      <c r="BE187" s="2934">
        <f t="shared" si="103"/>
        <v>0</v>
      </c>
      <c r="BF187" s="2934">
        <f t="shared" si="104"/>
        <v>0</v>
      </c>
      <c r="BG187" s="2934">
        <f t="shared" si="105"/>
        <v>0</v>
      </c>
      <c r="BH187" s="2934">
        <f t="shared" si="106"/>
        <v>0</v>
      </c>
      <c r="BI187" s="2934">
        <f t="shared" si="107"/>
        <v>0</v>
      </c>
      <c r="BJ187" s="2934">
        <f t="shared" si="108"/>
        <v>0</v>
      </c>
      <c r="BK187" s="2934">
        <f t="shared" si="109"/>
        <v>0</v>
      </c>
      <c r="BL187" s="2934">
        <f t="shared" si="110"/>
        <v>0</v>
      </c>
      <c r="BM187" s="2934">
        <f t="shared" si="111"/>
        <v>0</v>
      </c>
      <c r="BN187" s="2934">
        <f t="shared" si="112"/>
        <v>0</v>
      </c>
      <c r="BO187" s="2934">
        <f t="shared" si="113"/>
        <v>0</v>
      </c>
      <c r="BP187" s="2934">
        <f t="shared" si="114"/>
        <v>0</v>
      </c>
      <c r="BQ187" s="2934">
        <f t="shared" si="115"/>
        <v>0</v>
      </c>
      <c r="BR187" s="2934">
        <f t="shared" si="116"/>
        <v>0</v>
      </c>
      <c r="BS187" s="2934">
        <f t="shared" si="117"/>
        <v>0</v>
      </c>
      <c r="BT187" s="2982">
        <f t="shared" si="118"/>
        <v>0</v>
      </c>
    </row>
    <row r="188" spans="1:72">
      <c r="A188" s="874"/>
      <c r="B188" s="882"/>
      <c r="C188" s="882"/>
      <c r="D188" s="2933"/>
      <c r="E188" s="2934">
        <f t="shared" si="119"/>
        <v>0</v>
      </c>
      <c r="F188" s="2935"/>
      <c r="G188" s="2936">
        <f t="shared" si="94"/>
        <v>0</v>
      </c>
      <c r="H188" s="2937">
        <f t="shared" si="95"/>
        <v>0</v>
      </c>
      <c r="I188" s="2944"/>
      <c r="J188" s="2944"/>
      <c r="K188" s="2944"/>
      <c r="L188" s="2944"/>
      <c r="M188" s="2944"/>
      <c r="N188" s="2944"/>
      <c r="O188" s="2944"/>
      <c r="P188" s="2944"/>
      <c r="Q188" s="2944"/>
      <c r="R188" s="2944"/>
      <c r="S188" s="2944"/>
      <c r="T188" s="2944"/>
      <c r="U188" s="2944"/>
      <c r="V188" s="2944"/>
      <c r="W188" s="2944"/>
      <c r="X188" s="2944"/>
      <c r="Y188" s="2944"/>
      <c r="Z188" s="2944"/>
      <c r="AA188" s="2944"/>
      <c r="AB188" s="2944"/>
      <c r="AC188" s="2934">
        <f t="shared" si="96"/>
        <v>0</v>
      </c>
      <c r="AD188" s="2954"/>
      <c r="AE188" s="2954"/>
      <c r="AF188" s="2954"/>
      <c r="AG188" s="2954"/>
      <c r="AH188" s="2954"/>
      <c r="AI188" s="2954"/>
      <c r="AJ188" s="2954"/>
      <c r="AK188" s="2954"/>
      <c r="AL188" s="2954"/>
      <c r="AM188" s="2954"/>
      <c r="AN188" s="2954"/>
      <c r="AO188" s="2954"/>
      <c r="AP188" s="2954"/>
      <c r="AQ188" s="2954"/>
      <c r="AR188" s="2954"/>
      <c r="AS188" s="2954"/>
      <c r="AT188" s="2935"/>
      <c r="AU188" s="2964"/>
      <c r="AV188" s="857">
        <f t="shared" si="120"/>
        <v>0</v>
      </c>
      <c r="AW188" s="857">
        <f t="shared" si="121"/>
        <v>0</v>
      </c>
      <c r="AX188" s="857">
        <f t="shared" si="122"/>
        <v>0</v>
      </c>
      <c r="AY188" s="807">
        <f t="shared" si="97"/>
        <v>0</v>
      </c>
      <c r="AZ188" s="2934">
        <f t="shared" si="98"/>
        <v>0</v>
      </c>
      <c r="BA188" s="2934">
        <f t="shared" si="99"/>
        <v>0</v>
      </c>
      <c r="BB188" s="2934">
        <f t="shared" si="100"/>
        <v>0</v>
      </c>
      <c r="BC188" s="2934">
        <f t="shared" si="101"/>
        <v>0</v>
      </c>
      <c r="BD188" s="2934">
        <f t="shared" si="102"/>
        <v>0</v>
      </c>
      <c r="BE188" s="2934">
        <f t="shared" si="103"/>
        <v>0</v>
      </c>
      <c r="BF188" s="2934">
        <f t="shared" si="104"/>
        <v>0</v>
      </c>
      <c r="BG188" s="2934">
        <f t="shared" si="105"/>
        <v>0</v>
      </c>
      <c r="BH188" s="2934">
        <f t="shared" si="106"/>
        <v>0</v>
      </c>
      <c r="BI188" s="2934">
        <f t="shared" si="107"/>
        <v>0</v>
      </c>
      <c r="BJ188" s="2934">
        <f t="shared" si="108"/>
        <v>0</v>
      </c>
      <c r="BK188" s="2934">
        <f t="shared" si="109"/>
        <v>0</v>
      </c>
      <c r="BL188" s="2934">
        <f t="shared" si="110"/>
        <v>0</v>
      </c>
      <c r="BM188" s="2934">
        <f t="shared" si="111"/>
        <v>0</v>
      </c>
      <c r="BN188" s="2934">
        <f t="shared" si="112"/>
        <v>0</v>
      </c>
      <c r="BO188" s="2934">
        <f t="shared" si="113"/>
        <v>0</v>
      </c>
      <c r="BP188" s="2934">
        <f t="shared" si="114"/>
        <v>0</v>
      </c>
      <c r="BQ188" s="2934">
        <f t="shared" si="115"/>
        <v>0</v>
      </c>
      <c r="BR188" s="2934">
        <f t="shared" si="116"/>
        <v>0</v>
      </c>
      <c r="BS188" s="2934">
        <f t="shared" si="117"/>
        <v>0</v>
      </c>
      <c r="BT188" s="2982">
        <f t="shared" si="118"/>
        <v>0</v>
      </c>
    </row>
    <row r="189" spans="1:72">
      <c r="A189" s="874"/>
      <c r="B189" s="882"/>
      <c r="C189" s="882"/>
      <c r="D189" s="2933"/>
      <c r="E189" s="2934">
        <f t="shared" si="119"/>
        <v>0</v>
      </c>
      <c r="F189" s="2935"/>
      <c r="G189" s="2936">
        <f t="shared" si="94"/>
        <v>0</v>
      </c>
      <c r="H189" s="2937">
        <f t="shared" si="95"/>
        <v>0</v>
      </c>
      <c r="I189" s="2944"/>
      <c r="J189" s="2944"/>
      <c r="K189" s="2944"/>
      <c r="L189" s="2944"/>
      <c r="M189" s="2944"/>
      <c r="N189" s="2944"/>
      <c r="O189" s="2944"/>
      <c r="P189" s="2944"/>
      <c r="Q189" s="2944"/>
      <c r="R189" s="2944"/>
      <c r="S189" s="2944"/>
      <c r="T189" s="2944"/>
      <c r="U189" s="2944"/>
      <c r="V189" s="2944"/>
      <c r="W189" s="2944"/>
      <c r="X189" s="2944"/>
      <c r="Y189" s="2944"/>
      <c r="Z189" s="2944"/>
      <c r="AA189" s="2944"/>
      <c r="AB189" s="2944"/>
      <c r="AC189" s="2934">
        <f t="shared" si="96"/>
        <v>0</v>
      </c>
      <c r="AD189" s="2954"/>
      <c r="AE189" s="2954"/>
      <c r="AF189" s="2954"/>
      <c r="AG189" s="2954"/>
      <c r="AH189" s="2954"/>
      <c r="AI189" s="2954"/>
      <c r="AJ189" s="2954"/>
      <c r="AK189" s="2954"/>
      <c r="AL189" s="2954"/>
      <c r="AM189" s="2954"/>
      <c r="AN189" s="2954"/>
      <c r="AO189" s="2954"/>
      <c r="AP189" s="2954"/>
      <c r="AQ189" s="2954"/>
      <c r="AR189" s="2954"/>
      <c r="AS189" s="2954"/>
      <c r="AT189" s="2935"/>
      <c r="AU189" s="2964"/>
      <c r="AV189" s="857">
        <f t="shared" si="120"/>
        <v>0</v>
      </c>
      <c r="AW189" s="857">
        <f t="shared" si="121"/>
        <v>0</v>
      </c>
      <c r="AX189" s="857">
        <f t="shared" si="122"/>
        <v>0</v>
      </c>
      <c r="AY189" s="807">
        <f t="shared" si="97"/>
        <v>0</v>
      </c>
      <c r="AZ189" s="2934">
        <f t="shared" si="98"/>
        <v>0</v>
      </c>
      <c r="BA189" s="2934">
        <f t="shared" si="99"/>
        <v>0</v>
      </c>
      <c r="BB189" s="2934">
        <f t="shared" si="100"/>
        <v>0</v>
      </c>
      <c r="BC189" s="2934">
        <f t="shared" si="101"/>
        <v>0</v>
      </c>
      <c r="BD189" s="2934">
        <f t="shared" si="102"/>
        <v>0</v>
      </c>
      <c r="BE189" s="2934">
        <f t="shared" si="103"/>
        <v>0</v>
      </c>
      <c r="BF189" s="2934">
        <f t="shared" si="104"/>
        <v>0</v>
      </c>
      <c r="BG189" s="2934">
        <f t="shared" si="105"/>
        <v>0</v>
      </c>
      <c r="BH189" s="2934">
        <f t="shared" si="106"/>
        <v>0</v>
      </c>
      <c r="BI189" s="2934">
        <f t="shared" si="107"/>
        <v>0</v>
      </c>
      <c r="BJ189" s="2934">
        <f t="shared" si="108"/>
        <v>0</v>
      </c>
      <c r="BK189" s="2934">
        <f t="shared" si="109"/>
        <v>0</v>
      </c>
      <c r="BL189" s="2934">
        <f t="shared" si="110"/>
        <v>0</v>
      </c>
      <c r="BM189" s="2934">
        <f t="shared" si="111"/>
        <v>0</v>
      </c>
      <c r="BN189" s="2934">
        <f t="shared" si="112"/>
        <v>0</v>
      </c>
      <c r="BO189" s="2934">
        <f t="shared" si="113"/>
        <v>0</v>
      </c>
      <c r="BP189" s="2934">
        <f t="shared" si="114"/>
        <v>0</v>
      </c>
      <c r="BQ189" s="2934">
        <f t="shared" si="115"/>
        <v>0</v>
      </c>
      <c r="BR189" s="2934">
        <f t="shared" si="116"/>
        <v>0</v>
      </c>
      <c r="BS189" s="2934">
        <f t="shared" si="117"/>
        <v>0</v>
      </c>
      <c r="BT189" s="2982">
        <f t="shared" si="118"/>
        <v>0</v>
      </c>
    </row>
    <row r="190" spans="1:72">
      <c r="A190" s="874"/>
      <c r="B190" s="882"/>
      <c r="C190" s="882"/>
      <c r="D190" s="2933"/>
      <c r="E190" s="2934">
        <f t="shared" si="119"/>
        <v>0</v>
      </c>
      <c r="F190" s="2935"/>
      <c r="G190" s="2936">
        <f t="shared" si="94"/>
        <v>0</v>
      </c>
      <c r="H190" s="2937">
        <f t="shared" si="95"/>
        <v>0</v>
      </c>
      <c r="I190" s="2944"/>
      <c r="J190" s="2944"/>
      <c r="K190" s="2944"/>
      <c r="L190" s="2944"/>
      <c r="M190" s="2944"/>
      <c r="N190" s="2944"/>
      <c r="O190" s="2944"/>
      <c r="P190" s="2944"/>
      <c r="Q190" s="2944"/>
      <c r="R190" s="2944"/>
      <c r="S190" s="2944"/>
      <c r="T190" s="2944"/>
      <c r="U190" s="2944"/>
      <c r="V190" s="2944"/>
      <c r="W190" s="2944"/>
      <c r="X190" s="2944"/>
      <c r="Y190" s="2944"/>
      <c r="Z190" s="2944"/>
      <c r="AA190" s="2944"/>
      <c r="AB190" s="2944"/>
      <c r="AC190" s="2934">
        <f t="shared" si="96"/>
        <v>0</v>
      </c>
      <c r="AD190" s="2954"/>
      <c r="AE190" s="2954"/>
      <c r="AF190" s="2954"/>
      <c r="AG190" s="2954"/>
      <c r="AH190" s="2954"/>
      <c r="AI190" s="2954"/>
      <c r="AJ190" s="2954"/>
      <c r="AK190" s="2954"/>
      <c r="AL190" s="2954"/>
      <c r="AM190" s="2954"/>
      <c r="AN190" s="2954"/>
      <c r="AO190" s="2954"/>
      <c r="AP190" s="2954"/>
      <c r="AQ190" s="2954"/>
      <c r="AR190" s="2954"/>
      <c r="AS190" s="2954"/>
      <c r="AT190" s="2935"/>
      <c r="AU190" s="2964"/>
      <c r="AV190" s="857">
        <f t="shared" si="120"/>
        <v>0</v>
      </c>
      <c r="AW190" s="857">
        <f t="shared" si="121"/>
        <v>0</v>
      </c>
      <c r="AX190" s="857">
        <f t="shared" si="122"/>
        <v>0</v>
      </c>
      <c r="AY190" s="807">
        <f t="shared" si="97"/>
        <v>0</v>
      </c>
      <c r="AZ190" s="2934">
        <f t="shared" si="98"/>
        <v>0</v>
      </c>
      <c r="BA190" s="2934">
        <f t="shared" si="99"/>
        <v>0</v>
      </c>
      <c r="BB190" s="2934">
        <f t="shared" si="100"/>
        <v>0</v>
      </c>
      <c r="BC190" s="2934">
        <f t="shared" si="101"/>
        <v>0</v>
      </c>
      <c r="BD190" s="2934">
        <f t="shared" si="102"/>
        <v>0</v>
      </c>
      <c r="BE190" s="2934">
        <f t="shared" si="103"/>
        <v>0</v>
      </c>
      <c r="BF190" s="2934">
        <f t="shared" si="104"/>
        <v>0</v>
      </c>
      <c r="BG190" s="2934">
        <f t="shared" si="105"/>
        <v>0</v>
      </c>
      <c r="BH190" s="2934">
        <f t="shared" si="106"/>
        <v>0</v>
      </c>
      <c r="BI190" s="2934">
        <f t="shared" si="107"/>
        <v>0</v>
      </c>
      <c r="BJ190" s="2934">
        <f t="shared" si="108"/>
        <v>0</v>
      </c>
      <c r="BK190" s="2934">
        <f t="shared" si="109"/>
        <v>0</v>
      </c>
      <c r="BL190" s="2934">
        <f t="shared" si="110"/>
        <v>0</v>
      </c>
      <c r="BM190" s="2934">
        <f t="shared" si="111"/>
        <v>0</v>
      </c>
      <c r="BN190" s="2934">
        <f t="shared" si="112"/>
        <v>0</v>
      </c>
      <c r="BO190" s="2934">
        <f t="shared" si="113"/>
        <v>0</v>
      </c>
      <c r="BP190" s="2934">
        <f t="shared" si="114"/>
        <v>0</v>
      </c>
      <c r="BQ190" s="2934">
        <f t="shared" si="115"/>
        <v>0</v>
      </c>
      <c r="BR190" s="2934">
        <f t="shared" si="116"/>
        <v>0</v>
      </c>
      <c r="BS190" s="2934">
        <f t="shared" si="117"/>
        <v>0</v>
      </c>
      <c r="BT190" s="2982">
        <f t="shared" si="118"/>
        <v>0</v>
      </c>
    </row>
    <row r="191" spans="1:72">
      <c r="A191" s="874"/>
      <c r="B191" s="882"/>
      <c r="C191" s="882"/>
      <c r="D191" s="2933"/>
      <c r="E191" s="2934">
        <f t="shared" si="119"/>
        <v>0</v>
      </c>
      <c r="F191" s="2935"/>
      <c r="G191" s="2936">
        <f t="shared" si="94"/>
        <v>0</v>
      </c>
      <c r="H191" s="2937">
        <f t="shared" si="95"/>
        <v>0</v>
      </c>
      <c r="I191" s="2944"/>
      <c r="J191" s="2944"/>
      <c r="K191" s="2944"/>
      <c r="L191" s="2944"/>
      <c r="M191" s="2944"/>
      <c r="N191" s="2944"/>
      <c r="O191" s="2944"/>
      <c r="P191" s="2944"/>
      <c r="Q191" s="2944"/>
      <c r="R191" s="2944"/>
      <c r="S191" s="2944"/>
      <c r="T191" s="2944"/>
      <c r="U191" s="2944"/>
      <c r="V191" s="2944"/>
      <c r="W191" s="2944"/>
      <c r="X191" s="2944"/>
      <c r="Y191" s="2944"/>
      <c r="Z191" s="2944"/>
      <c r="AA191" s="2944"/>
      <c r="AB191" s="2944"/>
      <c r="AC191" s="2934">
        <f t="shared" si="96"/>
        <v>0</v>
      </c>
      <c r="AD191" s="2954"/>
      <c r="AE191" s="2954"/>
      <c r="AF191" s="2954"/>
      <c r="AG191" s="2954"/>
      <c r="AH191" s="2954"/>
      <c r="AI191" s="2954"/>
      <c r="AJ191" s="2954"/>
      <c r="AK191" s="2954"/>
      <c r="AL191" s="2954"/>
      <c r="AM191" s="2954"/>
      <c r="AN191" s="2954"/>
      <c r="AO191" s="2954"/>
      <c r="AP191" s="2954"/>
      <c r="AQ191" s="2954"/>
      <c r="AR191" s="2954"/>
      <c r="AS191" s="2954"/>
      <c r="AT191" s="2935"/>
      <c r="AU191" s="2964"/>
      <c r="AV191" s="857">
        <f t="shared" si="120"/>
        <v>0</v>
      </c>
      <c r="AW191" s="857">
        <f t="shared" si="121"/>
        <v>0</v>
      </c>
      <c r="AX191" s="857">
        <f t="shared" si="122"/>
        <v>0</v>
      </c>
      <c r="AY191" s="807">
        <f t="shared" si="97"/>
        <v>0</v>
      </c>
      <c r="AZ191" s="2934">
        <f t="shared" si="98"/>
        <v>0</v>
      </c>
      <c r="BA191" s="2934">
        <f t="shared" si="99"/>
        <v>0</v>
      </c>
      <c r="BB191" s="2934">
        <f t="shared" si="100"/>
        <v>0</v>
      </c>
      <c r="BC191" s="2934">
        <f t="shared" si="101"/>
        <v>0</v>
      </c>
      <c r="BD191" s="2934">
        <f t="shared" si="102"/>
        <v>0</v>
      </c>
      <c r="BE191" s="2934">
        <f t="shared" si="103"/>
        <v>0</v>
      </c>
      <c r="BF191" s="2934">
        <f t="shared" si="104"/>
        <v>0</v>
      </c>
      <c r="BG191" s="2934">
        <f t="shared" si="105"/>
        <v>0</v>
      </c>
      <c r="BH191" s="2934">
        <f t="shared" si="106"/>
        <v>0</v>
      </c>
      <c r="BI191" s="2934">
        <f t="shared" si="107"/>
        <v>0</v>
      </c>
      <c r="BJ191" s="2934">
        <f t="shared" si="108"/>
        <v>0</v>
      </c>
      <c r="BK191" s="2934">
        <f t="shared" si="109"/>
        <v>0</v>
      </c>
      <c r="BL191" s="2934">
        <f t="shared" si="110"/>
        <v>0</v>
      </c>
      <c r="BM191" s="2934">
        <f t="shared" si="111"/>
        <v>0</v>
      </c>
      <c r="BN191" s="2934">
        <f t="shared" si="112"/>
        <v>0</v>
      </c>
      <c r="BO191" s="2934">
        <f t="shared" si="113"/>
        <v>0</v>
      </c>
      <c r="BP191" s="2934">
        <f t="shared" si="114"/>
        <v>0</v>
      </c>
      <c r="BQ191" s="2934">
        <f t="shared" si="115"/>
        <v>0</v>
      </c>
      <c r="BR191" s="2934">
        <f t="shared" si="116"/>
        <v>0</v>
      </c>
      <c r="BS191" s="2934">
        <f t="shared" si="117"/>
        <v>0</v>
      </c>
      <c r="BT191" s="2982">
        <f t="shared" si="118"/>
        <v>0</v>
      </c>
    </row>
    <row r="192" spans="1:72">
      <c r="A192" s="874"/>
      <c r="B192" s="882"/>
      <c r="C192" s="882"/>
      <c r="D192" s="2933"/>
      <c r="E192" s="2934">
        <f t="shared" si="119"/>
        <v>0</v>
      </c>
      <c r="F192" s="2935"/>
      <c r="G192" s="2936">
        <f t="shared" si="94"/>
        <v>0</v>
      </c>
      <c r="H192" s="2937">
        <f t="shared" si="95"/>
        <v>0</v>
      </c>
      <c r="I192" s="2944"/>
      <c r="J192" s="2944"/>
      <c r="K192" s="2944"/>
      <c r="L192" s="2944"/>
      <c r="M192" s="2944"/>
      <c r="N192" s="2944"/>
      <c r="O192" s="2944"/>
      <c r="P192" s="2944"/>
      <c r="Q192" s="2944"/>
      <c r="R192" s="2944"/>
      <c r="S192" s="2944"/>
      <c r="T192" s="2944"/>
      <c r="U192" s="2944"/>
      <c r="V192" s="2944"/>
      <c r="W192" s="2944"/>
      <c r="X192" s="2944"/>
      <c r="Y192" s="2944"/>
      <c r="Z192" s="2944"/>
      <c r="AA192" s="2944"/>
      <c r="AB192" s="2944"/>
      <c r="AC192" s="2934">
        <f t="shared" si="96"/>
        <v>0</v>
      </c>
      <c r="AD192" s="2954"/>
      <c r="AE192" s="2954"/>
      <c r="AF192" s="2954"/>
      <c r="AG192" s="2954"/>
      <c r="AH192" s="2954"/>
      <c r="AI192" s="2954"/>
      <c r="AJ192" s="2954"/>
      <c r="AK192" s="2954"/>
      <c r="AL192" s="2954"/>
      <c r="AM192" s="2954"/>
      <c r="AN192" s="2954"/>
      <c r="AO192" s="2954"/>
      <c r="AP192" s="2954"/>
      <c r="AQ192" s="2954"/>
      <c r="AR192" s="2954"/>
      <c r="AS192" s="2954"/>
      <c r="AT192" s="2935"/>
      <c r="AU192" s="2964"/>
      <c r="AV192" s="857">
        <f t="shared" si="120"/>
        <v>0</v>
      </c>
      <c r="AW192" s="857">
        <f t="shared" si="121"/>
        <v>0</v>
      </c>
      <c r="AX192" s="857">
        <f t="shared" si="122"/>
        <v>0</v>
      </c>
      <c r="AY192" s="807">
        <f t="shared" si="97"/>
        <v>0</v>
      </c>
      <c r="AZ192" s="2934">
        <f t="shared" si="98"/>
        <v>0</v>
      </c>
      <c r="BA192" s="2934">
        <f t="shared" si="99"/>
        <v>0</v>
      </c>
      <c r="BB192" s="2934">
        <f t="shared" si="100"/>
        <v>0</v>
      </c>
      <c r="BC192" s="2934">
        <f t="shared" si="101"/>
        <v>0</v>
      </c>
      <c r="BD192" s="2934">
        <f t="shared" si="102"/>
        <v>0</v>
      </c>
      <c r="BE192" s="2934">
        <f t="shared" si="103"/>
        <v>0</v>
      </c>
      <c r="BF192" s="2934">
        <f t="shared" si="104"/>
        <v>0</v>
      </c>
      <c r="BG192" s="2934">
        <f t="shared" si="105"/>
        <v>0</v>
      </c>
      <c r="BH192" s="2934">
        <f t="shared" si="106"/>
        <v>0</v>
      </c>
      <c r="BI192" s="2934">
        <f t="shared" si="107"/>
        <v>0</v>
      </c>
      <c r="BJ192" s="2934">
        <f t="shared" si="108"/>
        <v>0</v>
      </c>
      <c r="BK192" s="2934">
        <f t="shared" si="109"/>
        <v>0</v>
      </c>
      <c r="BL192" s="2934">
        <f t="shared" si="110"/>
        <v>0</v>
      </c>
      <c r="BM192" s="2934">
        <f t="shared" si="111"/>
        <v>0</v>
      </c>
      <c r="BN192" s="2934">
        <f t="shared" si="112"/>
        <v>0</v>
      </c>
      <c r="BO192" s="2934">
        <f t="shared" si="113"/>
        <v>0</v>
      </c>
      <c r="BP192" s="2934">
        <f t="shared" si="114"/>
        <v>0</v>
      </c>
      <c r="BQ192" s="2934">
        <f t="shared" si="115"/>
        <v>0</v>
      </c>
      <c r="BR192" s="2934">
        <f t="shared" si="116"/>
        <v>0</v>
      </c>
      <c r="BS192" s="2934">
        <f t="shared" si="117"/>
        <v>0</v>
      </c>
      <c r="BT192" s="2982">
        <f t="shared" si="118"/>
        <v>0</v>
      </c>
    </row>
    <row r="193" spans="1:72">
      <c r="A193" s="874"/>
      <c r="B193" s="882"/>
      <c r="C193" s="882"/>
      <c r="D193" s="2933"/>
      <c r="E193" s="2934">
        <f t="shared" si="119"/>
        <v>0</v>
      </c>
      <c r="F193" s="2935"/>
      <c r="G193" s="2936">
        <f t="shared" si="94"/>
        <v>0</v>
      </c>
      <c r="H193" s="2937">
        <f t="shared" si="95"/>
        <v>0</v>
      </c>
      <c r="I193" s="2944"/>
      <c r="J193" s="2944"/>
      <c r="K193" s="2944"/>
      <c r="L193" s="2944"/>
      <c r="M193" s="2944"/>
      <c r="N193" s="2944"/>
      <c r="O193" s="2944"/>
      <c r="P193" s="2944"/>
      <c r="Q193" s="2944"/>
      <c r="R193" s="2944"/>
      <c r="S193" s="2944"/>
      <c r="T193" s="2944"/>
      <c r="U193" s="2944"/>
      <c r="V193" s="2944"/>
      <c r="W193" s="2944"/>
      <c r="X193" s="2944"/>
      <c r="Y193" s="2944"/>
      <c r="Z193" s="2944"/>
      <c r="AA193" s="2944"/>
      <c r="AB193" s="2944"/>
      <c r="AC193" s="2934">
        <f t="shared" si="96"/>
        <v>0</v>
      </c>
      <c r="AD193" s="2954"/>
      <c r="AE193" s="2954"/>
      <c r="AF193" s="2954"/>
      <c r="AG193" s="2954"/>
      <c r="AH193" s="2954"/>
      <c r="AI193" s="2954"/>
      <c r="AJ193" s="2954"/>
      <c r="AK193" s="2954"/>
      <c r="AL193" s="2954"/>
      <c r="AM193" s="2954"/>
      <c r="AN193" s="2954"/>
      <c r="AO193" s="2954"/>
      <c r="AP193" s="2954"/>
      <c r="AQ193" s="2954"/>
      <c r="AR193" s="2954"/>
      <c r="AS193" s="2954"/>
      <c r="AT193" s="2935"/>
      <c r="AU193" s="2964"/>
      <c r="AV193" s="857">
        <f t="shared" si="120"/>
        <v>0</v>
      </c>
      <c r="AW193" s="857">
        <f t="shared" si="121"/>
        <v>0</v>
      </c>
      <c r="AX193" s="857">
        <f t="shared" si="122"/>
        <v>0</v>
      </c>
      <c r="AY193" s="807">
        <f t="shared" si="97"/>
        <v>0</v>
      </c>
      <c r="AZ193" s="2934">
        <f t="shared" si="98"/>
        <v>0</v>
      </c>
      <c r="BA193" s="2934">
        <f t="shared" si="99"/>
        <v>0</v>
      </c>
      <c r="BB193" s="2934">
        <f t="shared" si="100"/>
        <v>0</v>
      </c>
      <c r="BC193" s="2934">
        <f t="shared" si="101"/>
        <v>0</v>
      </c>
      <c r="BD193" s="2934">
        <f t="shared" si="102"/>
        <v>0</v>
      </c>
      <c r="BE193" s="2934">
        <f t="shared" si="103"/>
        <v>0</v>
      </c>
      <c r="BF193" s="2934">
        <f t="shared" si="104"/>
        <v>0</v>
      </c>
      <c r="BG193" s="2934">
        <f t="shared" si="105"/>
        <v>0</v>
      </c>
      <c r="BH193" s="2934">
        <f t="shared" si="106"/>
        <v>0</v>
      </c>
      <c r="BI193" s="2934">
        <f t="shared" si="107"/>
        <v>0</v>
      </c>
      <c r="BJ193" s="2934">
        <f t="shared" si="108"/>
        <v>0</v>
      </c>
      <c r="BK193" s="2934">
        <f t="shared" si="109"/>
        <v>0</v>
      </c>
      <c r="BL193" s="2934">
        <f t="shared" si="110"/>
        <v>0</v>
      </c>
      <c r="BM193" s="2934">
        <f t="shared" si="111"/>
        <v>0</v>
      </c>
      <c r="BN193" s="2934">
        <f t="shared" si="112"/>
        <v>0</v>
      </c>
      <c r="BO193" s="2934">
        <f t="shared" si="113"/>
        <v>0</v>
      </c>
      <c r="BP193" s="2934">
        <f t="shared" si="114"/>
        <v>0</v>
      </c>
      <c r="BQ193" s="2934">
        <f t="shared" si="115"/>
        <v>0</v>
      </c>
      <c r="BR193" s="2934">
        <f t="shared" si="116"/>
        <v>0</v>
      </c>
      <c r="BS193" s="2934">
        <f t="shared" si="117"/>
        <v>0</v>
      </c>
      <c r="BT193" s="2982">
        <f t="shared" si="118"/>
        <v>0</v>
      </c>
    </row>
    <row r="194" spans="1:72">
      <c r="A194" s="874"/>
      <c r="B194" s="882"/>
      <c r="C194" s="882"/>
      <c r="D194" s="2933"/>
      <c r="E194" s="2934">
        <f t="shared" si="119"/>
        <v>0</v>
      </c>
      <c r="F194" s="2935"/>
      <c r="G194" s="2936">
        <f t="shared" si="94"/>
        <v>0</v>
      </c>
      <c r="H194" s="2937">
        <f t="shared" si="95"/>
        <v>0</v>
      </c>
      <c r="I194" s="2944"/>
      <c r="J194" s="2944"/>
      <c r="K194" s="2944"/>
      <c r="L194" s="2944"/>
      <c r="M194" s="2944"/>
      <c r="N194" s="2944"/>
      <c r="O194" s="2944"/>
      <c r="P194" s="2944"/>
      <c r="Q194" s="2944"/>
      <c r="R194" s="2944"/>
      <c r="S194" s="2944"/>
      <c r="T194" s="2944"/>
      <c r="U194" s="2944"/>
      <c r="V194" s="2944"/>
      <c r="W194" s="2944"/>
      <c r="X194" s="2944"/>
      <c r="Y194" s="2944"/>
      <c r="Z194" s="2944"/>
      <c r="AA194" s="2944"/>
      <c r="AB194" s="2944"/>
      <c r="AC194" s="2934">
        <f t="shared" si="96"/>
        <v>0</v>
      </c>
      <c r="AD194" s="2954"/>
      <c r="AE194" s="2954"/>
      <c r="AF194" s="2954"/>
      <c r="AG194" s="2954"/>
      <c r="AH194" s="2954"/>
      <c r="AI194" s="2954"/>
      <c r="AJ194" s="2954"/>
      <c r="AK194" s="2954"/>
      <c r="AL194" s="2954"/>
      <c r="AM194" s="2954"/>
      <c r="AN194" s="2954"/>
      <c r="AO194" s="2954"/>
      <c r="AP194" s="2954"/>
      <c r="AQ194" s="2954"/>
      <c r="AR194" s="2954"/>
      <c r="AS194" s="2954"/>
      <c r="AT194" s="2935"/>
      <c r="AU194" s="2964"/>
      <c r="AV194" s="857">
        <f t="shared" si="120"/>
        <v>0</v>
      </c>
      <c r="AW194" s="857">
        <f t="shared" si="121"/>
        <v>0</v>
      </c>
      <c r="AX194" s="857">
        <f t="shared" si="122"/>
        <v>0</v>
      </c>
      <c r="AY194" s="807">
        <f t="shared" si="97"/>
        <v>0</v>
      </c>
      <c r="AZ194" s="2934">
        <f t="shared" si="98"/>
        <v>0</v>
      </c>
      <c r="BA194" s="2934">
        <f t="shared" si="99"/>
        <v>0</v>
      </c>
      <c r="BB194" s="2934">
        <f t="shared" si="100"/>
        <v>0</v>
      </c>
      <c r="BC194" s="2934">
        <f t="shared" si="101"/>
        <v>0</v>
      </c>
      <c r="BD194" s="2934">
        <f t="shared" si="102"/>
        <v>0</v>
      </c>
      <c r="BE194" s="2934">
        <f t="shared" si="103"/>
        <v>0</v>
      </c>
      <c r="BF194" s="2934">
        <f t="shared" si="104"/>
        <v>0</v>
      </c>
      <c r="BG194" s="2934">
        <f t="shared" si="105"/>
        <v>0</v>
      </c>
      <c r="BH194" s="2934">
        <f t="shared" si="106"/>
        <v>0</v>
      </c>
      <c r="BI194" s="2934">
        <f t="shared" si="107"/>
        <v>0</v>
      </c>
      <c r="BJ194" s="2934">
        <f t="shared" si="108"/>
        <v>0</v>
      </c>
      <c r="BK194" s="2934">
        <f t="shared" si="109"/>
        <v>0</v>
      </c>
      <c r="BL194" s="2934">
        <f t="shared" si="110"/>
        <v>0</v>
      </c>
      <c r="BM194" s="2934">
        <f t="shared" si="111"/>
        <v>0</v>
      </c>
      <c r="BN194" s="2934">
        <f t="shared" si="112"/>
        <v>0</v>
      </c>
      <c r="BO194" s="2934">
        <f t="shared" si="113"/>
        <v>0</v>
      </c>
      <c r="BP194" s="2934">
        <f t="shared" si="114"/>
        <v>0</v>
      </c>
      <c r="BQ194" s="2934">
        <f t="shared" si="115"/>
        <v>0</v>
      </c>
      <c r="BR194" s="2934">
        <f t="shared" si="116"/>
        <v>0</v>
      </c>
      <c r="BS194" s="2934">
        <f t="shared" si="117"/>
        <v>0</v>
      </c>
      <c r="BT194" s="2982">
        <f t="shared" si="118"/>
        <v>0</v>
      </c>
    </row>
    <row r="195" spans="1:72">
      <c r="A195" s="874"/>
      <c r="B195" s="882"/>
      <c r="C195" s="882"/>
      <c r="D195" s="2933"/>
      <c r="E195" s="2934">
        <f t="shared" si="119"/>
        <v>0</v>
      </c>
      <c r="F195" s="2935"/>
      <c r="G195" s="2936">
        <f t="shared" si="94"/>
        <v>0</v>
      </c>
      <c r="H195" s="2937">
        <f t="shared" si="95"/>
        <v>0</v>
      </c>
      <c r="I195" s="2944"/>
      <c r="J195" s="2944"/>
      <c r="K195" s="2944"/>
      <c r="L195" s="2944"/>
      <c r="M195" s="2944"/>
      <c r="N195" s="2944"/>
      <c r="O195" s="2944"/>
      <c r="P195" s="2944"/>
      <c r="Q195" s="2944"/>
      <c r="R195" s="2944"/>
      <c r="S195" s="2944"/>
      <c r="T195" s="2944"/>
      <c r="U195" s="2944"/>
      <c r="V195" s="2944"/>
      <c r="W195" s="2944"/>
      <c r="X195" s="2944"/>
      <c r="Y195" s="2944"/>
      <c r="Z195" s="2944"/>
      <c r="AA195" s="2944"/>
      <c r="AB195" s="2944"/>
      <c r="AC195" s="2934">
        <f t="shared" si="96"/>
        <v>0</v>
      </c>
      <c r="AD195" s="2954"/>
      <c r="AE195" s="2954"/>
      <c r="AF195" s="2954"/>
      <c r="AG195" s="2954"/>
      <c r="AH195" s="2954"/>
      <c r="AI195" s="2954"/>
      <c r="AJ195" s="2954"/>
      <c r="AK195" s="2954"/>
      <c r="AL195" s="2954"/>
      <c r="AM195" s="2954"/>
      <c r="AN195" s="2954"/>
      <c r="AO195" s="2954"/>
      <c r="AP195" s="2954"/>
      <c r="AQ195" s="2954"/>
      <c r="AR195" s="2954"/>
      <c r="AS195" s="2954"/>
      <c r="AT195" s="2935"/>
      <c r="AU195" s="2964"/>
      <c r="AV195" s="857">
        <f t="shared" si="120"/>
        <v>0</v>
      </c>
      <c r="AW195" s="857">
        <f t="shared" si="121"/>
        <v>0</v>
      </c>
      <c r="AX195" s="857">
        <f t="shared" si="122"/>
        <v>0</v>
      </c>
      <c r="AY195" s="807">
        <f t="shared" si="97"/>
        <v>0</v>
      </c>
      <c r="AZ195" s="2934">
        <f t="shared" si="98"/>
        <v>0</v>
      </c>
      <c r="BA195" s="2934">
        <f t="shared" si="99"/>
        <v>0</v>
      </c>
      <c r="BB195" s="2934">
        <f t="shared" si="100"/>
        <v>0</v>
      </c>
      <c r="BC195" s="2934">
        <f t="shared" si="101"/>
        <v>0</v>
      </c>
      <c r="BD195" s="2934">
        <f t="shared" si="102"/>
        <v>0</v>
      </c>
      <c r="BE195" s="2934">
        <f t="shared" si="103"/>
        <v>0</v>
      </c>
      <c r="BF195" s="2934">
        <f t="shared" si="104"/>
        <v>0</v>
      </c>
      <c r="BG195" s="2934">
        <f t="shared" si="105"/>
        <v>0</v>
      </c>
      <c r="BH195" s="2934">
        <f t="shared" si="106"/>
        <v>0</v>
      </c>
      <c r="BI195" s="2934">
        <f t="shared" si="107"/>
        <v>0</v>
      </c>
      <c r="BJ195" s="2934">
        <f t="shared" si="108"/>
        <v>0</v>
      </c>
      <c r="BK195" s="2934">
        <f t="shared" si="109"/>
        <v>0</v>
      </c>
      <c r="BL195" s="2934">
        <f t="shared" si="110"/>
        <v>0</v>
      </c>
      <c r="BM195" s="2934">
        <f t="shared" si="111"/>
        <v>0</v>
      </c>
      <c r="BN195" s="2934">
        <f t="shared" si="112"/>
        <v>0</v>
      </c>
      <c r="BO195" s="2934">
        <f t="shared" si="113"/>
        <v>0</v>
      </c>
      <c r="BP195" s="2934">
        <f t="shared" si="114"/>
        <v>0</v>
      </c>
      <c r="BQ195" s="2934">
        <f t="shared" si="115"/>
        <v>0</v>
      </c>
      <c r="BR195" s="2934">
        <f t="shared" si="116"/>
        <v>0</v>
      </c>
      <c r="BS195" s="2934">
        <f t="shared" si="117"/>
        <v>0</v>
      </c>
      <c r="BT195" s="2982">
        <f t="shared" si="118"/>
        <v>0</v>
      </c>
    </row>
    <row r="196" spans="1:72">
      <c r="A196" s="874"/>
      <c r="B196" s="882"/>
      <c r="C196" s="882"/>
      <c r="D196" s="2933"/>
      <c r="E196" s="2934">
        <f t="shared" si="119"/>
        <v>0</v>
      </c>
      <c r="F196" s="2935"/>
      <c r="G196" s="2936">
        <f t="shared" si="94"/>
        <v>0</v>
      </c>
      <c r="H196" s="2937">
        <f t="shared" si="95"/>
        <v>0</v>
      </c>
      <c r="I196" s="2944"/>
      <c r="J196" s="2944"/>
      <c r="K196" s="2944"/>
      <c r="L196" s="2944"/>
      <c r="M196" s="2944"/>
      <c r="N196" s="2944"/>
      <c r="O196" s="2944"/>
      <c r="P196" s="2944"/>
      <c r="Q196" s="2944"/>
      <c r="R196" s="2944"/>
      <c r="S196" s="2944"/>
      <c r="T196" s="2944"/>
      <c r="U196" s="2944"/>
      <c r="V196" s="2944"/>
      <c r="W196" s="2944"/>
      <c r="X196" s="2944"/>
      <c r="Y196" s="2944"/>
      <c r="Z196" s="2944"/>
      <c r="AA196" s="2944"/>
      <c r="AB196" s="2944"/>
      <c r="AC196" s="2934">
        <f t="shared" si="96"/>
        <v>0</v>
      </c>
      <c r="AD196" s="2954"/>
      <c r="AE196" s="2954"/>
      <c r="AF196" s="2954"/>
      <c r="AG196" s="2954"/>
      <c r="AH196" s="2954"/>
      <c r="AI196" s="2954"/>
      <c r="AJ196" s="2954"/>
      <c r="AK196" s="2954"/>
      <c r="AL196" s="2954"/>
      <c r="AM196" s="2954"/>
      <c r="AN196" s="2954"/>
      <c r="AO196" s="2954"/>
      <c r="AP196" s="2954"/>
      <c r="AQ196" s="2954"/>
      <c r="AR196" s="2954"/>
      <c r="AS196" s="2954"/>
      <c r="AT196" s="2935"/>
      <c r="AU196" s="2964"/>
      <c r="AV196" s="857">
        <f t="shared" si="120"/>
        <v>0</v>
      </c>
      <c r="AW196" s="857">
        <f t="shared" si="121"/>
        <v>0</v>
      </c>
      <c r="AX196" s="857">
        <f t="shared" si="122"/>
        <v>0</v>
      </c>
      <c r="AY196" s="807">
        <f t="shared" si="97"/>
        <v>0</v>
      </c>
      <c r="AZ196" s="2934">
        <f t="shared" si="98"/>
        <v>0</v>
      </c>
      <c r="BA196" s="2934">
        <f t="shared" si="99"/>
        <v>0</v>
      </c>
      <c r="BB196" s="2934">
        <f t="shared" si="100"/>
        <v>0</v>
      </c>
      <c r="BC196" s="2934">
        <f t="shared" si="101"/>
        <v>0</v>
      </c>
      <c r="BD196" s="2934">
        <f t="shared" si="102"/>
        <v>0</v>
      </c>
      <c r="BE196" s="2934">
        <f t="shared" si="103"/>
        <v>0</v>
      </c>
      <c r="BF196" s="2934">
        <f t="shared" si="104"/>
        <v>0</v>
      </c>
      <c r="BG196" s="2934">
        <f t="shared" si="105"/>
        <v>0</v>
      </c>
      <c r="BH196" s="2934">
        <f t="shared" si="106"/>
        <v>0</v>
      </c>
      <c r="BI196" s="2934">
        <f t="shared" si="107"/>
        <v>0</v>
      </c>
      <c r="BJ196" s="2934">
        <f t="shared" si="108"/>
        <v>0</v>
      </c>
      <c r="BK196" s="2934">
        <f t="shared" si="109"/>
        <v>0</v>
      </c>
      <c r="BL196" s="2934">
        <f t="shared" si="110"/>
        <v>0</v>
      </c>
      <c r="BM196" s="2934">
        <f t="shared" si="111"/>
        <v>0</v>
      </c>
      <c r="BN196" s="2934">
        <f t="shared" si="112"/>
        <v>0</v>
      </c>
      <c r="BO196" s="2934">
        <f t="shared" si="113"/>
        <v>0</v>
      </c>
      <c r="BP196" s="2934">
        <f t="shared" si="114"/>
        <v>0</v>
      </c>
      <c r="BQ196" s="2934">
        <f t="shared" si="115"/>
        <v>0</v>
      </c>
      <c r="BR196" s="2934">
        <f t="shared" si="116"/>
        <v>0</v>
      </c>
      <c r="BS196" s="2934">
        <f t="shared" si="117"/>
        <v>0</v>
      </c>
      <c r="BT196" s="2982">
        <f t="shared" si="118"/>
        <v>0</v>
      </c>
    </row>
    <row r="197" spans="1:72">
      <c r="A197" s="874"/>
      <c r="B197" s="882"/>
      <c r="C197" s="882"/>
      <c r="D197" s="2933"/>
      <c r="E197" s="2934">
        <f t="shared" si="119"/>
        <v>0</v>
      </c>
      <c r="F197" s="2935"/>
      <c r="G197" s="2936">
        <f t="shared" si="94"/>
        <v>0</v>
      </c>
      <c r="H197" s="2937">
        <f t="shared" si="95"/>
        <v>0</v>
      </c>
      <c r="I197" s="2944"/>
      <c r="J197" s="2944"/>
      <c r="K197" s="2944"/>
      <c r="L197" s="2944"/>
      <c r="M197" s="2944"/>
      <c r="N197" s="2944"/>
      <c r="O197" s="2944"/>
      <c r="P197" s="2944"/>
      <c r="Q197" s="2944"/>
      <c r="R197" s="2944"/>
      <c r="S197" s="2944"/>
      <c r="T197" s="2944"/>
      <c r="U197" s="2944"/>
      <c r="V197" s="2944"/>
      <c r="W197" s="2944"/>
      <c r="X197" s="2944"/>
      <c r="Y197" s="2944"/>
      <c r="Z197" s="2944"/>
      <c r="AA197" s="2944"/>
      <c r="AB197" s="2944"/>
      <c r="AC197" s="2934">
        <f t="shared" si="96"/>
        <v>0</v>
      </c>
      <c r="AD197" s="2954"/>
      <c r="AE197" s="2954"/>
      <c r="AF197" s="2954"/>
      <c r="AG197" s="2954"/>
      <c r="AH197" s="2954"/>
      <c r="AI197" s="2954"/>
      <c r="AJ197" s="2954"/>
      <c r="AK197" s="2954"/>
      <c r="AL197" s="2954"/>
      <c r="AM197" s="2954"/>
      <c r="AN197" s="2954"/>
      <c r="AO197" s="2954"/>
      <c r="AP197" s="2954"/>
      <c r="AQ197" s="2954"/>
      <c r="AR197" s="2954"/>
      <c r="AS197" s="2954"/>
      <c r="AT197" s="2935"/>
      <c r="AU197" s="2964"/>
      <c r="AV197" s="857">
        <f t="shared" si="120"/>
        <v>0</v>
      </c>
      <c r="AW197" s="857">
        <f t="shared" si="121"/>
        <v>0</v>
      </c>
      <c r="AX197" s="857">
        <f t="shared" si="122"/>
        <v>0</v>
      </c>
      <c r="AY197" s="807">
        <f t="shared" si="97"/>
        <v>0</v>
      </c>
      <c r="AZ197" s="2934">
        <f t="shared" si="98"/>
        <v>0</v>
      </c>
      <c r="BA197" s="2934">
        <f t="shared" si="99"/>
        <v>0</v>
      </c>
      <c r="BB197" s="2934">
        <f t="shared" si="100"/>
        <v>0</v>
      </c>
      <c r="BC197" s="2934">
        <f t="shared" si="101"/>
        <v>0</v>
      </c>
      <c r="BD197" s="2934">
        <f t="shared" si="102"/>
        <v>0</v>
      </c>
      <c r="BE197" s="2934">
        <f t="shared" si="103"/>
        <v>0</v>
      </c>
      <c r="BF197" s="2934">
        <f t="shared" si="104"/>
        <v>0</v>
      </c>
      <c r="BG197" s="2934">
        <f t="shared" si="105"/>
        <v>0</v>
      </c>
      <c r="BH197" s="2934">
        <f t="shared" si="106"/>
        <v>0</v>
      </c>
      <c r="BI197" s="2934">
        <f t="shared" si="107"/>
        <v>0</v>
      </c>
      <c r="BJ197" s="2934">
        <f t="shared" si="108"/>
        <v>0</v>
      </c>
      <c r="BK197" s="2934">
        <f t="shared" si="109"/>
        <v>0</v>
      </c>
      <c r="BL197" s="2934">
        <f t="shared" si="110"/>
        <v>0</v>
      </c>
      <c r="BM197" s="2934">
        <f t="shared" si="111"/>
        <v>0</v>
      </c>
      <c r="BN197" s="2934">
        <f t="shared" si="112"/>
        <v>0</v>
      </c>
      <c r="BO197" s="2934">
        <f t="shared" si="113"/>
        <v>0</v>
      </c>
      <c r="BP197" s="2934">
        <f t="shared" si="114"/>
        <v>0</v>
      </c>
      <c r="BQ197" s="2934">
        <f t="shared" si="115"/>
        <v>0</v>
      </c>
      <c r="BR197" s="2934">
        <f t="shared" si="116"/>
        <v>0</v>
      </c>
      <c r="BS197" s="2934">
        <f t="shared" si="117"/>
        <v>0</v>
      </c>
      <c r="BT197" s="2982">
        <f t="shared" si="118"/>
        <v>0</v>
      </c>
    </row>
    <row r="198" spans="1:72">
      <c r="A198" s="874"/>
      <c r="B198" s="882"/>
      <c r="C198" s="882"/>
      <c r="D198" s="2933"/>
      <c r="E198" s="2934">
        <f t="shared" si="119"/>
        <v>0</v>
      </c>
      <c r="F198" s="2935"/>
      <c r="G198" s="2936">
        <f t="shared" si="94"/>
        <v>0</v>
      </c>
      <c r="H198" s="2937">
        <f t="shared" si="95"/>
        <v>0</v>
      </c>
      <c r="I198" s="2944"/>
      <c r="J198" s="2944"/>
      <c r="K198" s="2944"/>
      <c r="L198" s="2944"/>
      <c r="M198" s="2944"/>
      <c r="N198" s="2944"/>
      <c r="O198" s="2944"/>
      <c r="P198" s="2944"/>
      <c r="Q198" s="2944"/>
      <c r="R198" s="2944"/>
      <c r="S198" s="2944"/>
      <c r="T198" s="2944"/>
      <c r="U198" s="2944"/>
      <c r="V198" s="2944"/>
      <c r="W198" s="2944"/>
      <c r="X198" s="2944"/>
      <c r="Y198" s="2944"/>
      <c r="Z198" s="2944"/>
      <c r="AA198" s="2944"/>
      <c r="AB198" s="2944"/>
      <c r="AC198" s="2934">
        <f t="shared" si="96"/>
        <v>0</v>
      </c>
      <c r="AD198" s="2954"/>
      <c r="AE198" s="2954"/>
      <c r="AF198" s="2954"/>
      <c r="AG198" s="2954"/>
      <c r="AH198" s="2954"/>
      <c r="AI198" s="2954"/>
      <c r="AJ198" s="2954"/>
      <c r="AK198" s="2954"/>
      <c r="AL198" s="2954"/>
      <c r="AM198" s="2954"/>
      <c r="AN198" s="2954"/>
      <c r="AO198" s="2954"/>
      <c r="AP198" s="2954"/>
      <c r="AQ198" s="2954"/>
      <c r="AR198" s="2954"/>
      <c r="AS198" s="2954"/>
      <c r="AT198" s="2935"/>
      <c r="AU198" s="2964"/>
      <c r="AV198" s="857">
        <f t="shared" si="120"/>
        <v>0</v>
      </c>
      <c r="AW198" s="857">
        <f t="shared" si="121"/>
        <v>0</v>
      </c>
      <c r="AX198" s="857">
        <f t="shared" si="122"/>
        <v>0</v>
      </c>
      <c r="AY198" s="807">
        <f t="shared" si="97"/>
        <v>0</v>
      </c>
      <c r="AZ198" s="2934">
        <f t="shared" si="98"/>
        <v>0</v>
      </c>
      <c r="BA198" s="2934">
        <f t="shared" si="99"/>
        <v>0</v>
      </c>
      <c r="BB198" s="2934">
        <f t="shared" si="100"/>
        <v>0</v>
      </c>
      <c r="BC198" s="2934">
        <f t="shared" si="101"/>
        <v>0</v>
      </c>
      <c r="BD198" s="2934">
        <f t="shared" si="102"/>
        <v>0</v>
      </c>
      <c r="BE198" s="2934">
        <f t="shared" si="103"/>
        <v>0</v>
      </c>
      <c r="BF198" s="2934">
        <f t="shared" si="104"/>
        <v>0</v>
      </c>
      <c r="BG198" s="2934">
        <f t="shared" si="105"/>
        <v>0</v>
      </c>
      <c r="BH198" s="2934">
        <f t="shared" si="106"/>
        <v>0</v>
      </c>
      <c r="BI198" s="2934">
        <f t="shared" si="107"/>
        <v>0</v>
      </c>
      <c r="BJ198" s="2934">
        <f t="shared" si="108"/>
        <v>0</v>
      </c>
      <c r="BK198" s="2934">
        <f t="shared" si="109"/>
        <v>0</v>
      </c>
      <c r="BL198" s="2934">
        <f t="shared" si="110"/>
        <v>0</v>
      </c>
      <c r="BM198" s="2934">
        <f t="shared" si="111"/>
        <v>0</v>
      </c>
      <c r="BN198" s="2934">
        <f t="shared" si="112"/>
        <v>0</v>
      </c>
      <c r="BO198" s="2934">
        <f t="shared" si="113"/>
        <v>0</v>
      </c>
      <c r="BP198" s="2934">
        <f t="shared" si="114"/>
        <v>0</v>
      </c>
      <c r="BQ198" s="2934">
        <f t="shared" si="115"/>
        <v>0</v>
      </c>
      <c r="BR198" s="2934">
        <f t="shared" si="116"/>
        <v>0</v>
      </c>
      <c r="BS198" s="2934">
        <f t="shared" si="117"/>
        <v>0</v>
      </c>
      <c r="BT198" s="2982">
        <f t="shared" si="118"/>
        <v>0</v>
      </c>
    </row>
    <row r="199" spans="1:72">
      <c r="A199" s="874"/>
      <c r="B199" s="882"/>
      <c r="C199" s="882"/>
      <c r="D199" s="2933"/>
      <c r="E199" s="2934">
        <f t="shared" si="119"/>
        <v>0</v>
      </c>
      <c r="F199" s="2935"/>
      <c r="G199" s="2936">
        <f t="shared" si="94"/>
        <v>0</v>
      </c>
      <c r="H199" s="2937">
        <f t="shared" si="95"/>
        <v>0</v>
      </c>
      <c r="I199" s="2944"/>
      <c r="J199" s="2944"/>
      <c r="K199" s="2944"/>
      <c r="L199" s="2944"/>
      <c r="M199" s="2944"/>
      <c r="N199" s="2944"/>
      <c r="O199" s="2944"/>
      <c r="P199" s="2944"/>
      <c r="Q199" s="2944"/>
      <c r="R199" s="2944"/>
      <c r="S199" s="2944"/>
      <c r="T199" s="2944"/>
      <c r="U199" s="2944"/>
      <c r="V199" s="2944"/>
      <c r="W199" s="2944"/>
      <c r="X199" s="2944"/>
      <c r="Y199" s="2944"/>
      <c r="Z199" s="2944"/>
      <c r="AA199" s="2944"/>
      <c r="AB199" s="2944"/>
      <c r="AC199" s="2934">
        <f t="shared" si="96"/>
        <v>0</v>
      </c>
      <c r="AD199" s="2954"/>
      <c r="AE199" s="2954"/>
      <c r="AF199" s="2954"/>
      <c r="AG199" s="2954"/>
      <c r="AH199" s="2954"/>
      <c r="AI199" s="2954"/>
      <c r="AJ199" s="2954"/>
      <c r="AK199" s="2954"/>
      <c r="AL199" s="2954"/>
      <c r="AM199" s="2954"/>
      <c r="AN199" s="2954"/>
      <c r="AO199" s="2954"/>
      <c r="AP199" s="2954"/>
      <c r="AQ199" s="2954"/>
      <c r="AR199" s="2954"/>
      <c r="AS199" s="2954"/>
      <c r="AT199" s="2935"/>
      <c r="AU199" s="2964"/>
      <c r="AV199" s="857">
        <f t="shared" si="120"/>
        <v>0</v>
      </c>
      <c r="AW199" s="857">
        <f t="shared" si="121"/>
        <v>0</v>
      </c>
      <c r="AX199" s="857">
        <f t="shared" si="122"/>
        <v>0</v>
      </c>
      <c r="AY199" s="807">
        <f t="shared" si="97"/>
        <v>0</v>
      </c>
      <c r="AZ199" s="2934">
        <f t="shared" si="98"/>
        <v>0</v>
      </c>
      <c r="BA199" s="2934">
        <f t="shared" si="99"/>
        <v>0</v>
      </c>
      <c r="BB199" s="2934">
        <f t="shared" si="100"/>
        <v>0</v>
      </c>
      <c r="BC199" s="2934">
        <f t="shared" si="101"/>
        <v>0</v>
      </c>
      <c r="BD199" s="2934">
        <f t="shared" si="102"/>
        <v>0</v>
      </c>
      <c r="BE199" s="2934">
        <f t="shared" si="103"/>
        <v>0</v>
      </c>
      <c r="BF199" s="2934">
        <f t="shared" si="104"/>
        <v>0</v>
      </c>
      <c r="BG199" s="2934">
        <f t="shared" si="105"/>
        <v>0</v>
      </c>
      <c r="BH199" s="2934">
        <f t="shared" si="106"/>
        <v>0</v>
      </c>
      <c r="BI199" s="2934">
        <f t="shared" si="107"/>
        <v>0</v>
      </c>
      <c r="BJ199" s="2934">
        <f t="shared" si="108"/>
        <v>0</v>
      </c>
      <c r="BK199" s="2934">
        <f t="shared" si="109"/>
        <v>0</v>
      </c>
      <c r="BL199" s="2934">
        <f t="shared" si="110"/>
        <v>0</v>
      </c>
      <c r="BM199" s="2934">
        <f t="shared" si="111"/>
        <v>0</v>
      </c>
      <c r="BN199" s="2934">
        <f t="shared" si="112"/>
        <v>0</v>
      </c>
      <c r="BO199" s="2934">
        <f t="shared" si="113"/>
        <v>0</v>
      </c>
      <c r="BP199" s="2934">
        <f t="shared" si="114"/>
        <v>0</v>
      </c>
      <c r="BQ199" s="2934">
        <f t="shared" si="115"/>
        <v>0</v>
      </c>
      <c r="BR199" s="2934">
        <f t="shared" si="116"/>
        <v>0</v>
      </c>
      <c r="BS199" s="2934">
        <f t="shared" si="117"/>
        <v>0</v>
      </c>
      <c r="BT199" s="2982">
        <f t="shared" si="118"/>
        <v>0</v>
      </c>
    </row>
    <row r="200" spans="1:72">
      <c r="A200" s="874"/>
      <c r="B200" s="882"/>
      <c r="C200" s="882"/>
      <c r="D200" s="2933"/>
      <c r="E200" s="2934">
        <f t="shared" si="119"/>
        <v>0</v>
      </c>
      <c r="F200" s="2935"/>
      <c r="G200" s="2936">
        <f t="shared" si="94"/>
        <v>0</v>
      </c>
      <c r="H200" s="2937">
        <f t="shared" si="95"/>
        <v>0</v>
      </c>
      <c r="I200" s="2944"/>
      <c r="J200" s="2944"/>
      <c r="K200" s="2944"/>
      <c r="L200" s="2944"/>
      <c r="M200" s="2944"/>
      <c r="N200" s="2944"/>
      <c r="O200" s="2944"/>
      <c r="P200" s="2944"/>
      <c r="Q200" s="2944"/>
      <c r="R200" s="2944"/>
      <c r="S200" s="2944"/>
      <c r="T200" s="2944"/>
      <c r="U200" s="2944"/>
      <c r="V200" s="2944"/>
      <c r="W200" s="2944"/>
      <c r="X200" s="2944"/>
      <c r="Y200" s="2944"/>
      <c r="Z200" s="2944"/>
      <c r="AA200" s="2944"/>
      <c r="AB200" s="2944"/>
      <c r="AC200" s="2934">
        <f t="shared" si="96"/>
        <v>0</v>
      </c>
      <c r="AD200" s="2954"/>
      <c r="AE200" s="2954"/>
      <c r="AF200" s="2954"/>
      <c r="AG200" s="2954"/>
      <c r="AH200" s="2954"/>
      <c r="AI200" s="2954"/>
      <c r="AJ200" s="2954"/>
      <c r="AK200" s="2954"/>
      <c r="AL200" s="2954"/>
      <c r="AM200" s="2954"/>
      <c r="AN200" s="2954"/>
      <c r="AO200" s="2954"/>
      <c r="AP200" s="2954"/>
      <c r="AQ200" s="2954"/>
      <c r="AR200" s="2954"/>
      <c r="AS200" s="2954"/>
      <c r="AT200" s="2935"/>
      <c r="AU200" s="2964"/>
      <c r="AV200" s="857">
        <f t="shared" si="120"/>
        <v>0</v>
      </c>
      <c r="AW200" s="857">
        <f t="shared" si="121"/>
        <v>0</v>
      </c>
      <c r="AX200" s="857">
        <f t="shared" si="122"/>
        <v>0</v>
      </c>
      <c r="AY200" s="807">
        <f t="shared" si="97"/>
        <v>0</v>
      </c>
      <c r="AZ200" s="2934">
        <f t="shared" si="98"/>
        <v>0</v>
      </c>
      <c r="BA200" s="2934">
        <f t="shared" si="99"/>
        <v>0</v>
      </c>
      <c r="BB200" s="2934">
        <f t="shared" si="100"/>
        <v>0</v>
      </c>
      <c r="BC200" s="2934">
        <f t="shared" si="101"/>
        <v>0</v>
      </c>
      <c r="BD200" s="2934">
        <f t="shared" si="102"/>
        <v>0</v>
      </c>
      <c r="BE200" s="2934">
        <f t="shared" si="103"/>
        <v>0</v>
      </c>
      <c r="BF200" s="2934">
        <f t="shared" si="104"/>
        <v>0</v>
      </c>
      <c r="BG200" s="2934">
        <f t="shared" si="105"/>
        <v>0</v>
      </c>
      <c r="BH200" s="2934">
        <f t="shared" si="106"/>
        <v>0</v>
      </c>
      <c r="BI200" s="2934">
        <f t="shared" si="107"/>
        <v>0</v>
      </c>
      <c r="BJ200" s="2934">
        <f t="shared" si="108"/>
        <v>0</v>
      </c>
      <c r="BK200" s="2934">
        <f t="shared" si="109"/>
        <v>0</v>
      </c>
      <c r="BL200" s="2934">
        <f t="shared" si="110"/>
        <v>0</v>
      </c>
      <c r="BM200" s="2934">
        <f t="shared" si="111"/>
        <v>0</v>
      </c>
      <c r="BN200" s="2934">
        <f t="shared" si="112"/>
        <v>0</v>
      </c>
      <c r="BO200" s="2934">
        <f t="shared" si="113"/>
        <v>0</v>
      </c>
      <c r="BP200" s="2934">
        <f t="shared" si="114"/>
        <v>0</v>
      </c>
      <c r="BQ200" s="2934">
        <f t="shared" si="115"/>
        <v>0</v>
      </c>
      <c r="BR200" s="2934">
        <f t="shared" si="116"/>
        <v>0</v>
      </c>
      <c r="BS200" s="2934">
        <f t="shared" si="117"/>
        <v>0</v>
      </c>
      <c r="BT200" s="2982">
        <f t="shared" si="118"/>
        <v>0</v>
      </c>
    </row>
    <row r="201" spans="1:72">
      <c r="A201" s="874"/>
      <c r="B201" s="882"/>
      <c r="C201" s="882"/>
      <c r="D201" s="2933"/>
      <c r="E201" s="2934">
        <f t="shared" si="119"/>
        <v>0</v>
      </c>
      <c r="F201" s="2935"/>
      <c r="G201" s="2936">
        <f t="shared" si="94"/>
        <v>0</v>
      </c>
      <c r="H201" s="2937">
        <f t="shared" si="95"/>
        <v>0</v>
      </c>
      <c r="I201" s="2944"/>
      <c r="J201" s="2944"/>
      <c r="K201" s="2944"/>
      <c r="L201" s="2944"/>
      <c r="M201" s="2944"/>
      <c r="N201" s="2944"/>
      <c r="O201" s="2944"/>
      <c r="P201" s="2944"/>
      <c r="Q201" s="2944"/>
      <c r="R201" s="2944"/>
      <c r="S201" s="2944"/>
      <c r="T201" s="2944"/>
      <c r="U201" s="2944"/>
      <c r="V201" s="2944"/>
      <c r="W201" s="2944"/>
      <c r="X201" s="2944"/>
      <c r="Y201" s="2944"/>
      <c r="Z201" s="2944"/>
      <c r="AA201" s="2944"/>
      <c r="AB201" s="2944"/>
      <c r="AC201" s="2934">
        <f t="shared" si="96"/>
        <v>0</v>
      </c>
      <c r="AD201" s="2954"/>
      <c r="AE201" s="2954"/>
      <c r="AF201" s="2954"/>
      <c r="AG201" s="2954"/>
      <c r="AH201" s="2954"/>
      <c r="AI201" s="2954"/>
      <c r="AJ201" s="2954"/>
      <c r="AK201" s="2954"/>
      <c r="AL201" s="2954"/>
      <c r="AM201" s="2954"/>
      <c r="AN201" s="2954"/>
      <c r="AO201" s="2954"/>
      <c r="AP201" s="2954"/>
      <c r="AQ201" s="2954"/>
      <c r="AR201" s="2954"/>
      <c r="AS201" s="2954"/>
      <c r="AT201" s="2935"/>
      <c r="AU201" s="2964"/>
      <c r="AV201" s="857">
        <f t="shared" si="120"/>
        <v>0</v>
      </c>
      <c r="AW201" s="857">
        <f t="shared" si="121"/>
        <v>0</v>
      </c>
      <c r="AX201" s="857">
        <f t="shared" si="122"/>
        <v>0</v>
      </c>
      <c r="AY201" s="807">
        <f t="shared" si="97"/>
        <v>0</v>
      </c>
      <c r="AZ201" s="2934">
        <f t="shared" si="98"/>
        <v>0</v>
      </c>
      <c r="BA201" s="2934">
        <f t="shared" si="99"/>
        <v>0</v>
      </c>
      <c r="BB201" s="2934">
        <f t="shared" si="100"/>
        <v>0</v>
      </c>
      <c r="BC201" s="2934">
        <f t="shared" si="101"/>
        <v>0</v>
      </c>
      <c r="BD201" s="2934">
        <f t="shared" si="102"/>
        <v>0</v>
      </c>
      <c r="BE201" s="2934">
        <f t="shared" si="103"/>
        <v>0</v>
      </c>
      <c r="BF201" s="2934">
        <f t="shared" si="104"/>
        <v>0</v>
      </c>
      <c r="BG201" s="2934">
        <f t="shared" si="105"/>
        <v>0</v>
      </c>
      <c r="BH201" s="2934">
        <f t="shared" si="106"/>
        <v>0</v>
      </c>
      <c r="BI201" s="2934">
        <f t="shared" si="107"/>
        <v>0</v>
      </c>
      <c r="BJ201" s="2934">
        <f t="shared" si="108"/>
        <v>0</v>
      </c>
      <c r="BK201" s="2934">
        <f t="shared" si="109"/>
        <v>0</v>
      </c>
      <c r="BL201" s="2934">
        <f t="shared" si="110"/>
        <v>0</v>
      </c>
      <c r="BM201" s="2934">
        <f t="shared" si="111"/>
        <v>0</v>
      </c>
      <c r="BN201" s="2934">
        <f t="shared" si="112"/>
        <v>0</v>
      </c>
      <c r="BO201" s="2934">
        <f t="shared" si="113"/>
        <v>0</v>
      </c>
      <c r="BP201" s="2934">
        <f t="shared" si="114"/>
        <v>0</v>
      </c>
      <c r="BQ201" s="2934">
        <f t="shared" si="115"/>
        <v>0</v>
      </c>
      <c r="BR201" s="2934">
        <f t="shared" si="116"/>
        <v>0</v>
      </c>
      <c r="BS201" s="2934">
        <f t="shared" si="117"/>
        <v>0</v>
      </c>
      <c r="BT201" s="2982">
        <f t="shared" si="118"/>
        <v>0</v>
      </c>
    </row>
    <row r="202" spans="1:72">
      <c r="A202" s="874"/>
      <c r="B202" s="882"/>
      <c r="C202" s="882"/>
      <c r="D202" s="2933"/>
      <c r="E202" s="2934">
        <f t="shared" si="119"/>
        <v>0</v>
      </c>
      <c r="F202" s="2935"/>
      <c r="G202" s="2936">
        <f t="shared" si="94"/>
        <v>0</v>
      </c>
      <c r="H202" s="2937">
        <f t="shared" si="95"/>
        <v>0</v>
      </c>
      <c r="I202" s="2944"/>
      <c r="J202" s="2944"/>
      <c r="K202" s="2944"/>
      <c r="L202" s="2944"/>
      <c r="M202" s="2944"/>
      <c r="N202" s="2944"/>
      <c r="O202" s="2944"/>
      <c r="P202" s="2944"/>
      <c r="Q202" s="2944"/>
      <c r="R202" s="2944"/>
      <c r="S202" s="2944"/>
      <c r="T202" s="2944"/>
      <c r="U202" s="2944"/>
      <c r="V202" s="2944"/>
      <c r="W202" s="2944"/>
      <c r="X202" s="2944"/>
      <c r="Y202" s="2944"/>
      <c r="Z202" s="2944"/>
      <c r="AA202" s="2944"/>
      <c r="AB202" s="2944"/>
      <c r="AC202" s="2934">
        <f t="shared" si="96"/>
        <v>0</v>
      </c>
      <c r="AD202" s="2954"/>
      <c r="AE202" s="2954"/>
      <c r="AF202" s="2954"/>
      <c r="AG202" s="2954"/>
      <c r="AH202" s="2954"/>
      <c r="AI202" s="2954"/>
      <c r="AJ202" s="2954"/>
      <c r="AK202" s="2954"/>
      <c r="AL202" s="2954"/>
      <c r="AM202" s="2954"/>
      <c r="AN202" s="2954"/>
      <c r="AO202" s="2954"/>
      <c r="AP202" s="2954"/>
      <c r="AQ202" s="2954"/>
      <c r="AR202" s="2954"/>
      <c r="AS202" s="2954"/>
      <c r="AT202" s="2935"/>
      <c r="AU202" s="2964"/>
      <c r="AV202" s="857">
        <f t="shared" si="120"/>
        <v>0</v>
      </c>
      <c r="AW202" s="857">
        <f t="shared" si="121"/>
        <v>0</v>
      </c>
      <c r="AX202" s="857">
        <f t="shared" si="122"/>
        <v>0</v>
      </c>
      <c r="AY202" s="807">
        <f t="shared" si="97"/>
        <v>0</v>
      </c>
      <c r="AZ202" s="2934">
        <f t="shared" si="98"/>
        <v>0</v>
      </c>
      <c r="BA202" s="2934">
        <f t="shared" si="99"/>
        <v>0</v>
      </c>
      <c r="BB202" s="2934">
        <f t="shared" si="100"/>
        <v>0</v>
      </c>
      <c r="BC202" s="2934">
        <f t="shared" si="101"/>
        <v>0</v>
      </c>
      <c r="BD202" s="2934">
        <f t="shared" si="102"/>
        <v>0</v>
      </c>
      <c r="BE202" s="2934">
        <f t="shared" si="103"/>
        <v>0</v>
      </c>
      <c r="BF202" s="2934">
        <f t="shared" si="104"/>
        <v>0</v>
      </c>
      <c r="BG202" s="2934">
        <f t="shared" si="105"/>
        <v>0</v>
      </c>
      <c r="BH202" s="2934">
        <f t="shared" si="106"/>
        <v>0</v>
      </c>
      <c r="BI202" s="2934">
        <f t="shared" si="107"/>
        <v>0</v>
      </c>
      <c r="BJ202" s="2934">
        <f t="shared" si="108"/>
        <v>0</v>
      </c>
      <c r="BK202" s="2934">
        <f t="shared" si="109"/>
        <v>0</v>
      </c>
      <c r="BL202" s="2934">
        <f t="shared" si="110"/>
        <v>0</v>
      </c>
      <c r="BM202" s="2934">
        <f t="shared" si="111"/>
        <v>0</v>
      </c>
      <c r="BN202" s="2934">
        <f t="shared" si="112"/>
        <v>0</v>
      </c>
      <c r="BO202" s="2934">
        <f t="shared" si="113"/>
        <v>0</v>
      </c>
      <c r="BP202" s="2934">
        <f t="shared" si="114"/>
        <v>0</v>
      </c>
      <c r="BQ202" s="2934">
        <f t="shared" si="115"/>
        <v>0</v>
      </c>
      <c r="BR202" s="2934">
        <f t="shared" si="116"/>
        <v>0</v>
      </c>
      <c r="BS202" s="2934">
        <f t="shared" si="117"/>
        <v>0</v>
      </c>
      <c r="BT202" s="2982">
        <f t="shared" si="118"/>
        <v>0</v>
      </c>
    </row>
    <row r="203" spans="1:72">
      <c r="A203" s="874"/>
      <c r="B203" s="882"/>
      <c r="C203" s="882"/>
      <c r="D203" s="2933"/>
      <c r="E203" s="2934">
        <f t="shared" si="119"/>
        <v>0</v>
      </c>
      <c r="F203" s="2935"/>
      <c r="G203" s="2936">
        <f t="shared" si="94"/>
        <v>0</v>
      </c>
      <c r="H203" s="2937">
        <f t="shared" si="95"/>
        <v>0</v>
      </c>
      <c r="I203" s="2944"/>
      <c r="J203" s="2944"/>
      <c r="K203" s="2944"/>
      <c r="L203" s="2944"/>
      <c r="M203" s="2944"/>
      <c r="N203" s="2944"/>
      <c r="O203" s="2944"/>
      <c r="P203" s="2944"/>
      <c r="Q203" s="2944"/>
      <c r="R203" s="2944"/>
      <c r="S203" s="2944"/>
      <c r="T203" s="2944"/>
      <c r="U203" s="2944"/>
      <c r="V203" s="2944"/>
      <c r="W203" s="2944"/>
      <c r="X203" s="2944"/>
      <c r="Y203" s="2944"/>
      <c r="Z203" s="2944"/>
      <c r="AA203" s="2944"/>
      <c r="AB203" s="2944"/>
      <c r="AC203" s="2934">
        <f t="shared" si="96"/>
        <v>0</v>
      </c>
      <c r="AD203" s="2954"/>
      <c r="AE203" s="2954"/>
      <c r="AF203" s="2954"/>
      <c r="AG203" s="2954"/>
      <c r="AH203" s="2954"/>
      <c r="AI203" s="2954"/>
      <c r="AJ203" s="2954"/>
      <c r="AK203" s="2954"/>
      <c r="AL203" s="2954"/>
      <c r="AM203" s="2954"/>
      <c r="AN203" s="2954"/>
      <c r="AO203" s="2954"/>
      <c r="AP203" s="2954"/>
      <c r="AQ203" s="2954"/>
      <c r="AR203" s="2954"/>
      <c r="AS203" s="2954"/>
      <c r="AT203" s="2935"/>
      <c r="AU203" s="2964"/>
      <c r="AV203" s="857">
        <f t="shared" si="120"/>
        <v>0</v>
      </c>
      <c r="AW203" s="857">
        <f t="shared" si="121"/>
        <v>0</v>
      </c>
      <c r="AX203" s="857">
        <f t="shared" si="122"/>
        <v>0</v>
      </c>
      <c r="AY203" s="807">
        <f t="shared" si="97"/>
        <v>0</v>
      </c>
      <c r="AZ203" s="2934">
        <f t="shared" si="98"/>
        <v>0</v>
      </c>
      <c r="BA203" s="2934">
        <f t="shared" si="99"/>
        <v>0</v>
      </c>
      <c r="BB203" s="2934">
        <f t="shared" si="100"/>
        <v>0</v>
      </c>
      <c r="BC203" s="2934">
        <f t="shared" si="101"/>
        <v>0</v>
      </c>
      <c r="BD203" s="2934">
        <f t="shared" si="102"/>
        <v>0</v>
      </c>
      <c r="BE203" s="2934">
        <f t="shared" si="103"/>
        <v>0</v>
      </c>
      <c r="BF203" s="2934">
        <f t="shared" si="104"/>
        <v>0</v>
      </c>
      <c r="BG203" s="2934">
        <f t="shared" si="105"/>
        <v>0</v>
      </c>
      <c r="BH203" s="2934">
        <f t="shared" si="106"/>
        <v>0</v>
      </c>
      <c r="BI203" s="2934">
        <f t="shared" si="107"/>
        <v>0</v>
      </c>
      <c r="BJ203" s="2934">
        <f t="shared" si="108"/>
        <v>0</v>
      </c>
      <c r="BK203" s="2934">
        <f t="shared" si="109"/>
        <v>0</v>
      </c>
      <c r="BL203" s="2934">
        <f t="shared" si="110"/>
        <v>0</v>
      </c>
      <c r="BM203" s="2934">
        <f t="shared" si="111"/>
        <v>0</v>
      </c>
      <c r="BN203" s="2934">
        <f t="shared" si="112"/>
        <v>0</v>
      </c>
      <c r="BO203" s="2934">
        <f t="shared" si="113"/>
        <v>0</v>
      </c>
      <c r="BP203" s="2934">
        <f t="shared" si="114"/>
        <v>0</v>
      </c>
      <c r="BQ203" s="2934">
        <f t="shared" si="115"/>
        <v>0</v>
      </c>
      <c r="BR203" s="2934">
        <f t="shared" si="116"/>
        <v>0</v>
      </c>
      <c r="BS203" s="2934">
        <f t="shared" si="117"/>
        <v>0</v>
      </c>
      <c r="BT203" s="2982">
        <f t="shared" si="118"/>
        <v>0</v>
      </c>
    </row>
    <row r="204" spans="1:72">
      <c r="A204" s="874"/>
      <c r="B204" s="882"/>
      <c r="C204" s="882"/>
      <c r="D204" s="2933"/>
      <c r="E204" s="2934">
        <f t="shared" si="119"/>
        <v>0</v>
      </c>
      <c r="F204" s="2935"/>
      <c r="G204" s="2936">
        <f t="shared" si="94"/>
        <v>0</v>
      </c>
      <c r="H204" s="2937">
        <f t="shared" si="95"/>
        <v>0</v>
      </c>
      <c r="I204" s="2944"/>
      <c r="J204" s="2944"/>
      <c r="K204" s="2944"/>
      <c r="L204" s="2944"/>
      <c r="M204" s="2944"/>
      <c r="N204" s="2944"/>
      <c r="O204" s="2944"/>
      <c r="P204" s="2944"/>
      <c r="Q204" s="2944"/>
      <c r="R204" s="2944"/>
      <c r="S204" s="2944"/>
      <c r="T204" s="2944"/>
      <c r="U204" s="2944"/>
      <c r="V204" s="2944"/>
      <c r="W204" s="2944"/>
      <c r="X204" s="2944"/>
      <c r="Y204" s="2944"/>
      <c r="Z204" s="2944"/>
      <c r="AA204" s="2944"/>
      <c r="AB204" s="2944"/>
      <c r="AC204" s="2934">
        <f t="shared" si="96"/>
        <v>0</v>
      </c>
      <c r="AD204" s="2954"/>
      <c r="AE204" s="2954"/>
      <c r="AF204" s="2954"/>
      <c r="AG204" s="2954"/>
      <c r="AH204" s="2954"/>
      <c r="AI204" s="2954"/>
      <c r="AJ204" s="2954"/>
      <c r="AK204" s="2954"/>
      <c r="AL204" s="2954"/>
      <c r="AM204" s="2954"/>
      <c r="AN204" s="2954"/>
      <c r="AO204" s="2954"/>
      <c r="AP204" s="2954"/>
      <c r="AQ204" s="2954"/>
      <c r="AR204" s="2954"/>
      <c r="AS204" s="2954"/>
      <c r="AT204" s="2935"/>
      <c r="AU204" s="2964"/>
      <c r="AV204" s="857">
        <f t="shared" si="120"/>
        <v>0</v>
      </c>
      <c r="AW204" s="857">
        <f t="shared" si="121"/>
        <v>0</v>
      </c>
      <c r="AX204" s="857">
        <f t="shared" si="122"/>
        <v>0</v>
      </c>
      <c r="AY204" s="807">
        <f t="shared" si="97"/>
        <v>0</v>
      </c>
      <c r="AZ204" s="2934">
        <f t="shared" si="98"/>
        <v>0</v>
      </c>
      <c r="BA204" s="2934">
        <f t="shared" si="99"/>
        <v>0</v>
      </c>
      <c r="BB204" s="2934">
        <f t="shared" si="100"/>
        <v>0</v>
      </c>
      <c r="BC204" s="2934">
        <f t="shared" si="101"/>
        <v>0</v>
      </c>
      <c r="BD204" s="2934">
        <f t="shared" si="102"/>
        <v>0</v>
      </c>
      <c r="BE204" s="2934">
        <f t="shared" si="103"/>
        <v>0</v>
      </c>
      <c r="BF204" s="2934">
        <f t="shared" si="104"/>
        <v>0</v>
      </c>
      <c r="BG204" s="2934">
        <f t="shared" si="105"/>
        <v>0</v>
      </c>
      <c r="BH204" s="2934">
        <f t="shared" si="106"/>
        <v>0</v>
      </c>
      <c r="BI204" s="2934">
        <f t="shared" si="107"/>
        <v>0</v>
      </c>
      <c r="BJ204" s="2934">
        <f t="shared" si="108"/>
        <v>0</v>
      </c>
      <c r="BK204" s="2934">
        <f t="shared" si="109"/>
        <v>0</v>
      </c>
      <c r="BL204" s="2934">
        <f t="shared" si="110"/>
        <v>0</v>
      </c>
      <c r="BM204" s="2934">
        <f t="shared" si="111"/>
        <v>0</v>
      </c>
      <c r="BN204" s="2934">
        <f t="shared" si="112"/>
        <v>0</v>
      </c>
      <c r="BO204" s="2934">
        <f t="shared" si="113"/>
        <v>0</v>
      </c>
      <c r="BP204" s="2934">
        <f t="shared" si="114"/>
        <v>0</v>
      </c>
      <c r="BQ204" s="2934">
        <f t="shared" si="115"/>
        <v>0</v>
      </c>
      <c r="BR204" s="2934">
        <f t="shared" si="116"/>
        <v>0</v>
      </c>
      <c r="BS204" s="2934">
        <f t="shared" si="117"/>
        <v>0</v>
      </c>
      <c r="BT204" s="2982">
        <f t="shared" si="118"/>
        <v>0</v>
      </c>
    </row>
    <row r="205" spans="1:72">
      <c r="A205" s="874"/>
      <c r="B205" s="874"/>
      <c r="C205" s="874"/>
      <c r="D205" s="2933"/>
      <c r="E205" s="2934">
        <f t="shared" si="119"/>
        <v>0</v>
      </c>
      <c r="F205" s="2954"/>
      <c r="G205" s="2936">
        <f t="shared" si="94"/>
        <v>0</v>
      </c>
      <c r="H205" s="2937">
        <f t="shared" si="95"/>
        <v>0</v>
      </c>
      <c r="I205" s="2983"/>
      <c r="J205" s="2983"/>
      <c r="K205" s="2944"/>
      <c r="L205" s="2944"/>
      <c r="M205" s="2944"/>
      <c r="N205" s="2944"/>
      <c r="O205" s="2944"/>
      <c r="P205" s="2944"/>
      <c r="Q205" s="2944"/>
      <c r="R205" s="2944"/>
      <c r="S205" s="2944"/>
      <c r="T205" s="2944"/>
      <c r="U205" s="2944"/>
      <c r="V205" s="2944"/>
      <c r="W205" s="2944"/>
      <c r="X205" s="2944"/>
      <c r="Y205" s="2944"/>
      <c r="Z205" s="2944"/>
      <c r="AA205" s="2944"/>
      <c r="AB205" s="2944"/>
      <c r="AC205" s="2934">
        <f t="shared" si="96"/>
        <v>0</v>
      </c>
      <c r="AD205" s="2954"/>
      <c r="AE205" s="2954"/>
      <c r="AF205" s="2954"/>
      <c r="AG205" s="2954"/>
      <c r="AH205" s="2954"/>
      <c r="AI205" s="2954"/>
      <c r="AJ205" s="2954"/>
      <c r="AK205" s="2954"/>
      <c r="AL205" s="2954"/>
      <c r="AM205" s="2954"/>
      <c r="AN205" s="2954"/>
      <c r="AO205" s="2954"/>
      <c r="AP205" s="2954"/>
      <c r="AQ205" s="2954"/>
      <c r="AR205" s="2954"/>
      <c r="AS205" s="2954"/>
      <c r="AT205" s="2954"/>
      <c r="AU205" s="917"/>
      <c r="AV205" s="857">
        <f t="shared" si="120"/>
        <v>0</v>
      </c>
      <c r="AW205" s="857">
        <f t="shared" si="121"/>
        <v>0</v>
      </c>
      <c r="AX205" s="857">
        <f t="shared" si="122"/>
        <v>0</v>
      </c>
      <c r="AY205" s="807">
        <f t="shared" si="97"/>
        <v>0</v>
      </c>
      <c r="AZ205" s="2934">
        <f t="shared" si="98"/>
        <v>0</v>
      </c>
      <c r="BA205" s="2934">
        <f t="shared" si="99"/>
        <v>0</v>
      </c>
      <c r="BB205" s="2934">
        <f t="shared" si="100"/>
        <v>0</v>
      </c>
      <c r="BC205" s="2934">
        <f t="shared" si="101"/>
        <v>0</v>
      </c>
      <c r="BD205" s="2934">
        <f t="shared" si="102"/>
        <v>0</v>
      </c>
      <c r="BE205" s="2934">
        <f t="shared" si="103"/>
        <v>0</v>
      </c>
      <c r="BF205" s="2934">
        <f t="shared" si="104"/>
        <v>0</v>
      </c>
      <c r="BG205" s="2934">
        <f t="shared" si="105"/>
        <v>0</v>
      </c>
      <c r="BH205" s="2934">
        <f t="shared" si="106"/>
        <v>0</v>
      </c>
      <c r="BI205" s="2934">
        <f t="shared" si="107"/>
        <v>0</v>
      </c>
      <c r="BJ205" s="2934">
        <f t="shared" si="108"/>
        <v>0</v>
      </c>
      <c r="BK205" s="2934">
        <f t="shared" si="109"/>
        <v>0</v>
      </c>
      <c r="BL205" s="2934">
        <f t="shared" si="110"/>
        <v>0</v>
      </c>
      <c r="BM205" s="2934">
        <f t="shared" si="111"/>
        <v>0</v>
      </c>
      <c r="BN205" s="2934">
        <f t="shared" si="112"/>
        <v>0</v>
      </c>
      <c r="BO205" s="2934">
        <f t="shared" si="113"/>
        <v>0</v>
      </c>
      <c r="BP205" s="2934">
        <f t="shared" si="114"/>
        <v>0</v>
      </c>
      <c r="BQ205" s="2934">
        <f t="shared" si="115"/>
        <v>0</v>
      </c>
      <c r="BR205" s="2934">
        <f t="shared" si="116"/>
        <v>0</v>
      </c>
      <c r="BS205" s="2934">
        <f t="shared" si="117"/>
        <v>0</v>
      </c>
      <c r="BT205" s="2982">
        <f t="shared" si="118"/>
        <v>0</v>
      </c>
    </row>
    <row r="206" spans="1:72">
      <c r="A206" s="874"/>
      <c r="B206" s="874"/>
      <c r="C206" s="874"/>
      <c r="D206" s="2933"/>
      <c r="E206" s="2934">
        <f t="shared" si="119"/>
        <v>0</v>
      </c>
      <c r="F206" s="2954"/>
      <c r="G206" s="2936">
        <f t="shared" si="94"/>
        <v>0</v>
      </c>
      <c r="H206" s="2937">
        <f t="shared" si="95"/>
        <v>0</v>
      </c>
      <c r="I206" s="2944"/>
      <c r="J206" s="2944"/>
      <c r="K206" s="2944"/>
      <c r="L206" s="2944"/>
      <c r="M206" s="2944"/>
      <c r="N206" s="2944"/>
      <c r="O206" s="2944"/>
      <c r="P206" s="2944"/>
      <c r="Q206" s="2944"/>
      <c r="R206" s="2944"/>
      <c r="S206" s="2944"/>
      <c r="T206" s="2944"/>
      <c r="U206" s="2944"/>
      <c r="V206" s="2944"/>
      <c r="W206" s="2944"/>
      <c r="X206" s="2944"/>
      <c r="Y206" s="2944"/>
      <c r="Z206" s="2944"/>
      <c r="AA206" s="2944"/>
      <c r="AB206" s="2944"/>
      <c r="AC206" s="2934">
        <f t="shared" si="96"/>
        <v>0</v>
      </c>
      <c r="AD206" s="2954"/>
      <c r="AE206" s="2954"/>
      <c r="AF206" s="2954"/>
      <c r="AG206" s="2954"/>
      <c r="AH206" s="2954"/>
      <c r="AI206" s="2954"/>
      <c r="AJ206" s="2954"/>
      <c r="AK206" s="2954"/>
      <c r="AL206" s="2954"/>
      <c r="AM206" s="2954"/>
      <c r="AN206" s="2954"/>
      <c r="AO206" s="2954"/>
      <c r="AP206" s="2954"/>
      <c r="AQ206" s="2954"/>
      <c r="AR206" s="2954"/>
      <c r="AS206" s="2954"/>
      <c r="AT206" s="2954"/>
      <c r="AU206" s="917"/>
      <c r="AV206" s="857">
        <f t="shared" si="120"/>
        <v>0</v>
      </c>
      <c r="AW206" s="857">
        <f t="shared" si="121"/>
        <v>0</v>
      </c>
      <c r="AX206" s="857">
        <f t="shared" si="122"/>
        <v>0</v>
      </c>
      <c r="AY206" s="807">
        <f t="shared" si="97"/>
        <v>0</v>
      </c>
      <c r="AZ206" s="2934">
        <f t="shared" si="98"/>
        <v>0</v>
      </c>
      <c r="BA206" s="2934">
        <f t="shared" si="99"/>
        <v>0</v>
      </c>
      <c r="BB206" s="2934">
        <f t="shared" si="100"/>
        <v>0</v>
      </c>
      <c r="BC206" s="2934">
        <f t="shared" si="101"/>
        <v>0</v>
      </c>
      <c r="BD206" s="2934">
        <f t="shared" si="102"/>
        <v>0</v>
      </c>
      <c r="BE206" s="2934">
        <f t="shared" si="103"/>
        <v>0</v>
      </c>
      <c r="BF206" s="2934">
        <f t="shared" si="104"/>
        <v>0</v>
      </c>
      <c r="BG206" s="2934">
        <f t="shared" si="105"/>
        <v>0</v>
      </c>
      <c r="BH206" s="2934">
        <f t="shared" si="106"/>
        <v>0</v>
      </c>
      <c r="BI206" s="2934">
        <f t="shared" si="107"/>
        <v>0</v>
      </c>
      <c r="BJ206" s="2934">
        <f t="shared" si="108"/>
        <v>0</v>
      </c>
      <c r="BK206" s="2934">
        <f t="shared" si="109"/>
        <v>0</v>
      </c>
      <c r="BL206" s="2934">
        <f t="shared" si="110"/>
        <v>0</v>
      </c>
      <c r="BM206" s="2934">
        <f t="shared" si="111"/>
        <v>0</v>
      </c>
      <c r="BN206" s="2934">
        <f t="shared" si="112"/>
        <v>0</v>
      </c>
      <c r="BO206" s="2934">
        <f t="shared" si="113"/>
        <v>0</v>
      </c>
      <c r="BP206" s="2934">
        <f t="shared" si="114"/>
        <v>0</v>
      </c>
      <c r="BQ206" s="2934">
        <f t="shared" si="115"/>
        <v>0</v>
      </c>
      <c r="BR206" s="2934">
        <f t="shared" si="116"/>
        <v>0</v>
      </c>
      <c r="BS206" s="2934">
        <f t="shared" si="117"/>
        <v>0</v>
      </c>
      <c r="BT206" s="2982">
        <f t="shared" si="118"/>
        <v>0</v>
      </c>
    </row>
    <row r="207" spans="1:72">
      <c r="A207" s="874"/>
      <c r="B207" s="874"/>
      <c r="C207" s="874"/>
      <c r="D207" s="2933"/>
      <c r="E207" s="2934">
        <f t="shared" si="119"/>
        <v>0</v>
      </c>
      <c r="F207" s="2954"/>
      <c r="G207" s="2936">
        <f t="shared" si="94"/>
        <v>0</v>
      </c>
      <c r="H207" s="2937">
        <f t="shared" si="95"/>
        <v>0</v>
      </c>
      <c r="I207" s="2944"/>
      <c r="J207" s="2944"/>
      <c r="K207" s="2944"/>
      <c r="L207" s="2944"/>
      <c r="M207" s="2944"/>
      <c r="N207" s="2944"/>
      <c r="O207" s="2944"/>
      <c r="P207" s="2944"/>
      <c r="Q207" s="2944"/>
      <c r="R207" s="2944"/>
      <c r="S207" s="2944"/>
      <c r="T207" s="2944"/>
      <c r="U207" s="2944"/>
      <c r="V207" s="2944"/>
      <c r="W207" s="2944"/>
      <c r="X207" s="2944"/>
      <c r="Y207" s="2944"/>
      <c r="Z207" s="2944"/>
      <c r="AA207" s="2944"/>
      <c r="AB207" s="2944"/>
      <c r="AC207" s="2934">
        <f t="shared" si="96"/>
        <v>0</v>
      </c>
      <c r="AD207" s="2954"/>
      <c r="AE207" s="2954"/>
      <c r="AF207" s="2954"/>
      <c r="AG207" s="2954"/>
      <c r="AH207" s="2954"/>
      <c r="AI207" s="2954"/>
      <c r="AJ207" s="2954"/>
      <c r="AK207" s="2954"/>
      <c r="AL207" s="2954"/>
      <c r="AM207" s="2954"/>
      <c r="AN207" s="2954"/>
      <c r="AO207" s="2954"/>
      <c r="AP207" s="2954"/>
      <c r="AQ207" s="2954"/>
      <c r="AR207" s="2954"/>
      <c r="AS207" s="2954"/>
      <c r="AT207" s="2954"/>
      <c r="AU207" s="917"/>
      <c r="AV207" s="857">
        <f t="shared" si="120"/>
        <v>0</v>
      </c>
      <c r="AW207" s="857">
        <f t="shared" si="121"/>
        <v>0</v>
      </c>
      <c r="AX207" s="857">
        <f t="shared" si="122"/>
        <v>0</v>
      </c>
      <c r="AY207" s="807">
        <f t="shared" si="97"/>
        <v>0</v>
      </c>
      <c r="AZ207" s="2934">
        <f t="shared" si="98"/>
        <v>0</v>
      </c>
      <c r="BA207" s="2934">
        <f t="shared" si="99"/>
        <v>0</v>
      </c>
      <c r="BB207" s="2934">
        <f t="shared" si="100"/>
        <v>0</v>
      </c>
      <c r="BC207" s="2934">
        <f t="shared" si="101"/>
        <v>0</v>
      </c>
      <c r="BD207" s="2934">
        <f t="shared" si="102"/>
        <v>0</v>
      </c>
      <c r="BE207" s="2934">
        <f t="shared" si="103"/>
        <v>0</v>
      </c>
      <c r="BF207" s="2934">
        <f t="shared" si="104"/>
        <v>0</v>
      </c>
      <c r="BG207" s="2934">
        <f t="shared" si="105"/>
        <v>0</v>
      </c>
      <c r="BH207" s="2934">
        <f t="shared" si="106"/>
        <v>0</v>
      </c>
      <c r="BI207" s="2934">
        <f t="shared" si="107"/>
        <v>0</v>
      </c>
      <c r="BJ207" s="2934">
        <f t="shared" si="108"/>
        <v>0</v>
      </c>
      <c r="BK207" s="2934">
        <f t="shared" si="109"/>
        <v>0</v>
      </c>
      <c r="BL207" s="2934">
        <f t="shared" si="110"/>
        <v>0</v>
      </c>
      <c r="BM207" s="2934">
        <f t="shared" si="111"/>
        <v>0</v>
      </c>
      <c r="BN207" s="2934">
        <f t="shared" si="112"/>
        <v>0</v>
      </c>
      <c r="BO207" s="2934">
        <f t="shared" si="113"/>
        <v>0</v>
      </c>
      <c r="BP207" s="2934">
        <f t="shared" si="114"/>
        <v>0</v>
      </c>
      <c r="BQ207" s="2934">
        <f t="shared" si="115"/>
        <v>0</v>
      </c>
      <c r="BR207" s="2934">
        <f t="shared" si="116"/>
        <v>0</v>
      </c>
      <c r="BS207" s="2934">
        <f t="shared" si="117"/>
        <v>0</v>
      </c>
      <c r="BT207" s="2982">
        <f t="shared" si="118"/>
        <v>0</v>
      </c>
    </row>
    <row r="208" spans="1:72">
      <c r="A208" s="874"/>
      <c r="B208" s="882"/>
      <c r="C208" s="882"/>
      <c r="D208" s="2933"/>
      <c r="E208" s="2934">
        <f t="shared" ref="E208:E302" si="123">IF($C$3="是",ROUND($A$3*G208/$B$3,2),ROUND($A$3*(G208-AT208)/$B$3,2))</f>
        <v>0</v>
      </c>
      <c r="F208" s="2935"/>
      <c r="G208" s="2936">
        <f t="shared" ref="G208:G299" si="124">H208+AC208+AT208</f>
        <v>0</v>
      </c>
      <c r="H208" s="2937">
        <f t="shared" ref="H208:H299" si="125">SUMIF(I$12:AB$12,"总值",I208:AB208)</f>
        <v>0</v>
      </c>
      <c r="I208" s="2944"/>
      <c r="J208" s="2944"/>
      <c r="K208" s="2944"/>
      <c r="L208" s="2944"/>
      <c r="M208" s="2944"/>
      <c r="N208" s="2944"/>
      <c r="O208" s="2944"/>
      <c r="P208" s="2944"/>
      <c r="Q208" s="2944"/>
      <c r="R208" s="2944"/>
      <c r="S208" s="2944"/>
      <c r="T208" s="2944"/>
      <c r="U208" s="2944"/>
      <c r="V208" s="2944"/>
      <c r="W208" s="2944"/>
      <c r="X208" s="2944"/>
      <c r="Y208" s="2944"/>
      <c r="Z208" s="2944"/>
      <c r="AA208" s="2944"/>
      <c r="AB208" s="2944"/>
      <c r="AC208" s="2934">
        <f t="shared" ref="AC208:AC299" si="126">SUMIF(AD$12:AS$12,"总值",AD208:AS208)</f>
        <v>0</v>
      </c>
      <c r="AD208" s="2954"/>
      <c r="AE208" s="2954"/>
      <c r="AF208" s="2954"/>
      <c r="AG208" s="2954"/>
      <c r="AH208" s="2954"/>
      <c r="AI208" s="2954"/>
      <c r="AJ208" s="2954"/>
      <c r="AK208" s="2954"/>
      <c r="AL208" s="2954"/>
      <c r="AM208" s="2954"/>
      <c r="AN208" s="2954"/>
      <c r="AO208" s="2954"/>
      <c r="AP208" s="2954"/>
      <c r="AQ208" s="2954"/>
      <c r="AR208" s="2954"/>
      <c r="AS208" s="2954"/>
      <c r="AT208" s="2935"/>
      <c r="AU208" s="2964"/>
      <c r="AV208" s="857">
        <f t="shared" ref="AV208:AV302" si="127">A208</f>
        <v>0</v>
      </c>
      <c r="AW208" s="857">
        <f t="shared" ref="AW208:AW302" si="128">B208</f>
        <v>0</v>
      </c>
      <c r="AX208" s="857">
        <f t="shared" ref="AX208:AX302" si="129">C208</f>
        <v>0</v>
      </c>
      <c r="AY208" s="807">
        <f t="shared" ref="AY208:AY299" si="130">ROUND($AY$6*AZ208/$AZ$5,2)</f>
        <v>0</v>
      </c>
      <c r="AZ208" s="2934">
        <f t="shared" ref="AZ208:AZ299" si="131">BA208+BL208</f>
        <v>0</v>
      </c>
      <c r="BA208" s="2934">
        <f t="shared" ref="BA208:BA299" si="132">SUM(BB208:BK208)</f>
        <v>0</v>
      </c>
      <c r="BB208" s="2934">
        <f t="shared" ref="BB208:BB299" si="133">IF($D208="是",I208-J208,0)</f>
        <v>0</v>
      </c>
      <c r="BC208" s="2934">
        <f t="shared" ref="BC208:BC299" si="134">IF($D208="是",K208-L208,0)</f>
        <v>0</v>
      </c>
      <c r="BD208" s="2934">
        <f t="shared" ref="BD208:BD299" si="135">IF($D208="是",M208-N208,0)</f>
        <v>0</v>
      </c>
      <c r="BE208" s="2934">
        <f t="shared" ref="BE208:BE299" si="136">IF($D208="是",O208-P208,0)</f>
        <v>0</v>
      </c>
      <c r="BF208" s="2934">
        <f t="shared" ref="BF208:BF299" si="137">IF($D208="是",Q208-R208,0)</f>
        <v>0</v>
      </c>
      <c r="BG208" s="2934">
        <f t="shared" ref="BG208:BG299" si="138">IF($D208="是",S208-T208,0)</f>
        <v>0</v>
      </c>
      <c r="BH208" s="2934">
        <f t="shared" ref="BH208:BH299" si="139">IF($D208="是",U208-V208,0)</f>
        <v>0</v>
      </c>
      <c r="BI208" s="2934">
        <f t="shared" ref="BI208:BI299" si="140">IF($D208="是",W208-X208,0)</f>
        <v>0</v>
      </c>
      <c r="BJ208" s="2934">
        <f t="shared" ref="BJ208:BJ299" si="141">IF($D208="是",Y208-Z208,0)</f>
        <v>0</v>
      </c>
      <c r="BK208" s="2934">
        <f t="shared" ref="BK208:BK299" si="142">IF($D208="是",AA208-AB208,0)</f>
        <v>0</v>
      </c>
      <c r="BL208" s="2934">
        <f t="shared" ref="BL208:BL299" si="143">SUM(BM208:BT208)</f>
        <v>0</v>
      </c>
      <c r="BM208" s="2934">
        <f t="shared" ref="BM208:BM299" si="144">IF($D208="是",AD208-AE208,0)</f>
        <v>0</v>
      </c>
      <c r="BN208" s="2934">
        <f t="shared" ref="BN208:BN299" si="145">IF($D208="是",AF208-AG208,0)</f>
        <v>0</v>
      </c>
      <c r="BO208" s="2934">
        <f t="shared" ref="BO208:BO299" si="146">IF($D208="是",AH208-AI208,0)</f>
        <v>0</v>
      </c>
      <c r="BP208" s="2934">
        <f t="shared" ref="BP208:BP299" si="147">IF($D208="是",AJ208-AK208,0)</f>
        <v>0</v>
      </c>
      <c r="BQ208" s="2934">
        <f t="shared" ref="BQ208:BQ299" si="148">IF($D208="是",AL208-AM208,0)</f>
        <v>0</v>
      </c>
      <c r="BR208" s="2934">
        <f t="shared" ref="BR208:BR299" si="149">IF($D208="是",AN208-AO208,0)</f>
        <v>0</v>
      </c>
      <c r="BS208" s="2934">
        <f t="shared" ref="BS208:BS299" si="150">IF($D208="是",AP208-AQ208,0)</f>
        <v>0</v>
      </c>
      <c r="BT208" s="2982">
        <f t="shared" ref="BT208:BT299" si="151">IF($D208="是",AR208-AS208,0)</f>
        <v>0</v>
      </c>
    </row>
    <row r="209" spans="1:72">
      <c r="A209" s="874"/>
      <c r="B209" s="882"/>
      <c r="C209" s="882"/>
      <c r="D209" s="2933"/>
      <c r="E209" s="2934">
        <f t="shared" si="123"/>
        <v>0</v>
      </c>
      <c r="F209" s="2935"/>
      <c r="G209" s="2936">
        <f t="shared" si="124"/>
        <v>0</v>
      </c>
      <c r="H209" s="2937">
        <f t="shared" si="125"/>
        <v>0</v>
      </c>
      <c r="I209" s="2944"/>
      <c r="J209" s="2944"/>
      <c r="K209" s="2944"/>
      <c r="L209" s="2944"/>
      <c r="M209" s="2944"/>
      <c r="N209" s="2944"/>
      <c r="O209" s="2944"/>
      <c r="P209" s="2944"/>
      <c r="Q209" s="2944"/>
      <c r="R209" s="2944"/>
      <c r="S209" s="2944"/>
      <c r="T209" s="2944"/>
      <c r="U209" s="2944"/>
      <c r="V209" s="2944"/>
      <c r="W209" s="2944"/>
      <c r="X209" s="2944"/>
      <c r="Y209" s="2944"/>
      <c r="Z209" s="2944"/>
      <c r="AA209" s="2944"/>
      <c r="AB209" s="2944"/>
      <c r="AC209" s="2934">
        <f t="shared" si="126"/>
        <v>0</v>
      </c>
      <c r="AD209" s="2954"/>
      <c r="AE209" s="2954"/>
      <c r="AF209" s="2954"/>
      <c r="AG209" s="2954"/>
      <c r="AH209" s="2954"/>
      <c r="AI209" s="2954"/>
      <c r="AJ209" s="2954"/>
      <c r="AK209" s="2954"/>
      <c r="AL209" s="2954"/>
      <c r="AM209" s="2954"/>
      <c r="AN209" s="2954"/>
      <c r="AO209" s="2954"/>
      <c r="AP209" s="2954"/>
      <c r="AQ209" s="2954"/>
      <c r="AR209" s="2954"/>
      <c r="AS209" s="2954"/>
      <c r="AT209" s="2935"/>
      <c r="AU209" s="2964"/>
      <c r="AV209" s="857">
        <f t="shared" si="127"/>
        <v>0</v>
      </c>
      <c r="AW209" s="857">
        <f t="shared" si="128"/>
        <v>0</v>
      </c>
      <c r="AX209" s="857">
        <f t="shared" si="129"/>
        <v>0</v>
      </c>
      <c r="AY209" s="807">
        <f t="shared" si="130"/>
        <v>0</v>
      </c>
      <c r="AZ209" s="2934">
        <f t="shared" si="131"/>
        <v>0</v>
      </c>
      <c r="BA209" s="2934">
        <f t="shared" si="132"/>
        <v>0</v>
      </c>
      <c r="BB209" s="2934">
        <f t="shared" si="133"/>
        <v>0</v>
      </c>
      <c r="BC209" s="2934">
        <f t="shared" si="134"/>
        <v>0</v>
      </c>
      <c r="BD209" s="2934">
        <f t="shared" si="135"/>
        <v>0</v>
      </c>
      <c r="BE209" s="2934">
        <f t="shared" si="136"/>
        <v>0</v>
      </c>
      <c r="BF209" s="2934">
        <f t="shared" si="137"/>
        <v>0</v>
      </c>
      <c r="BG209" s="2934">
        <f t="shared" si="138"/>
        <v>0</v>
      </c>
      <c r="BH209" s="2934">
        <f t="shared" si="139"/>
        <v>0</v>
      </c>
      <c r="BI209" s="2934">
        <f t="shared" si="140"/>
        <v>0</v>
      </c>
      <c r="BJ209" s="2934">
        <f t="shared" si="141"/>
        <v>0</v>
      </c>
      <c r="BK209" s="2934">
        <f t="shared" si="142"/>
        <v>0</v>
      </c>
      <c r="BL209" s="2934">
        <f t="shared" si="143"/>
        <v>0</v>
      </c>
      <c r="BM209" s="2934">
        <f t="shared" si="144"/>
        <v>0</v>
      </c>
      <c r="BN209" s="2934">
        <f t="shared" si="145"/>
        <v>0</v>
      </c>
      <c r="BO209" s="2934">
        <f t="shared" si="146"/>
        <v>0</v>
      </c>
      <c r="BP209" s="2934">
        <f t="shared" si="147"/>
        <v>0</v>
      </c>
      <c r="BQ209" s="2934">
        <f t="shared" si="148"/>
        <v>0</v>
      </c>
      <c r="BR209" s="2934">
        <f t="shared" si="149"/>
        <v>0</v>
      </c>
      <c r="BS209" s="2934">
        <f t="shared" si="150"/>
        <v>0</v>
      </c>
      <c r="BT209" s="2982">
        <f t="shared" si="151"/>
        <v>0</v>
      </c>
    </row>
    <row r="210" spans="1:72">
      <c r="A210" s="874"/>
      <c r="B210" s="882"/>
      <c r="C210" s="882"/>
      <c r="D210" s="2933"/>
      <c r="E210" s="2934">
        <f t="shared" si="123"/>
        <v>0</v>
      </c>
      <c r="F210" s="2935"/>
      <c r="G210" s="2936">
        <f t="shared" si="124"/>
        <v>0</v>
      </c>
      <c r="H210" s="2937">
        <f t="shared" si="125"/>
        <v>0</v>
      </c>
      <c r="I210" s="2944"/>
      <c r="J210" s="2944"/>
      <c r="K210" s="2944"/>
      <c r="L210" s="2944"/>
      <c r="M210" s="2944"/>
      <c r="N210" s="2944"/>
      <c r="O210" s="2944"/>
      <c r="P210" s="2944"/>
      <c r="Q210" s="2944"/>
      <c r="R210" s="2944"/>
      <c r="S210" s="2944"/>
      <c r="T210" s="2944"/>
      <c r="U210" s="2944"/>
      <c r="V210" s="2944"/>
      <c r="W210" s="2944"/>
      <c r="X210" s="2944"/>
      <c r="Y210" s="2944"/>
      <c r="Z210" s="2944"/>
      <c r="AA210" s="2944"/>
      <c r="AB210" s="2944"/>
      <c r="AC210" s="2934">
        <f t="shared" si="126"/>
        <v>0</v>
      </c>
      <c r="AD210" s="2954"/>
      <c r="AE210" s="2954"/>
      <c r="AF210" s="2954"/>
      <c r="AG210" s="2954"/>
      <c r="AH210" s="2954"/>
      <c r="AI210" s="2954"/>
      <c r="AJ210" s="2954"/>
      <c r="AK210" s="2954"/>
      <c r="AL210" s="2954"/>
      <c r="AM210" s="2954"/>
      <c r="AN210" s="2954"/>
      <c r="AO210" s="2954"/>
      <c r="AP210" s="2954"/>
      <c r="AQ210" s="2954"/>
      <c r="AR210" s="2954"/>
      <c r="AS210" s="2954"/>
      <c r="AT210" s="2935"/>
      <c r="AU210" s="2964"/>
      <c r="AV210" s="857">
        <f t="shared" si="127"/>
        <v>0</v>
      </c>
      <c r="AW210" s="857">
        <f t="shared" si="128"/>
        <v>0</v>
      </c>
      <c r="AX210" s="857">
        <f t="shared" si="129"/>
        <v>0</v>
      </c>
      <c r="AY210" s="807">
        <f t="shared" si="130"/>
        <v>0</v>
      </c>
      <c r="AZ210" s="2934">
        <f t="shared" si="131"/>
        <v>0</v>
      </c>
      <c r="BA210" s="2934">
        <f t="shared" si="132"/>
        <v>0</v>
      </c>
      <c r="BB210" s="2934">
        <f t="shared" si="133"/>
        <v>0</v>
      </c>
      <c r="BC210" s="2934">
        <f t="shared" si="134"/>
        <v>0</v>
      </c>
      <c r="BD210" s="2934">
        <f t="shared" si="135"/>
        <v>0</v>
      </c>
      <c r="BE210" s="2934">
        <f t="shared" si="136"/>
        <v>0</v>
      </c>
      <c r="BF210" s="2934">
        <f t="shared" si="137"/>
        <v>0</v>
      </c>
      <c r="BG210" s="2934">
        <f t="shared" si="138"/>
        <v>0</v>
      </c>
      <c r="BH210" s="2934">
        <f t="shared" si="139"/>
        <v>0</v>
      </c>
      <c r="BI210" s="2934">
        <f t="shared" si="140"/>
        <v>0</v>
      </c>
      <c r="BJ210" s="2934">
        <f t="shared" si="141"/>
        <v>0</v>
      </c>
      <c r="BK210" s="2934">
        <f t="shared" si="142"/>
        <v>0</v>
      </c>
      <c r="BL210" s="2934">
        <f t="shared" si="143"/>
        <v>0</v>
      </c>
      <c r="BM210" s="2934">
        <f t="shared" si="144"/>
        <v>0</v>
      </c>
      <c r="BN210" s="2934">
        <f t="shared" si="145"/>
        <v>0</v>
      </c>
      <c r="BO210" s="2934">
        <f t="shared" si="146"/>
        <v>0</v>
      </c>
      <c r="BP210" s="2934">
        <f t="shared" si="147"/>
        <v>0</v>
      </c>
      <c r="BQ210" s="2934">
        <f t="shared" si="148"/>
        <v>0</v>
      </c>
      <c r="BR210" s="2934">
        <f t="shared" si="149"/>
        <v>0</v>
      </c>
      <c r="BS210" s="2934">
        <f t="shared" si="150"/>
        <v>0</v>
      </c>
      <c r="BT210" s="2982">
        <f t="shared" si="151"/>
        <v>0</v>
      </c>
    </row>
    <row r="211" spans="1:72">
      <c r="A211" s="874"/>
      <c r="B211" s="882"/>
      <c r="C211" s="882"/>
      <c r="D211" s="2933"/>
      <c r="E211" s="2934">
        <f t="shared" si="123"/>
        <v>0</v>
      </c>
      <c r="F211" s="2935"/>
      <c r="G211" s="2936">
        <f t="shared" si="124"/>
        <v>0</v>
      </c>
      <c r="H211" s="2937">
        <f t="shared" si="125"/>
        <v>0</v>
      </c>
      <c r="I211" s="2944"/>
      <c r="J211" s="2944"/>
      <c r="K211" s="2944"/>
      <c r="L211" s="2944"/>
      <c r="M211" s="2944"/>
      <c r="N211" s="2944"/>
      <c r="O211" s="2944"/>
      <c r="P211" s="2944"/>
      <c r="Q211" s="2944"/>
      <c r="R211" s="2944"/>
      <c r="S211" s="2944"/>
      <c r="T211" s="2944"/>
      <c r="U211" s="2944"/>
      <c r="V211" s="2944"/>
      <c r="W211" s="2944"/>
      <c r="X211" s="2944"/>
      <c r="Y211" s="2944"/>
      <c r="Z211" s="2944"/>
      <c r="AA211" s="2944"/>
      <c r="AB211" s="2944"/>
      <c r="AC211" s="2934">
        <f t="shared" si="126"/>
        <v>0</v>
      </c>
      <c r="AD211" s="2954"/>
      <c r="AE211" s="2954"/>
      <c r="AF211" s="2954"/>
      <c r="AG211" s="2954"/>
      <c r="AH211" s="2954"/>
      <c r="AI211" s="2954"/>
      <c r="AJ211" s="2954"/>
      <c r="AK211" s="2954"/>
      <c r="AL211" s="2954"/>
      <c r="AM211" s="2954"/>
      <c r="AN211" s="2954"/>
      <c r="AO211" s="2954"/>
      <c r="AP211" s="2954"/>
      <c r="AQ211" s="2954"/>
      <c r="AR211" s="2954"/>
      <c r="AS211" s="2954"/>
      <c r="AT211" s="2935"/>
      <c r="AU211" s="2964"/>
      <c r="AV211" s="857">
        <f t="shared" si="127"/>
        <v>0</v>
      </c>
      <c r="AW211" s="857">
        <f t="shared" si="128"/>
        <v>0</v>
      </c>
      <c r="AX211" s="857">
        <f t="shared" si="129"/>
        <v>0</v>
      </c>
      <c r="AY211" s="807">
        <f t="shared" si="130"/>
        <v>0</v>
      </c>
      <c r="AZ211" s="2934">
        <f t="shared" si="131"/>
        <v>0</v>
      </c>
      <c r="BA211" s="2934">
        <f t="shared" si="132"/>
        <v>0</v>
      </c>
      <c r="BB211" s="2934">
        <f t="shared" si="133"/>
        <v>0</v>
      </c>
      <c r="BC211" s="2934">
        <f t="shared" si="134"/>
        <v>0</v>
      </c>
      <c r="BD211" s="2934">
        <f t="shared" si="135"/>
        <v>0</v>
      </c>
      <c r="BE211" s="2934">
        <f t="shared" si="136"/>
        <v>0</v>
      </c>
      <c r="BF211" s="2934">
        <f t="shared" si="137"/>
        <v>0</v>
      </c>
      <c r="BG211" s="2934">
        <f t="shared" si="138"/>
        <v>0</v>
      </c>
      <c r="BH211" s="2934">
        <f t="shared" si="139"/>
        <v>0</v>
      </c>
      <c r="BI211" s="2934">
        <f t="shared" si="140"/>
        <v>0</v>
      </c>
      <c r="BJ211" s="2934">
        <f t="shared" si="141"/>
        <v>0</v>
      </c>
      <c r="BK211" s="2934">
        <f t="shared" si="142"/>
        <v>0</v>
      </c>
      <c r="BL211" s="2934">
        <f t="shared" si="143"/>
        <v>0</v>
      </c>
      <c r="BM211" s="2934">
        <f t="shared" si="144"/>
        <v>0</v>
      </c>
      <c r="BN211" s="2934">
        <f t="shared" si="145"/>
        <v>0</v>
      </c>
      <c r="BO211" s="2934">
        <f t="shared" si="146"/>
        <v>0</v>
      </c>
      <c r="BP211" s="2934">
        <f t="shared" si="147"/>
        <v>0</v>
      </c>
      <c r="BQ211" s="2934">
        <f t="shared" si="148"/>
        <v>0</v>
      </c>
      <c r="BR211" s="2934">
        <f t="shared" si="149"/>
        <v>0</v>
      </c>
      <c r="BS211" s="2934">
        <f t="shared" si="150"/>
        <v>0</v>
      </c>
      <c r="BT211" s="2982">
        <f t="shared" si="151"/>
        <v>0</v>
      </c>
    </row>
    <row r="212" spans="1:72">
      <c r="A212" s="874"/>
      <c r="B212" s="882"/>
      <c r="C212" s="882"/>
      <c r="D212" s="2933"/>
      <c r="E212" s="2934">
        <f t="shared" si="123"/>
        <v>0</v>
      </c>
      <c r="F212" s="2935"/>
      <c r="G212" s="2936">
        <f t="shared" si="124"/>
        <v>0</v>
      </c>
      <c r="H212" s="2937">
        <f t="shared" si="125"/>
        <v>0</v>
      </c>
      <c r="I212" s="2944"/>
      <c r="J212" s="2944"/>
      <c r="K212" s="2944"/>
      <c r="L212" s="2944"/>
      <c r="M212" s="2944"/>
      <c r="N212" s="2944"/>
      <c r="O212" s="2944"/>
      <c r="P212" s="2944"/>
      <c r="Q212" s="2944"/>
      <c r="R212" s="2944"/>
      <c r="S212" s="2944"/>
      <c r="T212" s="2944"/>
      <c r="U212" s="2944"/>
      <c r="V212" s="2944"/>
      <c r="W212" s="2944"/>
      <c r="X212" s="2944"/>
      <c r="Y212" s="2944"/>
      <c r="Z212" s="2944"/>
      <c r="AA212" s="2944"/>
      <c r="AB212" s="2944"/>
      <c r="AC212" s="2934">
        <f t="shared" si="126"/>
        <v>0</v>
      </c>
      <c r="AD212" s="2954"/>
      <c r="AE212" s="2954"/>
      <c r="AF212" s="2954"/>
      <c r="AG212" s="2954"/>
      <c r="AH212" s="2954"/>
      <c r="AI212" s="2954"/>
      <c r="AJ212" s="2954"/>
      <c r="AK212" s="2954"/>
      <c r="AL212" s="2954"/>
      <c r="AM212" s="2954"/>
      <c r="AN212" s="2954"/>
      <c r="AO212" s="2954"/>
      <c r="AP212" s="2954"/>
      <c r="AQ212" s="2954"/>
      <c r="AR212" s="2954"/>
      <c r="AS212" s="2954"/>
      <c r="AT212" s="2935"/>
      <c r="AU212" s="2964"/>
      <c r="AV212" s="857">
        <f t="shared" si="127"/>
        <v>0</v>
      </c>
      <c r="AW212" s="857">
        <f t="shared" si="128"/>
        <v>0</v>
      </c>
      <c r="AX212" s="857">
        <f t="shared" si="129"/>
        <v>0</v>
      </c>
      <c r="AY212" s="807">
        <f t="shared" si="130"/>
        <v>0</v>
      </c>
      <c r="AZ212" s="2934">
        <f t="shared" si="131"/>
        <v>0</v>
      </c>
      <c r="BA212" s="2934">
        <f t="shared" si="132"/>
        <v>0</v>
      </c>
      <c r="BB212" s="2934">
        <f t="shared" si="133"/>
        <v>0</v>
      </c>
      <c r="BC212" s="2934">
        <f t="shared" si="134"/>
        <v>0</v>
      </c>
      <c r="BD212" s="2934">
        <f t="shared" si="135"/>
        <v>0</v>
      </c>
      <c r="BE212" s="2934">
        <f t="shared" si="136"/>
        <v>0</v>
      </c>
      <c r="BF212" s="2934">
        <f t="shared" si="137"/>
        <v>0</v>
      </c>
      <c r="BG212" s="2934">
        <f t="shared" si="138"/>
        <v>0</v>
      </c>
      <c r="BH212" s="2934">
        <f t="shared" si="139"/>
        <v>0</v>
      </c>
      <c r="BI212" s="2934">
        <f t="shared" si="140"/>
        <v>0</v>
      </c>
      <c r="BJ212" s="2934">
        <f t="shared" si="141"/>
        <v>0</v>
      </c>
      <c r="BK212" s="2934">
        <f t="shared" si="142"/>
        <v>0</v>
      </c>
      <c r="BL212" s="2934">
        <f t="shared" si="143"/>
        <v>0</v>
      </c>
      <c r="BM212" s="2934">
        <f t="shared" si="144"/>
        <v>0</v>
      </c>
      <c r="BN212" s="2934">
        <f t="shared" si="145"/>
        <v>0</v>
      </c>
      <c r="BO212" s="2934">
        <f t="shared" si="146"/>
        <v>0</v>
      </c>
      <c r="BP212" s="2934">
        <f t="shared" si="147"/>
        <v>0</v>
      </c>
      <c r="BQ212" s="2934">
        <f t="shared" si="148"/>
        <v>0</v>
      </c>
      <c r="BR212" s="2934">
        <f t="shared" si="149"/>
        <v>0</v>
      </c>
      <c r="BS212" s="2934">
        <f t="shared" si="150"/>
        <v>0</v>
      </c>
      <c r="BT212" s="2982">
        <f t="shared" si="151"/>
        <v>0</v>
      </c>
    </row>
    <row r="213" spans="1:72">
      <c r="A213" s="874"/>
      <c r="B213" s="882"/>
      <c r="C213" s="882"/>
      <c r="D213" s="2933"/>
      <c r="E213" s="2934">
        <f t="shared" si="123"/>
        <v>0</v>
      </c>
      <c r="F213" s="2935"/>
      <c r="G213" s="2936">
        <f t="shared" si="124"/>
        <v>0</v>
      </c>
      <c r="H213" s="2937">
        <f t="shared" si="125"/>
        <v>0</v>
      </c>
      <c r="I213" s="2944"/>
      <c r="J213" s="2944"/>
      <c r="K213" s="2944"/>
      <c r="L213" s="2944"/>
      <c r="M213" s="2944"/>
      <c r="N213" s="2944"/>
      <c r="O213" s="2944"/>
      <c r="P213" s="2944"/>
      <c r="Q213" s="2944"/>
      <c r="R213" s="2944"/>
      <c r="S213" s="2944"/>
      <c r="T213" s="2944"/>
      <c r="U213" s="2944"/>
      <c r="V213" s="2944"/>
      <c r="W213" s="2944"/>
      <c r="X213" s="2944"/>
      <c r="Y213" s="2944"/>
      <c r="Z213" s="2944"/>
      <c r="AA213" s="2944"/>
      <c r="AB213" s="2944"/>
      <c r="AC213" s="2934">
        <f t="shared" si="126"/>
        <v>0</v>
      </c>
      <c r="AD213" s="2954"/>
      <c r="AE213" s="2954"/>
      <c r="AF213" s="2954"/>
      <c r="AG213" s="2954"/>
      <c r="AH213" s="2954"/>
      <c r="AI213" s="2954"/>
      <c r="AJ213" s="2954"/>
      <c r="AK213" s="2954"/>
      <c r="AL213" s="2954"/>
      <c r="AM213" s="2954"/>
      <c r="AN213" s="2954"/>
      <c r="AO213" s="2954"/>
      <c r="AP213" s="2954"/>
      <c r="AQ213" s="2954"/>
      <c r="AR213" s="2954"/>
      <c r="AS213" s="2954"/>
      <c r="AT213" s="2935"/>
      <c r="AU213" s="2964"/>
      <c r="AV213" s="857">
        <f t="shared" si="127"/>
        <v>0</v>
      </c>
      <c r="AW213" s="857">
        <f t="shared" si="128"/>
        <v>0</v>
      </c>
      <c r="AX213" s="857">
        <f t="shared" si="129"/>
        <v>0</v>
      </c>
      <c r="AY213" s="807">
        <f t="shared" si="130"/>
        <v>0</v>
      </c>
      <c r="AZ213" s="2934">
        <f t="shared" si="131"/>
        <v>0</v>
      </c>
      <c r="BA213" s="2934">
        <f t="shared" si="132"/>
        <v>0</v>
      </c>
      <c r="BB213" s="2934">
        <f t="shared" si="133"/>
        <v>0</v>
      </c>
      <c r="BC213" s="2934">
        <f t="shared" si="134"/>
        <v>0</v>
      </c>
      <c r="BD213" s="2934">
        <f t="shared" si="135"/>
        <v>0</v>
      </c>
      <c r="BE213" s="2934">
        <f t="shared" si="136"/>
        <v>0</v>
      </c>
      <c r="BF213" s="2934">
        <f t="shared" si="137"/>
        <v>0</v>
      </c>
      <c r="BG213" s="2934">
        <f t="shared" si="138"/>
        <v>0</v>
      </c>
      <c r="BH213" s="2934">
        <f t="shared" si="139"/>
        <v>0</v>
      </c>
      <c r="BI213" s="2934">
        <f t="shared" si="140"/>
        <v>0</v>
      </c>
      <c r="BJ213" s="2934">
        <f t="shared" si="141"/>
        <v>0</v>
      </c>
      <c r="BK213" s="2934">
        <f t="shared" si="142"/>
        <v>0</v>
      </c>
      <c r="BL213" s="2934">
        <f t="shared" si="143"/>
        <v>0</v>
      </c>
      <c r="BM213" s="2934">
        <f t="shared" si="144"/>
        <v>0</v>
      </c>
      <c r="BN213" s="2934">
        <f t="shared" si="145"/>
        <v>0</v>
      </c>
      <c r="BO213" s="2934">
        <f t="shared" si="146"/>
        <v>0</v>
      </c>
      <c r="BP213" s="2934">
        <f t="shared" si="147"/>
        <v>0</v>
      </c>
      <c r="BQ213" s="2934">
        <f t="shared" si="148"/>
        <v>0</v>
      </c>
      <c r="BR213" s="2934">
        <f t="shared" si="149"/>
        <v>0</v>
      </c>
      <c r="BS213" s="2934">
        <f t="shared" si="150"/>
        <v>0</v>
      </c>
      <c r="BT213" s="2982">
        <f t="shared" si="151"/>
        <v>0</v>
      </c>
    </row>
    <row r="214" spans="1:72">
      <c r="A214" s="874"/>
      <c r="B214" s="882"/>
      <c r="C214" s="882"/>
      <c r="D214" s="2933"/>
      <c r="E214" s="2934">
        <f t="shared" si="123"/>
        <v>0</v>
      </c>
      <c r="F214" s="2935"/>
      <c r="G214" s="2936">
        <f t="shared" si="124"/>
        <v>0</v>
      </c>
      <c r="H214" s="2937">
        <f t="shared" si="125"/>
        <v>0</v>
      </c>
      <c r="I214" s="2944"/>
      <c r="J214" s="2944"/>
      <c r="K214" s="2944"/>
      <c r="L214" s="2944"/>
      <c r="M214" s="2944"/>
      <c r="N214" s="2944"/>
      <c r="O214" s="2944"/>
      <c r="P214" s="2944"/>
      <c r="Q214" s="2944"/>
      <c r="R214" s="2944"/>
      <c r="S214" s="2944"/>
      <c r="T214" s="2944"/>
      <c r="U214" s="2944"/>
      <c r="V214" s="2944"/>
      <c r="W214" s="2944"/>
      <c r="X214" s="2944"/>
      <c r="Y214" s="2944"/>
      <c r="Z214" s="2944"/>
      <c r="AA214" s="2944"/>
      <c r="AB214" s="2944"/>
      <c r="AC214" s="2934">
        <f t="shared" si="126"/>
        <v>0</v>
      </c>
      <c r="AD214" s="2954"/>
      <c r="AE214" s="2954"/>
      <c r="AF214" s="2954"/>
      <c r="AG214" s="2954"/>
      <c r="AH214" s="2954"/>
      <c r="AI214" s="2954"/>
      <c r="AJ214" s="2954"/>
      <c r="AK214" s="2954"/>
      <c r="AL214" s="2954"/>
      <c r="AM214" s="2954"/>
      <c r="AN214" s="2954"/>
      <c r="AO214" s="2954"/>
      <c r="AP214" s="2954"/>
      <c r="AQ214" s="2954"/>
      <c r="AR214" s="2954"/>
      <c r="AS214" s="2954"/>
      <c r="AT214" s="2935"/>
      <c r="AU214" s="2964"/>
      <c r="AV214" s="857">
        <f t="shared" si="127"/>
        <v>0</v>
      </c>
      <c r="AW214" s="857">
        <f t="shared" si="128"/>
        <v>0</v>
      </c>
      <c r="AX214" s="857">
        <f t="shared" si="129"/>
        <v>0</v>
      </c>
      <c r="AY214" s="807">
        <f t="shared" si="130"/>
        <v>0</v>
      </c>
      <c r="AZ214" s="2934">
        <f t="shared" si="131"/>
        <v>0</v>
      </c>
      <c r="BA214" s="2934">
        <f t="shared" si="132"/>
        <v>0</v>
      </c>
      <c r="BB214" s="2934">
        <f t="shared" si="133"/>
        <v>0</v>
      </c>
      <c r="BC214" s="2934">
        <f t="shared" si="134"/>
        <v>0</v>
      </c>
      <c r="BD214" s="2934">
        <f t="shared" si="135"/>
        <v>0</v>
      </c>
      <c r="BE214" s="2934">
        <f t="shared" si="136"/>
        <v>0</v>
      </c>
      <c r="BF214" s="2934">
        <f t="shared" si="137"/>
        <v>0</v>
      </c>
      <c r="BG214" s="2934">
        <f t="shared" si="138"/>
        <v>0</v>
      </c>
      <c r="BH214" s="2934">
        <f t="shared" si="139"/>
        <v>0</v>
      </c>
      <c r="BI214" s="2934">
        <f t="shared" si="140"/>
        <v>0</v>
      </c>
      <c r="BJ214" s="2934">
        <f t="shared" si="141"/>
        <v>0</v>
      </c>
      <c r="BK214" s="2934">
        <f t="shared" si="142"/>
        <v>0</v>
      </c>
      <c r="BL214" s="2934">
        <f t="shared" si="143"/>
        <v>0</v>
      </c>
      <c r="BM214" s="2934">
        <f t="shared" si="144"/>
        <v>0</v>
      </c>
      <c r="BN214" s="2934">
        <f t="shared" si="145"/>
        <v>0</v>
      </c>
      <c r="BO214" s="2934">
        <f t="shared" si="146"/>
        <v>0</v>
      </c>
      <c r="BP214" s="2934">
        <f t="shared" si="147"/>
        <v>0</v>
      </c>
      <c r="BQ214" s="2934">
        <f t="shared" si="148"/>
        <v>0</v>
      </c>
      <c r="BR214" s="2934">
        <f t="shared" si="149"/>
        <v>0</v>
      </c>
      <c r="BS214" s="2934">
        <f t="shared" si="150"/>
        <v>0</v>
      </c>
      <c r="BT214" s="2982">
        <f t="shared" si="151"/>
        <v>0</v>
      </c>
    </row>
    <row r="215" spans="1:72">
      <c r="A215" s="874"/>
      <c r="B215" s="882"/>
      <c r="C215" s="882"/>
      <c r="D215" s="2933"/>
      <c r="E215" s="2934">
        <f t="shared" si="123"/>
        <v>0</v>
      </c>
      <c r="F215" s="2935"/>
      <c r="G215" s="2936">
        <f t="shared" si="124"/>
        <v>0</v>
      </c>
      <c r="H215" s="2937">
        <f t="shared" si="125"/>
        <v>0</v>
      </c>
      <c r="I215" s="2944"/>
      <c r="J215" s="2944"/>
      <c r="K215" s="2944"/>
      <c r="L215" s="2944"/>
      <c r="M215" s="2944"/>
      <c r="N215" s="2944"/>
      <c r="O215" s="2944"/>
      <c r="P215" s="2944"/>
      <c r="Q215" s="2944"/>
      <c r="R215" s="2944"/>
      <c r="S215" s="2944"/>
      <c r="T215" s="2944"/>
      <c r="U215" s="2944"/>
      <c r="V215" s="2944"/>
      <c r="W215" s="2944"/>
      <c r="X215" s="2944"/>
      <c r="Y215" s="2944"/>
      <c r="Z215" s="2944"/>
      <c r="AA215" s="2944"/>
      <c r="AB215" s="2944"/>
      <c r="AC215" s="2934">
        <f t="shared" si="126"/>
        <v>0</v>
      </c>
      <c r="AD215" s="2954"/>
      <c r="AE215" s="2954"/>
      <c r="AF215" s="2954"/>
      <c r="AG215" s="2954"/>
      <c r="AH215" s="2954"/>
      <c r="AI215" s="2954"/>
      <c r="AJ215" s="2954"/>
      <c r="AK215" s="2954"/>
      <c r="AL215" s="2954"/>
      <c r="AM215" s="2954"/>
      <c r="AN215" s="2954"/>
      <c r="AO215" s="2954"/>
      <c r="AP215" s="2954"/>
      <c r="AQ215" s="2954"/>
      <c r="AR215" s="2954"/>
      <c r="AS215" s="2954"/>
      <c r="AT215" s="2935"/>
      <c r="AU215" s="2964"/>
      <c r="AV215" s="857">
        <f t="shared" si="127"/>
        <v>0</v>
      </c>
      <c r="AW215" s="857">
        <f t="shared" si="128"/>
        <v>0</v>
      </c>
      <c r="AX215" s="857">
        <f t="shared" si="129"/>
        <v>0</v>
      </c>
      <c r="AY215" s="807">
        <f t="shared" si="130"/>
        <v>0</v>
      </c>
      <c r="AZ215" s="2934">
        <f t="shared" si="131"/>
        <v>0</v>
      </c>
      <c r="BA215" s="2934">
        <f t="shared" si="132"/>
        <v>0</v>
      </c>
      <c r="BB215" s="2934">
        <f t="shared" si="133"/>
        <v>0</v>
      </c>
      <c r="BC215" s="2934">
        <f t="shared" si="134"/>
        <v>0</v>
      </c>
      <c r="BD215" s="2934">
        <f t="shared" si="135"/>
        <v>0</v>
      </c>
      <c r="BE215" s="2934">
        <f t="shared" si="136"/>
        <v>0</v>
      </c>
      <c r="BF215" s="2934">
        <f t="shared" si="137"/>
        <v>0</v>
      </c>
      <c r="BG215" s="2934">
        <f t="shared" si="138"/>
        <v>0</v>
      </c>
      <c r="BH215" s="2934">
        <f t="shared" si="139"/>
        <v>0</v>
      </c>
      <c r="BI215" s="2934">
        <f t="shared" si="140"/>
        <v>0</v>
      </c>
      <c r="BJ215" s="2934">
        <f t="shared" si="141"/>
        <v>0</v>
      </c>
      <c r="BK215" s="2934">
        <f t="shared" si="142"/>
        <v>0</v>
      </c>
      <c r="BL215" s="2934">
        <f t="shared" si="143"/>
        <v>0</v>
      </c>
      <c r="BM215" s="2934">
        <f t="shared" si="144"/>
        <v>0</v>
      </c>
      <c r="BN215" s="2934">
        <f t="shared" si="145"/>
        <v>0</v>
      </c>
      <c r="BO215" s="2934">
        <f t="shared" si="146"/>
        <v>0</v>
      </c>
      <c r="BP215" s="2934">
        <f t="shared" si="147"/>
        <v>0</v>
      </c>
      <c r="BQ215" s="2934">
        <f t="shared" si="148"/>
        <v>0</v>
      </c>
      <c r="BR215" s="2934">
        <f t="shared" si="149"/>
        <v>0</v>
      </c>
      <c r="BS215" s="2934">
        <f t="shared" si="150"/>
        <v>0</v>
      </c>
      <c r="BT215" s="2982">
        <f t="shared" si="151"/>
        <v>0</v>
      </c>
    </row>
    <row r="216" spans="1:72">
      <c r="A216" s="874"/>
      <c r="B216" s="882"/>
      <c r="C216" s="882"/>
      <c r="D216" s="2933"/>
      <c r="E216" s="2934">
        <f t="shared" si="123"/>
        <v>0</v>
      </c>
      <c r="F216" s="2935"/>
      <c r="G216" s="2936">
        <f t="shared" si="124"/>
        <v>0</v>
      </c>
      <c r="H216" s="2937">
        <f t="shared" si="125"/>
        <v>0</v>
      </c>
      <c r="I216" s="2944"/>
      <c r="J216" s="2944"/>
      <c r="K216" s="2944"/>
      <c r="L216" s="2944"/>
      <c r="M216" s="2944"/>
      <c r="N216" s="2944"/>
      <c r="O216" s="2944"/>
      <c r="P216" s="2944"/>
      <c r="Q216" s="2944"/>
      <c r="R216" s="2944"/>
      <c r="S216" s="2944"/>
      <c r="T216" s="2944"/>
      <c r="U216" s="2944"/>
      <c r="V216" s="2944"/>
      <c r="W216" s="2944"/>
      <c r="X216" s="2944"/>
      <c r="Y216" s="2944"/>
      <c r="Z216" s="2944"/>
      <c r="AA216" s="2944"/>
      <c r="AB216" s="2944"/>
      <c r="AC216" s="2934">
        <f t="shared" si="126"/>
        <v>0</v>
      </c>
      <c r="AD216" s="2954"/>
      <c r="AE216" s="2954"/>
      <c r="AF216" s="2954"/>
      <c r="AG216" s="2954"/>
      <c r="AH216" s="2954"/>
      <c r="AI216" s="2954"/>
      <c r="AJ216" s="2954"/>
      <c r="AK216" s="2954"/>
      <c r="AL216" s="2954"/>
      <c r="AM216" s="2954"/>
      <c r="AN216" s="2954"/>
      <c r="AO216" s="2954"/>
      <c r="AP216" s="2954"/>
      <c r="AQ216" s="2954"/>
      <c r="AR216" s="2954"/>
      <c r="AS216" s="2954"/>
      <c r="AT216" s="2935"/>
      <c r="AU216" s="2964"/>
      <c r="AV216" s="857">
        <f t="shared" si="127"/>
        <v>0</v>
      </c>
      <c r="AW216" s="857">
        <f t="shared" si="128"/>
        <v>0</v>
      </c>
      <c r="AX216" s="857">
        <f t="shared" si="129"/>
        <v>0</v>
      </c>
      <c r="AY216" s="807">
        <f t="shared" si="130"/>
        <v>0</v>
      </c>
      <c r="AZ216" s="2934">
        <f t="shared" si="131"/>
        <v>0</v>
      </c>
      <c r="BA216" s="2934">
        <f t="shared" si="132"/>
        <v>0</v>
      </c>
      <c r="BB216" s="2934">
        <f t="shared" si="133"/>
        <v>0</v>
      </c>
      <c r="BC216" s="2934">
        <f t="shared" si="134"/>
        <v>0</v>
      </c>
      <c r="BD216" s="2934">
        <f t="shared" si="135"/>
        <v>0</v>
      </c>
      <c r="BE216" s="2934">
        <f t="shared" si="136"/>
        <v>0</v>
      </c>
      <c r="BF216" s="2934">
        <f t="shared" si="137"/>
        <v>0</v>
      </c>
      <c r="BG216" s="2934">
        <f t="shared" si="138"/>
        <v>0</v>
      </c>
      <c r="BH216" s="2934">
        <f t="shared" si="139"/>
        <v>0</v>
      </c>
      <c r="BI216" s="2934">
        <f t="shared" si="140"/>
        <v>0</v>
      </c>
      <c r="BJ216" s="2934">
        <f t="shared" si="141"/>
        <v>0</v>
      </c>
      <c r="BK216" s="2934">
        <f t="shared" si="142"/>
        <v>0</v>
      </c>
      <c r="BL216" s="2934">
        <f t="shared" si="143"/>
        <v>0</v>
      </c>
      <c r="BM216" s="2934">
        <f t="shared" si="144"/>
        <v>0</v>
      </c>
      <c r="BN216" s="2934">
        <f t="shared" si="145"/>
        <v>0</v>
      </c>
      <c r="BO216" s="2934">
        <f t="shared" si="146"/>
        <v>0</v>
      </c>
      <c r="BP216" s="2934">
        <f t="shared" si="147"/>
        <v>0</v>
      </c>
      <c r="BQ216" s="2934">
        <f t="shared" si="148"/>
        <v>0</v>
      </c>
      <c r="BR216" s="2934">
        <f t="shared" si="149"/>
        <v>0</v>
      </c>
      <c r="BS216" s="2934">
        <f t="shared" si="150"/>
        <v>0</v>
      </c>
      <c r="BT216" s="2982">
        <f t="shared" si="151"/>
        <v>0</v>
      </c>
    </row>
    <row r="217" spans="1:72">
      <c r="A217" s="874"/>
      <c r="B217" s="882"/>
      <c r="C217" s="882"/>
      <c r="D217" s="2933"/>
      <c r="E217" s="2934">
        <f t="shared" si="123"/>
        <v>0</v>
      </c>
      <c r="F217" s="2935"/>
      <c r="G217" s="2936">
        <f t="shared" si="124"/>
        <v>0</v>
      </c>
      <c r="H217" s="2937">
        <f t="shared" si="125"/>
        <v>0</v>
      </c>
      <c r="I217" s="2944"/>
      <c r="J217" s="2944"/>
      <c r="K217" s="2944"/>
      <c r="L217" s="2944"/>
      <c r="M217" s="2944"/>
      <c r="N217" s="2944"/>
      <c r="O217" s="2944"/>
      <c r="P217" s="2944"/>
      <c r="Q217" s="2944"/>
      <c r="R217" s="2944"/>
      <c r="S217" s="2944"/>
      <c r="T217" s="2944"/>
      <c r="U217" s="2944"/>
      <c r="V217" s="2944"/>
      <c r="W217" s="2944"/>
      <c r="X217" s="2944"/>
      <c r="Y217" s="2944"/>
      <c r="Z217" s="2944"/>
      <c r="AA217" s="2944"/>
      <c r="AB217" s="2944"/>
      <c r="AC217" s="2934">
        <f t="shared" si="126"/>
        <v>0</v>
      </c>
      <c r="AD217" s="2954"/>
      <c r="AE217" s="2954"/>
      <c r="AF217" s="2954"/>
      <c r="AG217" s="2954"/>
      <c r="AH217" s="2954"/>
      <c r="AI217" s="2954"/>
      <c r="AJ217" s="2954"/>
      <c r="AK217" s="2954"/>
      <c r="AL217" s="2954"/>
      <c r="AM217" s="2954"/>
      <c r="AN217" s="2954"/>
      <c r="AO217" s="2954"/>
      <c r="AP217" s="2954"/>
      <c r="AQ217" s="2954"/>
      <c r="AR217" s="2954"/>
      <c r="AS217" s="2954"/>
      <c r="AT217" s="2935"/>
      <c r="AU217" s="2964"/>
      <c r="AV217" s="857">
        <f t="shared" si="127"/>
        <v>0</v>
      </c>
      <c r="AW217" s="857">
        <f t="shared" si="128"/>
        <v>0</v>
      </c>
      <c r="AX217" s="857">
        <f t="shared" si="129"/>
        <v>0</v>
      </c>
      <c r="AY217" s="807">
        <f t="shared" si="130"/>
        <v>0</v>
      </c>
      <c r="AZ217" s="2934">
        <f t="shared" si="131"/>
        <v>0</v>
      </c>
      <c r="BA217" s="2934">
        <f t="shared" si="132"/>
        <v>0</v>
      </c>
      <c r="BB217" s="2934">
        <f t="shared" si="133"/>
        <v>0</v>
      </c>
      <c r="BC217" s="2934">
        <f t="shared" si="134"/>
        <v>0</v>
      </c>
      <c r="BD217" s="2934">
        <f t="shared" si="135"/>
        <v>0</v>
      </c>
      <c r="BE217" s="2934">
        <f t="shared" si="136"/>
        <v>0</v>
      </c>
      <c r="BF217" s="2934">
        <f t="shared" si="137"/>
        <v>0</v>
      </c>
      <c r="BG217" s="2934">
        <f t="shared" si="138"/>
        <v>0</v>
      </c>
      <c r="BH217" s="2934">
        <f t="shared" si="139"/>
        <v>0</v>
      </c>
      <c r="BI217" s="2934">
        <f t="shared" si="140"/>
        <v>0</v>
      </c>
      <c r="BJ217" s="2934">
        <f t="shared" si="141"/>
        <v>0</v>
      </c>
      <c r="BK217" s="2934">
        <f t="shared" si="142"/>
        <v>0</v>
      </c>
      <c r="BL217" s="2934">
        <f t="shared" si="143"/>
        <v>0</v>
      </c>
      <c r="BM217" s="2934">
        <f t="shared" si="144"/>
        <v>0</v>
      </c>
      <c r="BN217" s="2934">
        <f t="shared" si="145"/>
        <v>0</v>
      </c>
      <c r="BO217" s="2934">
        <f t="shared" si="146"/>
        <v>0</v>
      </c>
      <c r="BP217" s="2934">
        <f t="shared" si="147"/>
        <v>0</v>
      </c>
      <c r="BQ217" s="2934">
        <f t="shared" si="148"/>
        <v>0</v>
      </c>
      <c r="BR217" s="2934">
        <f t="shared" si="149"/>
        <v>0</v>
      </c>
      <c r="BS217" s="2934">
        <f t="shared" si="150"/>
        <v>0</v>
      </c>
      <c r="BT217" s="2982">
        <f t="shared" si="151"/>
        <v>0</v>
      </c>
    </row>
    <row r="218" spans="1:72">
      <c r="A218" s="874"/>
      <c r="B218" s="882"/>
      <c r="C218" s="882"/>
      <c r="D218" s="2933"/>
      <c r="E218" s="2934">
        <f t="shared" si="123"/>
        <v>0</v>
      </c>
      <c r="F218" s="2935"/>
      <c r="G218" s="2936">
        <f t="shared" si="124"/>
        <v>0</v>
      </c>
      <c r="H218" s="2937">
        <f t="shared" si="125"/>
        <v>0</v>
      </c>
      <c r="I218" s="2944"/>
      <c r="J218" s="2944"/>
      <c r="K218" s="2944"/>
      <c r="L218" s="2944"/>
      <c r="M218" s="2944"/>
      <c r="N218" s="2944"/>
      <c r="O218" s="2944"/>
      <c r="P218" s="2944"/>
      <c r="Q218" s="2944"/>
      <c r="R218" s="2944"/>
      <c r="S218" s="2944"/>
      <c r="T218" s="2944"/>
      <c r="U218" s="2944"/>
      <c r="V218" s="2944"/>
      <c r="W218" s="2944"/>
      <c r="X218" s="2944"/>
      <c r="Y218" s="2944"/>
      <c r="Z218" s="2944"/>
      <c r="AA218" s="2944"/>
      <c r="AB218" s="2944"/>
      <c r="AC218" s="2934">
        <f t="shared" si="126"/>
        <v>0</v>
      </c>
      <c r="AD218" s="2954"/>
      <c r="AE218" s="2954"/>
      <c r="AF218" s="2954"/>
      <c r="AG218" s="2954"/>
      <c r="AH218" s="2954"/>
      <c r="AI218" s="2954"/>
      <c r="AJ218" s="2954"/>
      <c r="AK218" s="2954"/>
      <c r="AL218" s="2954"/>
      <c r="AM218" s="2954"/>
      <c r="AN218" s="2954"/>
      <c r="AO218" s="2954"/>
      <c r="AP218" s="2954"/>
      <c r="AQ218" s="2954"/>
      <c r="AR218" s="2954"/>
      <c r="AS218" s="2954"/>
      <c r="AT218" s="2935"/>
      <c r="AU218" s="2964"/>
      <c r="AV218" s="857">
        <f t="shared" si="127"/>
        <v>0</v>
      </c>
      <c r="AW218" s="857">
        <f t="shared" si="128"/>
        <v>0</v>
      </c>
      <c r="AX218" s="857">
        <f t="shared" si="129"/>
        <v>0</v>
      </c>
      <c r="AY218" s="807">
        <f t="shared" si="130"/>
        <v>0</v>
      </c>
      <c r="AZ218" s="2934">
        <f t="shared" si="131"/>
        <v>0</v>
      </c>
      <c r="BA218" s="2934">
        <f t="shared" si="132"/>
        <v>0</v>
      </c>
      <c r="BB218" s="2934">
        <f t="shared" si="133"/>
        <v>0</v>
      </c>
      <c r="BC218" s="2934">
        <f t="shared" si="134"/>
        <v>0</v>
      </c>
      <c r="BD218" s="2934">
        <f t="shared" si="135"/>
        <v>0</v>
      </c>
      <c r="BE218" s="2934">
        <f t="shared" si="136"/>
        <v>0</v>
      </c>
      <c r="BF218" s="2934">
        <f t="shared" si="137"/>
        <v>0</v>
      </c>
      <c r="BG218" s="2934">
        <f t="shared" si="138"/>
        <v>0</v>
      </c>
      <c r="BH218" s="2934">
        <f t="shared" si="139"/>
        <v>0</v>
      </c>
      <c r="BI218" s="2934">
        <f t="shared" si="140"/>
        <v>0</v>
      </c>
      <c r="BJ218" s="2934">
        <f t="shared" si="141"/>
        <v>0</v>
      </c>
      <c r="BK218" s="2934">
        <f t="shared" si="142"/>
        <v>0</v>
      </c>
      <c r="BL218" s="2934">
        <f t="shared" si="143"/>
        <v>0</v>
      </c>
      <c r="BM218" s="2934">
        <f t="shared" si="144"/>
        <v>0</v>
      </c>
      <c r="BN218" s="2934">
        <f t="shared" si="145"/>
        <v>0</v>
      </c>
      <c r="BO218" s="2934">
        <f t="shared" si="146"/>
        <v>0</v>
      </c>
      <c r="BP218" s="2934">
        <f t="shared" si="147"/>
        <v>0</v>
      </c>
      <c r="BQ218" s="2934">
        <f t="shared" si="148"/>
        <v>0</v>
      </c>
      <c r="BR218" s="2934">
        <f t="shared" si="149"/>
        <v>0</v>
      </c>
      <c r="BS218" s="2934">
        <f t="shared" si="150"/>
        <v>0</v>
      </c>
      <c r="BT218" s="2982">
        <f t="shared" si="151"/>
        <v>0</v>
      </c>
    </row>
    <row r="219" spans="1:72">
      <c r="A219" s="874"/>
      <c r="B219" s="882"/>
      <c r="C219" s="882"/>
      <c r="D219" s="2933"/>
      <c r="E219" s="2934">
        <f t="shared" si="123"/>
        <v>0</v>
      </c>
      <c r="F219" s="2935"/>
      <c r="G219" s="2936">
        <f t="shared" si="124"/>
        <v>0</v>
      </c>
      <c r="H219" s="2937">
        <f t="shared" si="125"/>
        <v>0</v>
      </c>
      <c r="I219" s="2944"/>
      <c r="J219" s="2944"/>
      <c r="K219" s="2944"/>
      <c r="L219" s="2944"/>
      <c r="M219" s="2944"/>
      <c r="N219" s="2944"/>
      <c r="O219" s="2944"/>
      <c r="P219" s="2944"/>
      <c r="Q219" s="2944"/>
      <c r="R219" s="2944"/>
      <c r="S219" s="2944"/>
      <c r="T219" s="2944"/>
      <c r="U219" s="2944"/>
      <c r="V219" s="2944"/>
      <c r="W219" s="2944"/>
      <c r="X219" s="2944"/>
      <c r="Y219" s="2944"/>
      <c r="Z219" s="2944"/>
      <c r="AA219" s="2944"/>
      <c r="AB219" s="2944"/>
      <c r="AC219" s="2934">
        <f t="shared" si="126"/>
        <v>0</v>
      </c>
      <c r="AD219" s="2954"/>
      <c r="AE219" s="2954"/>
      <c r="AF219" s="2954"/>
      <c r="AG219" s="2954"/>
      <c r="AH219" s="2954"/>
      <c r="AI219" s="2954"/>
      <c r="AJ219" s="2954"/>
      <c r="AK219" s="2954"/>
      <c r="AL219" s="2954"/>
      <c r="AM219" s="2954"/>
      <c r="AN219" s="2954"/>
      <c r="AO219" s="2954"/>
      <c r="AP219" s="2954"/>
      <c r="AQ219" s="2954"/>
      <c r="AR219" s="2954"/>
      <c r="AS219" s="2954"/>
      <c r="AT219" s="2935"/>
      <c r="AU219" s="2964"/>
      <c r="AV219" s="857">
        <f t="shared" si="127"/>
        <v>0</v>
      </c>
      <c r="AW219" s="857">
        <f t="shared" si="128"/>
        <v>0</v>
      </c>
      <c r="AX219" s="857">
        <f t="shared" si="129"/>
        <v>0</v>
      </c>
      <c r="AY219" s="807">
        <f t="shared" si="130"/>
        <v>0</v>
      </c>
      <c r="AZ219" s="2934">
        <f t="shared" si="131"/>
        <v>0</v>
      </c>
      <c r="BA219" s="2934">
        <f t="shared" si="132"/>
        <v>0</v>
      </c>
      <c r="BB219" s="2934">
        <f t="shared" si="133"/>
        <v>0</v>
      </c>
      <c r="BC219" s="2934">
        <f t="shared" si="134"/>
        <v>0</v>
      </c>
      <c r="BD219" s="2934">
        <f t="shared" si="135"/>
        <v>0</v>
      </c>
      <c r="BE219" s="2934">
        <f t="shared" si="136"/>
        <v>0</v>
      </c>
      <c r="BF219" s="2934">
        <f t="shared" si="137"/>
        <v>0</v>
      </c>
      <c r="BG219" s="2934">
        <f t="shared" si="138"/>
        <v>0</v>
      </c>
      <c r="BH219" s="2934">
        <f t="shared" si="139"/>
        <v>0</v>
      </c>
      <c r="BI219" s="2934">
        <f t="shared" si="140"/>
        <v>0</v>
      </c>
      <c r="BJ219" s="2934">
        <f t="shared" si="141"/>
        <v>0</v>
      </c>
      <c r="BK219" s="2934">
        <f t="shared" si="142"/>
        <v>0</v>
      </c>
      <c r="BL219" s="2934">
        <f t="shared" si="143"/>
        <v>0</v>
      </c>
      <c r="BM219" s="2934">
        <f t="shared" si="144"/>
        <v>0</v>
      </c>
      <c r="BN219" s="2934">
        <f t="shared" si="145"/>
        <v>0</v>
      </c>
      <c r="BO219" s="2934">
        <f t="shared" si="146"/>
        <v>0</v>
      </c>
      <c r="BP219" s="2934">
        <f t="shared" si="147"/>
        <v>0</v>
      </c>
      <c r="BQ219" s="2934">
        <f t="shared" si="148"/>
        <v>0</v>
      </c>
      <c r="BR219" s="2934">
        <f t="shared" si="149"/>
        <v>0</v>
      </c>
      <c r="BS219" s="2934">
        <f t="shared" si="150"/>
        <v>0</v>
      </c>
      <c r="BT219" s="2982">
        <f t="shared" si="151"/>
        <v>0</v>
      </c>
    </row>
    <row r="220" spans="1:72">
      <c r="A220" s="874"/>
      <c r="B220" s="882"/>
      <c r="C220" s="882"/>
      <c r="D220" s="2933"/>
      <c r="E220" s="2934">
        <f t="shared" si="123"/>
        <v>0</v>
      </c>
      <c r="F220" s="2935"/>
      <c r="G220" s="2936">
        <f t="shared" si="124"/>
        <v>0</v>
      </c>
      <c r="H220" s="2937">
        <f t="shared" si="125"/>
        <v>0</v>
      </c>
      <c r="I220" s="2944"/>
      <c r="J220" s="2944"/>
      <c r="K220" s="2944"/>
      <c r="L220" s="2944"/>
      <c r="M220" s="2944"/>
      <c r="N220" s="2944"/>
      <c r="O220" s="2944"/>
      <c r="P220" s="2944"/>
      <c r="Q220" s="2944"/>
      <c r="R220" s="2944"/>
      <c r="S220" s="2944"/>
      <c r="T220" s="2944"/>
      <c r="U220" s="2944"/>
      <c r="V220" s="2944"/>
      <c r="W220" s="2944"/>
      <c r="X220" s="2944"/>
      <c r="Y220" s="2944"/>
      <c r="Z220" s="2944"/>
      <c r="AA220" s="2944"/>
      <c r="AB220" s="2944"/>
      <c r="AC220" s="2934">
        <f t="shared" si="126"/>
        <v>0</v>
      </c>
      <c r="AD220" s="2954"/>
      <c r="AE220" s="2954"/>
      <c r="AF220" s="2954"/>
      <c r="AG220" s="2954"/>
      <c r="AH220" s="2954"/>
      <c r="AI220" s="2954"/>
      <c r="AJ220" s="2954"/>
      <c r="AK220" s="2954"/>
      <c r="AL220" s="2954"/>
      <c r="AM220" s="2954"/>
      <c r="AN220" s="2954"/>
      <c r="AO220" s="2954"/>
      <c r="AP220" s="2954"/>
      <c r="AQ220" s="2954"/>
      <c r="AR220" s="2954"/>
      <c r="AS220" s="2954"/>
      <c r="AT220" s="2935"/>
      <c r="AU220" s="2964"/>
      <c r="AV220" s="857">
        <f t="shared" si="127"/>
        <v>0</v>
      </c>
      <c r="AW220" s="857">
        <f t="shared" si="128"/>
        <v>0</v>
      </c>
      <c r="AX220" s="857">
        <f t="shared" si="129"/>
        <v>0</v>
      </c>
      <c r="AY220" s="807">
        <f t="shared" si="130"/>
        <v>0</v>
      </c>
      <c r="AZ220" s="2934">
        <f t="shared" si="131"/>
        <v>0</v>
      </c>
      <c r="BA220" s="2934">
        <f t="shared" si="132"/>
        <v>0</v>
      </c>
      <c r="BB220" s="2934">
        <f t="shared" si="133"/>
        <v>0</v>
      </c>
      <c r="BC220" s="2934">
        <f t="shared" si="134"/>
        <v>0</v>
      </c>
      <c r="BD220" s="2934">
        <f t="shared" si="135"/>
        <v>0</v>
      </c>
      <c r="BE220" s="2934">
        <f t="shared" si="136"/>
        <v>0</v>
      </c>
      <c r="BF220" s="2934">
        <f t="shared" si="137"/>
        <v>0</v>
      </c>
      <c r="BG220" s="2934">
        <f t="shared" si="138"/>
        <v>0</v>
      </c>
      <c r="BH220" s="2934">
        <f t="shared" si="139"/>
        <v>0</v>
      </c>
      <c r="BI220" s="2934">
        <f t="shared" si="140"/>
        <v>0</v>
      </c>
      <c r="BJ220" s="2934">
        <f t="shared" si="141"/>
        <v>0</v>
      </c>
      <c r="BK220" s="2934">
        <f t="shared" si="142"/>
        <v>0</v>
      </c>
      <c r="BL220" s="2934">
        <f t="shared" si="143"/>
        <v>0</v>
      </c>
      <c r="BM220" s="2934">
        <f t="shared" si="144"/>
        <v>0</v>
      </c>
      <c r="BN220" s="2934">
        <f t="shared" si="145"/>
        <v>0</v>
      </c>
      <c r="BO220" s="2934">
        <f t="shared" si="146"/>
        <v>0</v>
      </c>
      <c r="BP220" s="2934">
        <f t="shared" si="147"/>
        <v>0</v>
      </c>
      <c r="BQ220" s="2934">
        <f t="shared" si="148"/>
        <v>0</v>
      </c>
      <c r="BR220" s="2934">
        <f t="shared" si="149"/>
        <v>0</v>
      </c>
      <c r="BS220" s="2934">
        <f t="shared" si="150"/>
        <v>0</v>
      </c>
      <c r="BT220" s="2982">
        <f t="shared" si="151"/>
        <v>0</v>
      </c>
    </row>
    <row r="221" spans="1:72">
      <c r="A221" s="874"/>
      <c r="B221" s="882"/>
      <c r="C221" s="882"/>
      <c r="D221" s="2933"/>
      <c r="E221" s="2934">
        <f t="shared" si="123"/>
        <v>0</v>
      </c>
      <c r="F221" s="2935"/>
      <c r="G221" s="2936">
        <f t="shared" si="124"/>
        <v>0</v>
      </c>
      <c r="H221" s="2937">
        <f t="shared" si="125"/>
        <v>0</v>
      </c>
      <c r="I221" s="2944"/>
      <c r="J221" s="2944"/>
      <c r="K221" s="2944"/>
      <c r="L221" s="2944"/>
      <c r="M221" s="2944"/>
      <c r="N221" s="2944"/>
      <c r="O221" s="2944"/>
      <c r="P221" s="2944"/>
      <c r="Q221" s="2944"/>
      <c r="R221" s="2944"/>
      <c r="S221" s="2944"/>
      <c r="T221" s="2944"/>
      <c r="U221" s="2944"/>
      <c r="V221" s="2944"/>
      <c r="W221" s="2944"/>
      <c r="X221" s="2944"/>
      <c r="Y221" s="2944"/>
      <c r="Z221" s="2944"/>
      <c r="AA221" s="2944"/>
      <c r="AB221" s="2944"/>
      <c r="AC221" s="2934">
        <f t="shared" si="126"/>
        <v>0</v>
      </c>
      <c r="AD221" s="2954"/>
      <c r="AE221" s="2954"/>
      <c r="AF221" s="2954"/>
      <c r="AG221" s="2954"/>
      <c r="AH221" s="2954"/>
      <c r="AI221" s="2954"/>
      <c r="AJ221" s="2954"/>
      <c r="AK221" s="2954"/>
      <c r="AL221" s="2954"/>
      <c r="AM221" s="2954"/>
      <c r="AN221" s="2954"/>
      <c r="AO221" s="2954"/>
      <c r="AP221" s="2954"/>
      <c r="AQ221" s="2954"/>
      <c r="AR221" s="2954"/>
      <c r="AS221" s="2954"/>
      <c r="AT221" s="2935"/>
      <c r="AU221" s="2964"/>
      <c r="AV221" s="857">
        <f t="shared" si="127"/>
        <v>0</v>
      </c>
      <c r="AW221" s="857">
        <f t="shared" si="128"/>
        <v>0</v>
      </c>
      <c r="AX221" s="857">
        <f t="shared" si="129"/>
        <v>0</v>
      </c>
      <c r="AY221" s="807">
        <f t="shared" si="130"/>
        <v>0</v>
      </c>
      <c r="AZ221" s="2934">
        <f t="shared" si="131"/>
        <v>0</v>
      </c>
      <c r="BA221" s="2934">
        <f t="shared" si="132"/>
        <v>0</v>
      </c>
      <c r="BB221" s="2934">
        <f t="shared" si="133"/>
        <v>0</v>
      </c>
      <c r="BC221" s="2934">
        <f t="shared" si="134"/>
        <v>0</v>
      </c>
      <c r="BD221" s="2934">
        <f t="shared" si="135"/>
        <v>0</v>
      </c>
      <c r="BE221" s="2934">
        <f t="shared" si="136"/>
        <v>0</v>
      </c>
      <c r="BF221" s="2934">
        <f t="shared" si="137"/>
        <v>0</v>
      </c>
      <c r="BG221" s="2934">
        <f t="shared" si="138"/>
        <v>0</v>
      </c>
      <c r="BH221" s="2934">
        <f t="shared" si="139"/>
        <v>0</v>
      </c>
      <c r="BI221" s="2934">
        <f t="shared" si="140"/>
        <v>0</v>
      </c>
      <c r="BJ221" s="2934">
        <f t="shared" si="141"/>
        <v>0</v>
      </c>
      <c r="BK221" s="2934">
        <f t="shared" si="142"/>
        <v>0</v>
      </c>
      <c r="BL221" s="2934">
        <f t="shared" si="143"/>
        <v>0</v>
      </c>
      <c r="BM221" s="2934">
        <f t="shared" si="144"/>
        <v>0</v>
      </c>
      <c r="BN221" s="2934">
        <f t="shared" si="145"/>
        <v>0</v>
      </c>
      <c r="BO221" s="2934">
        <f t="shared" si="146"/>
        <v>0</v>
      </c>
      <c r="BP221" s="2934">
        <f t="shared" si="147"/>
        <v>0</v>
      </c>
      <c r="BQ221" s="2934">
        <f t="shared" si="148"/>
        <v>0</v>
      </c>
      <c r="BR221" s="2934">
        <f t="shared" si="149"/>
        <v>0</v>
      </c>
      <c r="BS221" s="2934">
        <f t="shared" si="150"/>
        <v>0</v>
      </c>
      <c r="BT221" s="2982">
        <f t="shared" si="151"/>
        <v>0</v>
      </c>
    </row>
    <row r="222" spans="1:72">
      <c r="A222" s="874"/>
      <c r="B222" s="882"/>
      <c r="C222" s="882"/>
      <c r="D222" s="2933"/>
      <c r="E222" s="2934">
        <f t="shared" si="123"/>
        <v>0</v>
      </c>
      <c r="F222" s="2935"/>
      <c r="G222" s="2936">
        <f t="shared" si="124"/>
        <v>0</v>
      </c>
      <c r="H222" s="2937">
        <f t="shared" si="125"/>
        <v>0</v>
      </c>
      <c r="I222" s="2944"/>
      <c r="J222" s="2944"/>
      <c r="K222" s="2944"/>
      <c r="L222" s="2944"/>
      <c r="M222" s="2944"/>
      <c r="N222" s="2944"/>
      <c r="O222" s="2944"/>
      <c r="P222" s="2944"/>
      <c r="Q222" s="2944"/>
      <c r="R222" s="2944"/>
      <c r="S222" s="2944"/>
      <c r="T222" s="2944"/>
      <c r="U222" s="2944"/>
      <c r="V222" s="2944"/>
      <c r="W222" s="2944"/>
      <c r="X222" s="2944"/>
      <c r="Y222" s="2944"/>
      <c r="Z222" s="2944"/>
      <c r="AA222" s="2944"/>
      <c r="AB222" s="2944"/>
      <c r="AC222" s="2934">
        <f t="shared" si="126"/>
        <v>0</v>
      </c>
      <c r="AD222" s="2954"/>
      <c r="AE222" s="2954"/>
      <c r="AF222" s="2954"/>
      <c r="AG222" s="2954"/>
      <c r="AH222" s="2954"/>
      <c r="AI222" s="2954"/>
      <c r="AJ222" s="2954"/>
      <c r="AK222" s="2954"/>
      <c r="AL222" s="2954"/>
      <c r="AM222" s="2954"/>
      <c r="AN222" s="2954"/>
      <c r="AO222" s="2954"/>
      <c r="AP222" s="2954"/>
      <c r="AQ222" s="2954"/>
      <c r="AR222" s="2954"/>
      <c r="AS222" s="2954"/>
      <c r="AT222" s="2935"/>
      <c r="AU222" s="2964"/>
      <c r="AV222" s="857">
        <f t="shared" si="127"/>
        <v>0</v>
      </c>
      <c r="AW222" s="857">
        <f t="shared" si="128"/>
        <v>0</v>
      </c>
      <c r="AX222" s="857">
        <f t="shared" si="129"/>
        <v>0</v>
      </c>
      <c r="AY222" s="807">
        <f t="shared" si="130"/>
        <v>0</v>
      </c>
      <c r="AZ222" s="2934">
        <f t="shared" si="131"/>
        <v>0</v>
      </c>
      <c r="BA222" s="2934">
        <f t="shared" si="132"/>
        <v>0</v>
      </c>
      <c r="BB222" s="2934">
        <f t="shared" si="133"/>
        <v>0</v>
      </c>
      <c r="BC222" s="2934">
        <f t="shared" si="134"/>
        <v>0</v>
      </c>
      <c r="BD222" s="2934">
        <f t="shared" si="135"/>
        <v>0</v>
      </c>
      <c r="BE222" s="2934">
        <f t="shared" si="136"/>
        <v>0</v>
      </c>
      <c r="BF222" s="2934">
        <f t="shared" si="137"/>
        <v>0</v>
      </c>
      <c r="BG222" s="2934">
        <f t="shared" si="138"/>
        <v>0</v>
      </c>
      <c r="BH222" s="2934">
        <f t="shared" si="139"/>
        <v>0</v>
      </c>
      <c r="BI222" s="2934">
        <f t="shared" si="140"/>
        <v>0</v>
      </c>
      <c r="BJ222" s="2934">
        <f t="shared" si="141"/>
        <v>0</v>
      </c>
      <c r="BK222" s="2934">
        <f t="shared" si="142"/>
        <v>0</v>
      </c>
      <c r="BL222" s="2934">
        <f t="shared" si="143"/>
        <v>0</v>
      </c>
      <c r="BM222" s="2934">
        <f t="shared" si="144"/>
        <v>0</v>
      </c>
      <c r="BN222" s="2934">
        <f t="shared" si="145"/>
        <v>0</v>
      </c>
      <c r="BO222" s="2934">
        <f t="shared" si="146"/>
        <v>0</v>
      </c>
      <c r="BP222" s="2934">
        <f t="shared" si="147"/>
        <v>0</v>
      </c>
      <c r="BQ222" s="2934">
        <f t="shared" si="148"/>
        <v>0</v>
      </c>
      <c r="BR222" s="2934">
        <f t="shared" si="149"/>
        <v>0</v>
      </c>
      <c r="BS222" s="2934">
        <f t="shared" si="150"/>
        <v>0</v>
      </c>
      <c r="BT222" s="2982">
        <f t="shared" si="151"/>
        <v>0</v>
      </c>
    </row>
    <row r="223" spans="1:72">
      <c r="A223" s="874"/>
      <c r="B223" s="882"/>
      <c r="C223" s="882"/>
      <c r="D223" s="2933"/>
      <c r="E223" s="2934">
        <f t="shared" si="123"/>
        <v>0</v>
      </c>
      <c r="F223" s="2935"/>
      <c r="G223" s="2936">
        <f t="shared" si="124"/>
        <v>0</v>
      </c>
      <c r="H223" s="2937">
        <f t="shared" si="125"/>
        <v>0</v>
      </c>
      <c r="I223" s="2944"/>
      <c r="J223" s="2944"/>
      <c r="K223" s="2944"/>
      <c r="L223" s="2944"/>
      <c r="M223" s="2944"/>
      <c r="N223" s="2944"/>
      <c r="O223" s="2944"/>
      <c r="P223" s="2944"/>
      <c r="Q223" s="2944"/>
      <c r="R223" s="2944"/>
      <c r="S223" s="2944"/>
      <c r="T223" s="2944"/>
      <c r="U223" s="2944"/>
      <c r="V223" s="2944"/>
      <c r="W223" s="2944"/>
      <c r="X223" s="2944"/>
      <c r="Y223" s="2944"/>
      <c r="Z223" s="2944"/>
      <c r="AA223" s="2944"/>
      <c r="AB223" s="2944"/>
      <c r="AC223" s="2934">
        <f t="shared" si="126"/>
        <v>0</v>
      </c>
      <c r="AD223" s="2954"/>
      <c r="AE223" s="2954"/>
      <c r="AF223" s="2954"/>
      <c r="AG223" s="2954"/>
      <c r="AH223" s="2954"/>
      <c r="AI223" s="2954"/>
      <c r="AJ223" s="2954"/>
      <c r="AK223" s="2954"/>
      <c r="AL223" s="2954"/>
      <c r="AM223" s="2954"/>
      <c r="AN223" s="2954"/>
      <c r="AO223" s="2954"/>
      <c r="AP223" s="2954"/>
      <c r="AQ223" s="2954"/>
      <c r="AR223" s="2954"/>
      <c r="AS223" s="2954"/>
      <c r="AT223" s="2935"/>
      <c r="AU223" s="2964"/>
      <c r="AV223" s="857">
        <f t="shared" si="127"/>
        <v>0</v>
      </c>
      <c r="AW223" s="857">
        <f t="shared" si="128"/>
        <v>0</v>
      </c>
      <c r="AX223" s="857">
        <f t="shared" si="129"/>
        <v>0</v>
      </c>
      <c r="AY223" s="807">
        <f t="shared" si="130"/>
        <v>0</v>
      </c>
      <c r="AZ223" s="2934">
        <f t="shared" si="131"/>
        <v>0</v>
      </c>
      <c r="BA223" s="2934">
        <f t="shared" si="132"/>
        <v>0</v>
      </c>
      <c r="BB223" s="2934">
        <f t="shared" si="133"/>
        <v>0</v>
      </c>
      <c r="BC223" s="2934">
        <f t="shared" si="134"/>
        <v>0</v>
      </c>
      <c r="BD223" s="2934">
        <f t="shared" si="135"/>
        <v>0</v>
      </c>
      <c r="BE223" s="2934">
        <f t="shared" si="136"/>
        <v>0</v>
      </c>
      <c r="BF223" s="2934">
        <f t="shared" si="137"/>
        <v>0</v>
      </c>
      <c r="BG223" s="2934">
        <f t="shared" si="138"/>
        <v>0</v>
      </c>
      <c r="BH223" s="2934">
        <f t="shared" si="139"/>
        <v>0</v>
      </c>
      <c r="BI223" s="2934">
        <f t="shared" si="140"/>
        <v>0</v>
      </c>
      <c r="BJ223" s="2934">
        <f t="shared" si="141"/>
        <v>0</v>
      </c>
      <c r="BK223" s="2934">
        <f t="shared" si="142"/>
        <v>0</v>
      </c>
      <c r="BL223" s="2934">
        <f t="shared" si="143"/>
        <v>0</v>
      </c>
      <c r="BM223" s="2934">
        <f t="shared" si="144"/>
        <v>0</v>
      </c>
      <c r="BN223" s="2934">
        <f t="shared" si="145"/>
        <v>0</v>
      </c>
      <c r="BO223" s="2934">
        <f t="shared" si="146"/>
        <v>0</v>
      </c>
      <c r="BP223" s="2934">
        <f t="shared" si="147"/>
        <v>0</v>
      </c>
      <c r="BQ223" s="2934">
        <f t="shared" si="148"/>
        <v>0</v>
      </c>
      <c r="BR223" s="2934">
        <f t="shared" si="149"/>
        <v>0</v>
      </c>
      <c r="BS223" s="2934">
        <f t="shared" si="150"/>
        <v>0</v>
      </c>
      <c r="BT223" s="2982">
        <f t="shared" si="151"/>
        <v>0</v>
      </c>
    </row>
    <row r="224" spans="1:72">
      <c r="A224" s="874"/>
      <c r="B224" s="882"/>
      <c r="C224" s="882"/>
      <c r="D224" s="2933"/>
      <c r="E224" s="2934">
        <f t="shared" si="123"/>
        <v>0</v>
      </c>
      <c r="F224" s="2935"/>
      <c r="G224" s="2936">
        <f t="shared" si="124"/>
        <v>0</v>
      </c>
      <c r="H224" s="2937">
        <f t="shared" si="125"/>
        <v>0</v>
      </c>
      <c r="I224" s="2944"/>
      <c r="J224" s="2944"/>
      <c r="K224" s="2944"/>
      <c r="L224" s="2944"/>
      <c r="M224" s="2944"/>
      <c r="N224" s="2944"/>
      <c r="O224" s="2944"/>
      <c r="P224" s="2944"/>
      <c r="Q224" s="2944"/>
      <c r="R224" s="2944"/>
      <c r="S224" s="2944"/>
      <c r="T224" s="2944"/>
      <c r="U224" s="2944"/>
      <c r="V224" s="2944"/>
      <c r="W224" s="2944"/>
      <c r="X224" s="2944"/>
      <c r="Y224" s="2944"/>
      <c r="Z224" s="2944"/>
      <c r="AA224" s="2944"/>
      <c r="AB224" s="2944"/>
      <c r="AC224" s="2934">
        <f t="shared" si="126"/>
        <v>0</v>
      </c>
      <c r="AD224" s="2954"/>
      <c r="AE224" s="2954"/>
      <c r="AF224" s="2954"/>
      <c r="AG224" s="2954"/>
      <c r="AH224" s="2954"/>
      <c r="AI224" s="2954"/>
      <c r="AJ224" s="2954"/>
      <c r="AK224" s="2954"/>
      <c r="AL224" s="2954"/>
      <c r="AM224" s="2954"/>
      <c r="AN224" s="2954"/>
      <c r="AO224" s="2954"/>
      <c r="AP224" s="2954"/>
      <c r="AQ224" s="2954"/>
      <c r="AR224" s="2954"/>
      <c r="AS224" s="2954"/>
      <c r="AT224" s="2935"/>
      <c r="AU224" s="2964"/>
      <c r="AV224" s="857">
        <f t="shared" si="127"/>
        <v>0</v>
      </c>
      <c r="AW224" s="857">
        <f t="shared" si="128"/>
        <v>0</v>
      </c>
      <c r="AX224" s="857">
        <f t="shared" si="129"/>
        <v>0</v>
      </c>
      <c r="AY224" s="807">
        <f t="shared" si="130"/>
        <v>0</v>
      </c>
      <c r="AZ224" s="2934">
        <f t="shared" si="131"/>
        <v>0</v>
      </c>
      <c r="BA224" s="2934">
        <f t="shared" si="132"/>
        <v>0</v>
      </c>
      <c r="BB224" s="2934">
        <f t="shared" si="133"/>
        <v>0</v>
      </c>
      <c r="BC224" s="2934">
        <f t="shared" si="134"/>
        <v>0</v>
      </c>
      <c r="BD224" s="2934">
        <f t="shared" si="135"/>
        <v>0</v>
      </c>
      <c r="BE224" s="2934">
        <f t="shared" si="136"/>
        <v>0</v>
      </c>
      <c r="BF224" s="2934">
        <f t="shared" si="137"/>
        <v>0</v>
      </c>
      <c r="BG224" s="2934">
        <f t="shared" si="138"/>
        <v>0</v>
      </c>
      <c r="BH224" s="2934">
        <f t="shared" si="139"/>
        <v>0</v>
      </c>
      <c r="BI224" s="2934">
        <f t="shared" si="140"/>
        <v>0</v>
      </c>
      <c r="BJ224" s="2934">
        <f t="shared" si="141"/>
        <v>0</v>
      </c>
      <c r="BK224" s="2934">
        <f t="shared" si="142"/>
        <v>0</v>
      </c>
      <c r="BL224" s="2934">
        <f t="shared" si="143"/>
        <v>0</v>
      </c>
      <c r="BM224" s="2934">
        <f t="shared" si="144"/>
        <v>0</v>
      </c>
      <c r="BN224" s="2934">
        <f t="shared" si="145"/>
        <v>0</v>
      </c>
      <c r="BO224" s="2934">
        <f t="shared" si="146"/>
        <v>0</v>
      </c>
      <c r="BP224" s="2934">
        <f t="shared" si="147"/>
        <v>0</v>
      </c>
      <c r="BQ224" s="2934">
        <f t="shared" si="148"/>
        <v>0</v>
      </c>
      <c r="BR224" s="2934">
        <f t="shared" si="149"/>
        <v>0</v>
      </c>
      <c r="BS224" s="2934">
        <f t="shared" si="150"/>
        <v>0</v>
      </c>
      <c r="BT224" s="2982">
        <f t="shared" si="151"/>
        <v>0</v>
      </c>
    </row>
    <row r="225" spans="1:72">
      <c r="A225" s="874"/>
      <c r="B225" s="882"/>
      <c r="C225" s="882"/>
      <c r="D225" s="2933"/>
      <c r="E225" s="2934">
        <f t="shared" si="123"/>
        <v>0</v>
      </c>
      <c r="F225" s="2935"/>
      <c r="G225" s="2936">
        <f t="shared" si="124"/>
        <v>0</v>
      </c>
      <c r="H225" s="2937">
        <f t="shared" si="125"/>
        <v>0</v>
      </c>
      <c r="I225" s="2944"/>
      <c r="J225" s="2944"/>
      <c r="K225" s="2944"/>
      <c r="L225" s="2944"/>
      <c r="M225" s="2944"/>
      <c r="N225" s="2944"/>
      <c r="O225" s="2944"/>
      <c r="P225" s="2944"/>
      <c r="Q225" s="2944"/>
      <c r="R225" s="2944"/>
      <c r="S225" s="2944"/>
      <c r="T225" s="2944"/>
      <c r="U225" s="2944"/>
      <c r="V225" s="2944"/>
      <c r="W225" s="2944"/>
      <c r="X225" s="2944"/>
      <c r="Y225" s="2944"/>
      <c r="Z225" s="2944"/>
      <c r="AA225" s="2944"/>
      <c r="AB225" s="2944"/>
      <c r="AC225" s="2934">
        <f t="shared" si="126"/>
        <v>0</v>
      </c>
      <c r="AD225" s="2954"/>
      <c r="AE225" s="2954"/>
      <c r="AF225" s="2954"/>
      <c r="AG225" s="2954"/>
      <c r="AH225" s="2954"/>
      <c r="AI225" s="2954"/>
      <c r="AJ225" s="2954"/>
      <c r="AK225" s="2954"/>
      <c r="AL225" s="2954"/>
      <c r="AM225" s="2954"/>
      <c r="AN225" s="2954"/>
      <c r="AO225" s="2954"/>
      <c r="AP225" s="2954"/>
      <c r="AQ225" s="2954"/>
      <c r="AR225" s="2954"/>
      <c r="AS225" s="2954"/>
      <c r="AT225" s="2935"/>
      <c r="AU225" s="2964"/>
      <c r="AV225" s="857">
        <f t="shared" si="127"/>
        <v>0</v>
      </c>
      <c r="AW225" s="857">
        <f t="shared" si="128"/>
        <v>0</v>
      </c>
      <c r="AX225" s="857">
        <f t="shared" si="129"/>
        <v>0</v>
      </c>
      <c r="AY225" s="807">
        <f t="shared" si="130"/>
        <v>0</v>
      </c>
      <c r="AZ225" s="2934">
        <f t="shared" si="131"/>
        <v>0</v>
      </c>
      <c r="BA225" s="2934">
        <f t="shared" si="132"/>
        <v>0</v>
      </c>
      <c r="BB225" s="2934">
        <f t="shared" si="133"/>
        <v>0</v>
      </c>
      <c r="BC225" s="2934">
        <f t="shared" si="134"/>
        <v>0</v>
      </c>
      <c r="BD225" s="2934">
        <f t="shared" si="135"/>
        <v>0</v>
      </c>
      <c r="BE225" s="2934">
        <f t="shared" si="136"/>
        <v>0</v>
      </c>
      <c r="BF225" s="2934">
        <f t="shared" si="137"/>
        <v>0</v>
      </c>
      <c r="BG225" s="2934">
        <f t="shared" si="138"/>
        <v>0</v>
      </c>
      <c r="BH225" s="2934">
        <f t="shared" si="139"/>
        <v>0</v>
      </c>
      <c r="BI225" s="2934">
        <f t="shared" si="140"/>
        <v>0</v>
      </c>
      <c r="BJ225" s="2934">
        <f t="shared" si="141"/>
        <v>0</v>
      </c>
      <c r="BK225" s="2934">
        <f t="shared" si="142"/>
        <v>0</v>
      </c>
      <c r="BL225" s="2934">
        <f t="shared" si="143"/>
        <v>0</v>
      </c>
      <c r="BM225" s="2934">
        <f t="shared" si="144"/>
        <v>0</v>
      </c>
      <c r="BN225" s="2934">
        <f t="shared" si="145"/>
        <v>0</v>
      </c>
      <c r="BO225" s="2934">
        <f t="shared" si="146"/>
        <v>0</v>
      </c>
      <c r="BP225" s="2934">
        <f t="shared" si="147"/>
        <v>0</v>
      </c>
      <c r="BQ225" s="2934">
        <f t="shared" si="148"/>
        <v>0</v>
      </c>
      <c r="BR225" s="2934">
        <f t="shared" si="149"/>
        <v>0</v>
      </c>
      <c r="BS225" s="2934">
        <f t="shared" si="150"/>
        <v>0</v>
      </c>
      <c r="BT225" s="2982">
        <f t="shared" si="151"/>
        <v>0</v>
      </c>
    </row>
    <row r="226" spans="1:72">
      <c r="A226" s="874"/>
      <c r="B226" s="882"/>
      <c r="C226" s="882"/>
      <c r="D226" s="2933"/>
      <c r="E226" s="2934">
        <f t="shared" si="123"/>
        <v>0</v>
      </c>
      <c r="F226" s="2935"/>
      <c r="G226" s="2936">
        <f t="shared" si="124"/>
        <v>0</v>
      </c>
      <c r="H226" s="2937">
        <f t="shared" si="125"/>
        <v>0</v>
      </c>
      <c r="I226" s="2944"/>
      <c r="J226" s="2944"/>
      <c r="K226" s="2944"/>
      <c r="L226" s="2944"/>
      <c r="M226" s="2944"/>
      <c r="N226" s="2944"/>
      <c r="O226" s="2944"/>
      <c r="P226" s="2944"/>
      <c r="Q226" s="2944"/>
      <c r="R226" s="2944"/>
      <c r="S226" s="2944"/>
      <c r="T226" s="2944"/>
      <c r="U226" s="2944"/>
      <c r="V226" s="2944"/>
      <c r="W226" s="2944"/>
      <c r="X226" s="2944"/>
      <c r="Y226" s="2944"/>
      <c r="Z226" s="2944"/>
      <c r="AA226" s="2944"/>
      <c r="AB226" s="2944"/>
      <c r="AC226" s="2934">
        <f t="shared" si="126"/>
        <v>0</v>
      </c>
      <c r="AD226" s="2954"/>
      <c r="AE226" s="2954"/>
      <c r="AF226" s="2954"/>
      <c r="AG226" s="2954"/>
      <c r="AH226" s="2954"/>
      <c r="AI226" s="2954"/>
      <c r="AJ226" s="2954"/>
      <c r="AK226" s="2954"/>
      <c r="AL226" s="2954"/>
      <c r="AM226" s="2954"/>
      <c r="AN226" s="2954"/>
      <c r="AO226" s="2954"/>
      <c r="AP226" s="2954"/>
      <c r="AQ226" s="2954"/>
      <c r="AR226" s="2954"/>
      <c r="AS226" s="2954"/>
      <c r="AT226" s="2935"/>
      <c r="AU226" s="2964"/>
      <c r="AV226" s="857">
        <f t="shared" si="127"/>
        <v>0</v>
      </c>
      <c r="AW226" s="857">
        <f t="shared" si="128"/>
        <v>0</v>
      </c>
      <c r="AX226" s="857">
        <f t="shared" si="129"/>
        <v>0</v>
      </c>
      <c r="AY226" s="807">
        <f t="shared" si="130"/>
        <v>0</v>
      </c>
      <c r="AZ226" s="2934">
        <f t="shared" si="131"/>
        <v>0</v>
      </c>
      <c r="BA226" s="2934">
        <f t="shared" si="132"/>
        <v>0</v>
      </c>
      <c r="BB226" s="2934">
        <f t="shared" si="133"/>
        <v>0</v>
      </c>
      <c r="BC226" s="2934">
        <f t="shared" si="134"/>
        <v>0</v>
      </c>
      <c r="BD226" s="2934">
        <f t="shared" si="135"/>
        <v>0</v>
      </c>
      <c r="BE226" s="2934">
        <f t="shared" si="136"/>
        <v>0</v>
      </c>
      <c r="BF226" s="2934">
        <f t="shared" si="137"/>
        <v>0</v>
      </c>
      <c r="BG226" s="2934">
        <f t="shared" si="138"/>
        <v>0</v>
      </c>
      <c r="BH226" s="2934">
        <f t="shared" si="139"/>
        <v>0</v>
      </c>
      <c r="BI226" s="2934">
        <f t="shared" si="140"/>
        <v>0</v>
      </c>
      <c r="BJ226" s="2934">
        <f t="shared" si="141"/>
        <v>0</v>
      </c>
      <c r="BK226" s="2934">
        <f t="shared" si="142"/>
        <v>0</v>
      </c>
      <c r="BL226" s="2934">
        <f t="shared" si="143"/>
        <v>0</v>
      </c>
      <c r="BM226" s="2934">
        <f t="shared" si="144"/>
        <v>0</v>
      </c>
      <c r="BN226" s="2934">
        <f t="shared" si="145"/>
        <v>0</v>
      </c>
      <c r="BO226" s="2934">
        <f t="shared" si="146"/>
        <v>0</v>
      </c>
      <c r="BP226" s="2934">
        <f t="shared" si="147"/>
        <v>0</v>
      </c>
      <c r="BQ226" s="2934">
        <f t="shared" si="148"/>
        <v>0</v>
      </c>
      <c r="BR226" s="2934">
        <f t="shared" si="149"/>
        <v>0</v>
      </c>
      <c r="BS226" s="2934">
        <f t="shared" si="150"/>
        <v>0</v>
      </c>
      <c r="BT226" s="2982">
        <f t="shared" si="151"/>
        <v>0</v>
      </c>
    </row>
    <row r="227" spans="1:72">
      <c r="A227" s="874"/>
      <c r="B227" s="882"/>
      <c r="C227" s="882"/>
      <c r="D227" s="2933"/>
      <c r="E227" s="2934">
        <f t="shared" si="123"/>
        <v>0</v>
      </c>
      <c r="F227" s="2935"/>
      <c r="G227" s="2936">
        <f t="shared" si="124"/>
        <v>0</v>
      </c>
      <c r="H227" s="2937">
        <f t="shared" si="125"/>
        <v>0</v>
      </c>
      <c r="I227" s="2944"/>
      <c r="J227" s="2944"/>
      <c r="K227" s="2944"/>
      <c r="L227" s="2944"/>
      <c r="M227" s="2944"/>
      <c r="N227" s="2944"/>
      <c r="O227" s="2944"/>
      <c r="P227" s="2944"/>
      <c r="Q227" s="2944"/>
      <c r="R227" s="2944"/>
      <c r="S227" s="2944"/>
      <c r="T227" s="2944"/>
      <c r="U227" s="2944"/>
      <c r="V227" s="2944"/>
      <c r="W227" s="2944"/>
      <c r="X227" s="2944"/>
      <c r="Y227" s="2944"/>
      <c r="Z227" s="2944"/>
      <c r="AA227" s="2944"/>
      <c r="AB227" s="2944"/>
      <c r="AC227" s="2934">
        <f t="shared" si="126"/>
        <v>0</v>
      </c>
      <c r="AD227" s="2954"/>
      <c r="AE227" s="2954"/>
      <c r="AF227" s="2954"/>
      <c r="AG227" s="2954"/>
      <c r="AH227" s="2954"/>
      <c r="AI227" s="2954"/>
      <c r="AJ227" s="2954"/>
      <c r="AK227" s="2954"/>
      <c r="AL227" s="2954"/>
      <c r="AM227" s="2954"/>
      <c r="AN227" s="2954"/>
      <c r="AO227" s="2954"/>
      <c r="AP227" s="2954"/>
      <c r="AQ227" s="2954"/>
      <c r="AR227" s="2954"/>
      <c r="AS227" s="2954"/>
      <c r="AT227" s="2935"/>
      <c r="AU227" s="2964"/>
      <c r="AV227" s="857">
        <f t="shared" si="127"/>
        <v>0</v>
      </c>
      <c r="AW227" s="857">
        <f t="shared" si="128"/>
        <v>0</v>
      </c>
      <c r="AX227" s="857">
        <f t="shared" si="129"/>
        <v>0</v>
      </c>
      <c r="AY227" s="807">
        <f t="shared" si="130"/>
        <v>0</v>
      </c>
      <c r="AZ227" s="2934">
        <f t="shared" si="131"/>
        <v>0</v>
      </c>
      <c r="BA227" s="2934">
        <f t="shared" si="132"/>
        <v>0</v>
      </c>
      <c r="BB227" s="2934">
        <f t="shared" si="133"/>
        <v>0</v>
      </c>
      <c r="BC227" s="2934">
        <f t="shared" si="134"/>
        <v>0</v>
      </c>
      <c r="BD227" s="2934">
        <f t="shared" si="135"/>
        <v>0</v>
      </c>
      <c r="BE227" s="2934">
        <f t="shared" si="136"/>
        <v>0</v>
      </c>
      <c r="BF227" s="2934">
        <f t="shared" si="137"/>
        <v>0</v>
      </c>
      <c r="BG227" s="2934">
        <f t="shared" si="138"/>
        <v>0</v>
      </c>
      <c r="BH227" s="2934">
        <f t="shared" si="139"/>
        <v>0</v>
      </c>
      <c r="BI227" s="2934">
        <f t="shared" si="140"/>
        <v>0</v>
      </c>
      <c r="BJ227" s="2934">
        <f t="shared" si="141"/>
        <v>0</v>
      </c>
      <c r="BK227" s="2934">
        <f t="shared" si="142"/>
        <v>0</v>
      </c>
      <c r="BL227" s="2934">
        <f t="shared" si="143"/>
        <v>0</v>
      </c>
      <c r="BM227" s="2934">
        <f t="shared" si="144"/>
        <v>0</v>
      </c>
      <c r="BN227" s="2934">
        <f t="shared" si="145"/>
        <v>0</v>
      </c>
      <c r="BO227" s="2934">
        <f t="shared" si="146"/>
        <v>0</v>
      </c>
      <c r="BP227" s="2934">
        <f t="shared" si="147"/>
        <v>0</v>
      </c>
      <c r="BQ227" s="2934">
        <f t="shared" si="148"/>
        <v>0</v>
      </c>
      <c r="BR227" s="2934">
        <f t="shared" si="149"/>
        <v>0</v>
      </c>
      <c r="BS227" s="2934">
        <f t="shared" si="150"/>
        <v>0</v>
      </c>
      <c r="BT227" s="2982">
        <f t="shared" si="151"/>
        <v>0</v>
      </c>
    </row>
    <row r="228" spans="1:72">
      <c r="A228" s="874"/>
      <c r="B228" s="882"/>
      <c r="C228" s="882"/>
      <c r="D228" s="2933"/>
      <c r="E228" s="2934">
        <f t="shared" si="123"/>
        <v>0</v>
      </c>
      <c r="F228" s="2935"/>
      <c r="G228" s="2936">
        <f t="shared" si="124"/>
        <v>0</v>
      </c>
      <c r="H228" s="2937">
        <f t="shared" si="125"/>
        <v>0</v>
      </c>
      <c r="I228" s="2944"/>
      <c r="J228" s="2944"/>
      <c r="K228" s="2944"/>
      <c r="L228" s="2944"/>
      <c r="M228" s="2944"/>
      <c r="N228" s="2944"/>
      <c r="O228" s="2944"/>
      <c r="P228" s="2944"/>
      <c r="Q228" s="2944"/>
      <c r="R228" s="2944"/>
      <c r="S228" s="2944"/>
      <c r="T228" s="2944"/>
      <c r="U228" s="2944"/>
      <c r="V228" s="2944"/>
      <c r="W228" s="2944"/>
      <c r="X228" s="2944"/>
      <c r="Y228" s="2944"/>
      <c r="Z228" s="2944"/>
      <c r="AA228" s="2944"/>
      <c r="AB228" s="2944"/>
      <c r="AC228" s="2934">
        <f t="shared" si="126"/>
        <v>0</v>
      </c>
      <c r="AD228" s="2954"/>
      <c r="AE228" s="2954"/>
      <c r="AF228" s="2954"/>
      <c r="AG228" s="2954"/>
      <c r="AH228" s="2954"/>
      <c r="AI228" s="2954"/>
      <c r="AJ228" s="2954"/>
      <c r="AK228" s="2954"/>
      <c r="AL228" s="2954"/>
      <c r="AM228" s="2954"/>
      <c r="AN228" s="2954"/>
      <c r="AO228" s="2954"/>
      <c r="AP228" s="2954"/>
      <c r="AQ228" s="2954"/>
      <c r="AR228" s="2954"/>
      <c r="AS228" s="2954"/>
      <c r="AT228" s="2935"/>
      <c r="AU228" s="2964"/>
      <c r="AV228" s="857">
        <f t="shared" si="127"/>
        <v>0</v>
      </c>
      <c r="AW228" s="857">
        <f t="shared" si="128"/>
        <v>0</v>
      </c>
      <c r="AX228" s="857">
        <f t="shared" si="129"/>
        <v>0</v>
      </c>
      <c r="AY228" s="807">
        <f t="shared" si="130"/>
        <v>0</v>
      </c>
      <c r="AZ228" s="2934">
        <f t="shared" si="131"/>
        <v>0</v>
      </c>
      <c r="BA228" s="2934">
        <f t="shared" si="132"/>
        <v>0</v>
      </c>
      <c r="BB228" s="2934">
        <f t="shared" si="133"/>
        <v>0</v>
      </c>
      <c r="BC228" s="2934">
        <f t="shared" si="134"/>
        <v>0</v>
      </c>
      <c r="BD228" s="2934">
        <f t="shared" si="135"/>
        <v>0</v>
      </c>
      <c r="BE228" s="2934">
        <f t="shared" si="136"/>
        <v>0</v>
      </c>
      <c r="BF228" s="2934">
        <f t="shared" si="137"/>
        <v>0</v>
      </c>
      <c r="BG228" s="2934">
        <f t="shared" si="138"/>
        <v>0</v>
      </c>
      <c r="BH228" s="2934">
        <f t="shared" si="139"/>
        <v>0</v>
      </c>
      <c r="BI228" s="2934">
        <f t="shared" si="140"/>
        <v>0</v>
      </c>
      <c r="BJ228" s="2934">
        <f t="shared" si="141"/>
        <v>0</v>
      </c>
      <c r="BK228" s="2934">
        <f t="shared" si="142"/>
        <v>0</v>
      </c>
      <c r="BL228" s="2934">
        <f t="shared" si="143"/>
        <v>0</v>
      </c>
      <c r="BM228" s="2934">
        <f t="shared" si="144"/>
        <v>0</v>
      </c>
      <c r="BN228" s="2934">
        <f t="shared" si="145"/>
        <v>0</v>
      </c>
      <c r="BO228" s="2934">
        <f t="shared" si="146"/>
        <v>0</v>
      </c>
      <c r="BP228" s="2934">
        <f t="shared" si="147"/>
        <v>0</v>
      </c>
      <c r="BQ228" s="2934">
        <f t="shared" si="148"/>
        <v>0</v>
      </c>
      <c r="BR228" s="2934">
        <f t="shared" si="149"/>
        <v>0</v>
      </c>
      <c r="BS228" s="2934">
        <f t="shared" si="150"/>
        <v>0</v>
      </c>
      <c r="BT228" s="2982">
        <f t="shared" si="151"/>
        <v>0</v>
      </c>
    </row>
    <row r="229" spans="1:72">
      <c r="A229" s="874"/>
      <c r="B229" s="882"/>
      <c r="C229" s="882"/>
      <c r="D229" s="2933"/>
      <c r="E229" s="2934">
        <f t="shared" si="123"/>
        <v>0</v>
      </c>
      <c r="F229" s="2935"/>
      <c r="G229" s="2936">
        <f t="shared" si="124"/>
        <v>0</v>
      </c>
      <c r="H229" s="2937">
        <f t="shared" si="125"/>
        <v>0</v>
      </c>
      <c r="I229" s="2944"/>
      <c r="J229" s="2944"/>
      <c r="K229" s="2944"/>
      <c r="L229" s="2944"/>
      <c r="M229" s="2944"/>
      <c r="N229" s="2944"/>
      <c r="O229" s="2944"/>
      <c r="P229" s="2944"/>
      <c r="Q229" s="2944"/>
      <c r="R229" s="2944"/>
      <c r="S229" s="2944"/>
      <c r="T229" s="2944"/>
      <c r="U229" s="2944"/>
      <c r="V229" s="2944"/>
      <c r="W229" s="2944"/>
      <c r="X229" s="2944"/>
      <c r="Y229" s="2944"/>
      <c r="Z229" s="2944"/>
      <c r="AA229" s="2944"/>
      <c r="AB229" s="2944"/>
      <c r="AC229" s="2934">
        <f t="shared" si="126"/>
        <v>0</v>
      </c>
      <c r="AD229" s="2954"/>
      <c r="AE229" s="2954"/>
      <c r="AF229" s="2954"/>
      <c r="AG229" s="2954"/>
      <c r="AH229" s="2954"/>
      <c r="AI229" s="2954"/>
      <c r="AJ229" s="2954"/>
      <c r="AK229" s="2954"/>
      <c r="AL229" s="2954"/>
      <c r="AM229" s="2954"/>
      <c r="AN229" s="2954"/>
      <c r="AO229" s="2954"/>
      <c r="AP229" s="2954"/>
      <c r="AQ229" s="2954"/>
      <c r="AR229" s="2954"/>
      <c r="AS229" s="2954"/>
      <c r="AT229" s="2935"/>
      <c r="AU229" s="2964"/>
      <c r="AV229" s="857">
        <f t="shared" si="127"/>
        <v>0</v>
      </c>
      <c r="AW229" s="857">
        <f t="shared" si="128"/>
        <v>0</v>
      </c>
      <c r="AX229" s="857">
        <f t="shared" si="129"/>
        <v>0</v>
      </c>
      <c r="AY229" s="807">
        <f t="shared" si="130"/>
        <v>0</v>
      </c>
      <c r="AZ229" s="2934">
        <f t="shared" si="131"/>
        <v>0</v>
      </c>
      <c r="BA229" s="2934">
        <f t="shared" si="132"/>
        <v>0</v>
      </c>
      <c r="BB229" s="2934">
        <f t="shared" si="133"/>
        <v>0</v>
      </c>
      <c r="BC229" s="2934">
        <f t="shared" si="134"/>
        <v>0</v>
      </c>
      <c r="BD229" s="2934">
        <f t="shared" si="135"/>
        <v>0</v>
      </c>
      <c r="BE229" s="2934">
        <f t="shared" si="136"/>
        <v>0</v>
      </c>
      <c r="BF229" s="2934">
        <f t="shared" si="137"/>
        <v>0</v>
      </c>
      <c r="BG229" s="2934">
        <f t="shared" si="138"/>
        <v>0</v>
      </c>
      <c r="BH229" s="2934">
        <f t="shared" si="139"/>
        <v>0</v>
      </c>
      <c r="BI229" s="2934">
        <f t="shared" si="140"/>
        <v>0</v>
      </c>
      <c r="BJ229" s="2934">
        <f t="shared" si="141"/>
        <v>0</v>
      </c>
      <c r="BK229" s="2934">
        <f t="shared" si="142"/>
        <v>0</v>
      </c>
      <c r="BL229" s="2934">
        <f t="shared" si="143"/>
        <v>0</v>
      </c>
      <c r="BM229" s="2934">
        <f t="shared" si="144"/>
        <v>0</v>
      </c>
      <c r="BN229" s="2934">
        <f t="shared" si="145"/>
        <v>0</v>
      </c>
      <c r="BO229" s="2934">
        <f t="shared" si="146"/>
        <v>0</v>
      </c>
      <c r="BP229" s="2934">
        <f t="shared" si="147"/>
        <v>0</v>
      </c>
      <c r="BQ229" s="2934">
        <f t="shared" si="148"/>
        <v>0</v>
      </c>
      <c r="BR229" s="2934">
        <f t="shared" si="149"/>
        <v>0</v>
      </c>
      <c r="BS229" s="2934">
        <f t="shared" si="150"/>
        <v>0</v>
      </c>
      <c r="BT229" s="2982">
        <f t="shared" si="151"/>
        <v>0</v>
      </c>
    </row>
    <row r="230" spans="1:72">
      <c r="A230" s="874"/>
      <c r="B230" s="882"/>
      <c r="C230" s="882"/>
      <c r="D230" s="2933"/>
      <c r="E230" s="2934">
        <f t="shared" si="123"/>
        <v>0</v>
      </c>
      <c r="F230" s="2935"/>
      <c r="G230" s="2936">
        <f t="shared" si="124"/>
        <v>0</v>
      </c>
      <c r="H230" s="2937">
        <f t="shared" si="125"/>
        <v>0</v>
      </c>
      <c r="I230" s="2944"/>
      <c r="J230" s="2944"/>
      <c r="K230" s="2944"/>
      <c r="L230" s="2944"/>
      <c r="M230" s="2944"/>
      <c r="N230" s="2944"/>
      <c r="O230" s="2944"/>
      <c r="P230" s="2944"/>
      <c r="Q230" s="2944"/>
      <c r="R230" s="2944"/>
      <c r="S230" s="2944"/>
      <c r="T230" s="2944"/>
      <c r="U230" s="2944"/>
      <c r="V230" s="2944"/>
      <c r="W230" s="2944"/>
      <c r="X230" s="2944"/>
      <c r="Y230" s="2944"/>
      <c r="Z230" s="2944"/>
      <c r="AA230" s="2944"/>
      <c r="AB230" s="2944"/>
      <c r="AC230" s="2934">
        <f t="shared" si="126"/>
        <v>0</v>
      </c>
      <c r="AD230" s="2954"/>
      <c r="AE230" s="2954"/>
      <c r="AF230" s="2954"/>
      <c r="AG230" s="2954"/>
      <c r="AH230" s="2954"/>
      <c r="AI230" s="2954"/>
      <c r="AJ230" s="2954"/>
      <c r="AK230" s="2954"/>
      <c r="AL230" s="2954"/>
      <c r="AM230" s="2954"/>
      <c r="AN230" s="2954"/>
      <c r="AO230" s="2954"/>
      <c r="AP230" s="2954"/>
      <c r="AQ230" s="2954"/>
      <c r="AR230" s="2954"/>
      <c r="AS230" s="2954"/>
      <c r="AT230" s="2935"/>
      <c r="AU230" s="2964"/>
      <c r="AV230" s="857">
        <f t="shared" si="127"/>
        <v>0</v>
      </c>
      <c r="AW230" s="857">
        <f t="shared" si="128"/>
        <v>0</v>
      </c>
      <c r="AX230" s="857">
        <f t="shared" si="129"/>
        <v>0</v>
      </c>
      <c r="AY230" s="807">
        <f t="shared" si="130"/>
        <v>0</v>
      </c>
      <c r="AZ230" s="2934">
        <f t="shared" si="131"/>
        <v>0</v>
      </c>
      <c r="BA230" s="2934">
        <f t="shared" si="132"/>
        <v>0</v>
      </c>
      <c r="BB230" s="2934">
        <f t="shared" si="133"/>
        <v>0</v>
      </c>
      <c r="BC230" s="2934">
        <f t="shared" si="134"/>
        <v>0</v>
      </c>
      <c r="BD230" s="2934">
        <f t="shared" si="135"/>
        <v>0</v>
      </c>
      <c r="BE230" s="2934">
        <f t="shared" si="136"/>
        <v>0</v>
      </c>
      <c r="BF230" s="2934">
        <f t="shared" si="137"/>
        <v>0</v>
      </c>
      <c r="BG230" s="2934">
        <f t="shared" si="138"/>
        <v>0</v>
      </c>
      <c r="BH230" s="2934">
        <f t="shared" si="139"/>
        <v>0</v>
      </c>
      <c r="BI230" s="2934">
        <f t="shared" si="140"/>
        <v>0</v>
      </c>
      <c r="BJ230" s="2934">
        <f t="shared" si="141"/>
        <v>0</v>
      </c>
      <c r="BK230" s="2934">
        <f t="shared" si="142"/>
        <v>0</v>
      </c>
      <c r="BL230" s="2934">
        <f t="shared" si="143"/>
        <v>0</v>
      </c>
      <c r="BM230" s="2934">
        <f t="shared" si="144"/>
        <v>0</v>
      </c>
      <c r="BN230" s="2934">
        <f t="shared" si="145"/>
        <v>0</v>
      </c>
      <c r="BO230" s="2934">
        <f t="shared" si="146"/>
        <v>0</v>
      </c>
      <c r="BP230" s="2934">
        <f t="shared" si="147"/>
        <v>0</v>
      </c>
      <c r="BQ230" s="2934">
        <f t="shared" si="148"/>
        <v>0</v>
      </c>
      <c r="BR230" s="2934">
        <f t="shared" si="149"/>
        <v>0</v>
      </c>
      <c r="BS230" s="2934">
        <f t="shared" si="150"/>
        <v>0</v>
      </c>
      <c r="BT230" s="2982">
        <f t="shared" si="151"/>
        <v>0</v>
      </c>
    </row>
    <row r="231" spans="1:72">
      <c r="A231" s="874"/>
      <c r="B231" s="882"/>
      <c r="C231" s="882"/>
      <c r="D231" s="2933"/>
      <c r="E231" s="2934">
        <f t="shared" si="123"/>
        <v>0</v>
      </c>
      <c r="F231" s="2935"/>
      <c r="G231" s="2936">
        <f t="shared" si="124"/>
        <v>0</v>
      </c>
      <c r="H231" s="2937">
        <f t="shared" si="125"/>
        <v>0</v>
      </c>
      <c r="I231" s="2944"/>
      <c r="J231" s="2944"/>
      <c r="K231" s="2944"/>
      <c r="L231" s="2944"/>
      <c r="M231" s="2944"/>
      <c r="N231" s="2944"/>
      <c r="O231" s="2944"/>
      <c r="P231" s="2944"/>
      <c r="Q231" s="2944"/>
      <c r="R231" s="2944"/>
      <c r="S231" s="2944"/>
      <c r="T231" s="2944"/>
      <c r="U231" s="2944"/>
      <c r="V231" s="2944"/>
      <c r="W231" s="2944"/>
      <c r="X231" s="2944"/>
      <c r="Y231" s="2944"/>
      <c r="Z231" s="2944"/>
      <c r="AA231" s="2944"/>
      <c r="AB231" s="2944"/>
      <c r="AC231" s="2934">
        <f t="shared" si="126"/>
        <v>0</v>
      </c>
      <c r="AD231" s="2954"/>
      <c r="AE231" s="2954"/>
      <c r="AF231" s="2954"/>
      <c r="AG231" s="2954"/>
      <c r="AH231" s="2954"/>
      <c r="AI231" s="2954"/>
      <c r="AJ231" s="2954"/>
      <c r="AK231" s="2954"/>
      <c r="AL231" s="2954"/>
      <c r="AM231" s="2954"/>
      <c r="AN231" s="2954"/>
      <c r="AO231" s="2954"/>
      <c r="AP231" s="2954"/>
      <c r="AQ231" s="2954"/>
      <c r="AR231" s="2954"/>
      <c r="AS231" s="2954"/>
      <c r="AT231" s="2935"/>
      <c r="AU231" s="2964"/>
      <c r="AV231" s="857">
        <f t="shared" si="127"/>
        <v>0</v>
      </c>
      <c r="AW231" s="857">
        <f t="shared" si="128"/>
        <v>0</v>
      </c>
      <c r="AX231" s="857">
        <f t="shared" si="129"/>
        <v>0</v>
      </c>
      <c r="AY231" s="807">
        <f t="shared" si="130"/>
        <v>0</v>
      </c>
      <c r="AZ231" s="2934">
        <f t="shared" si="131"/>
        <v>0</v>
      </c>
      <c r="BA231" s="2934">
        <f t="shared" si="132"/>
        <v>0</v>
      </c>
      <c r="BB231" s="2934">
        <f t="shared" si="133"/>
        <v>0</v>
      </c>
      <c r="BC231" s="2934">
        <f t="shared" si="134"/>
        <v>0</v>
      </c>
      <c r="BD231" s="2934">
        <f t="shared" si="135"/>
        <v>0</v>
      </c>
      <c r="BE231" s="2934">
        <f t="shared" si="136"/>
        <v>0</v>
      </c>
      <c r="BF231" s="2934">
        <f t="shared" si="137"/>
        <v>0</v>
      </c>
      <c r="BG231" s="2934">
        <f t="shared" si="138"/>
        <v>0</v>
      </c>
      <c r="BH231" s="2934">
        <f t="shared" si="139"/>
        <v>0</v>
      </c>
      <c r="BI231" s="2934">
        <f t="shared" si="140"/>
        <v>0</v>
      </c>
      <c r="BJ231" s="2934">
        <f t="shared" si="141"/>
        <v>0</v>
      </c>
      <c r="BK231" s="2934">
        <f t="shared" si="142"/>
        <v>0</v>
      </c>
      <c r="BL231" s="2934">
        <f t="shared" si="143"/>
        <v>0</v>
      </c>
      <c r="BM231" s="2934">
        <f t="shared" si="144"/>
        <v>0</v>
      </c>
      <c r="BN231" s="2934">
        <f t="shared" si="145"/>
        <v>0</v>
      </c>
      <c r="BO231" s="2934">
        <f t="shared" si="146"/>
        <v>0</v>
      </c>
      <c r="BP231" s="2934">
        <f t="shared" si="147"/>
        <v>0</v>
      </c>
      <c r="BQ231" s="2934">
        <f t="shared" si="148"/>
        <v>0</v>
      </c>
      <c r="BR231" s="2934">
        <f t="shared" si="149"/>
        <v>0</v>
      </c>
      <c r="BS231" s="2934">
        <f t="shared" si="150"/>
        <v>0</v>
      </c>
      <c r="BT231" s="2982">
        <f t="shared" si="151"/>
        <v>0</v>
      </c>
    </row>
    <row r="232" spans="1:72">
      <c r="A232" s="874"/>
      <c r="B232" s="882"/>
      <c r="C232" s="882"/>
      <c r="D232" s="2933"/>
      <c r="E232" s="2934">
        <f t="shared" si="123"/>
        <v>0</v>
      </c>
      <c r="F232" s="2935"/>
      <c r="G232" s="2936">
        <f t="shared" si="124"/>
        <v>0</v>
      </c>
      <c r="H232" s="2937">
        <f t="shared" si="125"/>
        <v>0</v>
      </c>
      <c r="I232" s="2944"/>
      <c r="J232" s="2944"/>
      <c r="K232" s="2944"/>
      <c r="L232" s="2944"/>
      <c r="M232" s="2944"/>
      <c r="N232" s="2944"/>
      <c r="O232" s="2944"/>
      <c r="P232" s="2944"/>
      <c r="Q232" s="2944"/>
      <c r="R232" s="2944"/>
      <c r="S232" s="2944"/>
      <c r="T232" s="2944"/>
      <c r="U232" s="2944"/>
      <c r="V232" s="2944"/>
      <c r="W232" s="2944"/>
      <c r="X232" s="2944"/>
      <c r="Y232" s="2944"/>
      <c r="Z232" s="2944"/>
      <c r="AA232" s="2944"/>
      <c r="AB232" s="2944"/>
      <c r="AC232" s="2934">
        <f t="shared" si="126"/>
        <v>0</v>
      </c>
      <c r="AD232" s="2954"/>
      <c r="AE232" s="2954"/>
      <c r="AF232" s="2954"/>
      <c r="AG232" s="2954"/>
      <c r="AH232" s="2954"/>
      <c r="AI232" s="2954"/>
      <c r="AJ232" s="2954"/>
      <c r="AK232" s="2954"/>
      <c r="AL232" s="2954"/>
      <c r="AM232" s="2954"/>
      <c r="AN232" s="2954"/>
      <c r="AO232" s="2954"/>
      <c r="AP232" s="2954"/>
      <c r="AQ232" s="2954"/>
      <c r="AR232" s="2954"/>
      <c r="AS232" s="2954"/>
      <c r="AT232" s="2935"/>
      <c r="AU232" s="2964"/>
      <c r="AV232" s="857">
        <f t="shared" si="127"/>
        <v>0</v>
      </c>
      <c r="AW232" s="857">
        <f t="shared" si="128"/>
        <v>0</v>
      </c>
      <c r="AX232" s="857">
        <f t="shared" si="129"/>
        <v>0</v>
      </c>
      <c r="AY232" s="807">
        <f t="shared" si="130"/>
        <v>0</v>
      </c>
      <c r="AZ232" s="2934">
        <f t="shared" si="131"/>
        <v>0</v>
      </c>
      <c r="BA232" s="2934">
        <f t="shared" si="132"/>
        <v>0</v>
      </c>
      <c r="BB232" s="2934">
        <f t="shared" si="133"/>
        <v>0</v>
      </c>
      <c r="BC232" s="2934">
        <f t="shared" si="134"/>
        <v>0</v>
      </c>
      <c r="BD232" s="2934">
        <f t="shared" si="135"/>
        <v>0</v>
      </c>
      <c r="BE232" s="2934">
        <f t="shared" si="136"/>
        <v>0</v>
      </c>
      <c r="BF232" s="2934">
        <f t="shared" si="137"/>
        <v>0</v>
      </c>
      <c r="BG232" s="2934">
        <f t="shared" si="138"/>
        <v>0</v>
      </c>
      <c r="BH232" s="2934">
        <f t="shared" si="139"/>
        <v>0</v>
      </c>
      <c r="BI232" s="2934">
        <f t="shared" si="140"/>
        <v>0</v>
      </c>
      <c r="BJ232" s="2934">
        <f t="shared" si="141"/>
        <v>0</v>
      </c>
      <c r="BK232" s="2934">
        <f t="shared" si="142"/>
        <v>0</v>
      </c>
      <c r="BL232" s="2934">
        <f t="shared" si="143"/>
        <v>0</v>
      </c>
      <c r="BM232" s="2934">
        <f t="shared" si="144"/>
        <v>0</v>
      </c>
      <c r="BN232" s="2934">
        <f t="shared" si="145"/>
        <v>0</v>
      </c>
      <c r="BO232" s="2934">
        <f t="shared" si="146"/>
        <v>0</v>
      </c>
      <c r="BP232" s="2934">
        <f t="shared" si="147"/>
        <v>0</v>
      </c>
      <c r="BQ232" s="2934">
        <f t="shared" si="148"/>
        <v>0</v>
      </c>
      <c r="BR232" s="2934">
        <f t="shared" si="149"/>
        <v>0</v>
      </c>
      <c r="BS232" s="2934">
        <f t="shared" si="150"/>
        <v>0</v>
      </c>
      <c r="BT232" s="2982">
        <f t="shared" si="151"/>
        <v>0</v>
      </c>
    </row>
    <row r="233" spans="1:72">
      <c r="A233" s="874"/>
      <c r="B233" s="882"/>
      <c r="C233" s="882"/>
      <c r="D233" s="2933"/>
      <c r="E233" s="2934">
        <f t="shared" si="123"/>
        <v>0</v>
      </c>
      <c r="F233" s="2935"/>
      <c r="G233" s="2936">
        <f t="shared" si="124"/>
        <v>0</v>
      </c>
      <c r="H233" s="2937">
        <f t="shared" si="125"/>
        <v>0</v>
      </c>
      <c r="I233" s="2944"/>
      <c r="J233" s="2944"/>
      <c r="K233" s="2944"/>
      <c r="L233" s="2944"/>
      <c r="M233" s="2944"/>
      <c r="N233" s="2944"/>
      <c r="O233" s="2944"/>
      <c r="P233" s="2944"/>
      <c r="Q233" s="2944"/>
      <c r="R233" s="2944"/>
      <c r="S233" s="2944"/>
      <c r="T233" s="2944"/>
      <c r="U233" s="2944"/>
      <c r="V233" s="2944"/>
      <c r="W233" s="2944"/>
      <c r="X233" s="2944"/>
      <c r="Y233" s="2944"/>
      <c r="Z233" s="2944"/>
      <c r="AA233" s="2944"/>
      <c r="AB233" s="2944"/>
      <c r="AC233" s="2934">
        <f t="shared" si="126"/>
        <v>0</v>
      </c>
      <c r="AD233" s="2954"/>
      <c r="AE233" s="2954"/>
      <c r="AF233" s="2954"/>
      <c r="AG233" s="2954"/>
      <c r="AH233" s="2954"/>
      <c r="AI233" s="2954"/>
      <c r="AJ233" s="2954"/>
      <c r="AK233" s="2954"/>
      <c r="AL233" s="2954"/>
      <c r="AM233" s="2954"/>
      <c r="AN233" s="2954"/>
      <c r="AO233" s="2954"/>
      <c r="AP233" s="2954"/>
      <c r="AQ233" s="2954"/>
      <c r="AR233" s="2954"/>
      <c r="AS233" s="2954"/>
      <c r="AT233" s="2935"/>
      <c r="AU233" s="2964"/>
      <c r="AV233" s="857">
        <f t="shared" si="127"/>
        <v>0</v>
      </c>
      <c r="AW233" s="857">
        <f t="shared" si="128"/>
        <v>0</v>
      </c>
      <c r="AX233" s="857">
        <f t="shared" si="129"/>
        <v>0</v>
      </c>
      <c r="AY233" s="807">
        <f t="shared" si="130"/>
        <v>0</v>
      </c>
      <c r="AZ233" s="2934">
        <f t="shared" si="131"/>
        <v>0</v>
      </c>
      <c r="BA233" s="2934">
        <f t="shared" si="132"/>
        <v>0</v>
      </c>
      <c r="BB233" s="2934">
        <f t="shared" si="133"/>
        <v>0</v>
      </c>
      <c r="BC233" s="2934">
        <f t="shared" si="134"/>
        <v>0</v>
      </c>
      <c r="BD233" s="2934">
        <f t="shared" si="135"/>
        <v>0</v>
      </c>
      <c r="BE233" s="2934">
        <f t="shared" si="136"/>
        <v>0</v>
      </c>
      <c r="BF233" s="2934">
        <f t="shared" si="137"/>
        <v>0</v>
      </c>
      <c r="BG233" s="2934">
        <f t="shared" si="138"/>
        <v>0</v>
      </c>
      <c r="BH233" s="2934">
        <f t="shared" si="139"/>
        <v>0</v>
      </c>
      <c r="BI233" s="2934">
        <f t="shared" si="140"/>
        <v>0</v>
      </c>
      <c r="BJ233" s="2934">
        <f t="shared" si="141"/>
        <v>0</v>
      </c>
      <c r="BK233" s="2934">
        <f t="shared" si="142"/>
        <v>0</v>
      </c>
      <c r="BL233" s="2934">
        <f t="shared" si="143"/>
        <v>0</v>
      </c>
      <c r="BM233" s="2934">
        <f t="shared" si="144"/>
        <v>0</v>
      </c>
      <c r="BN233" s="2934">
        <f t="shared" si="145"/>
        <v>0</v>
      </c>
      <c r="BO233" s="2934">
        <f t="shared" si="146"/>
        <v>0</v>
      </c>
      <c r="BP233" s="2934">
        <f t="shared" si="147"/>
        <v>0</v>
      </c>
      <c r="BQ233" s="2934">
        <f t="shared" si="148"/>
        <v>0</v>
      </c>
      <c r="BR233" s="2934">
        <f t="shared" si="149"/>
        <v>0</v>
      </c>
      <c r="BS233" s="2934">
        <f t="shared" si="150"/>
        <v>0</v>
      </c>
      <c r="BT233" s="2982">
        <f t="shared" si="151"/>
        <v>0</v>
      </c>
    </row>
    <row r="234" spans="1:72">
      <c r="A234" s="874"/>
      <c r="B234" s="882"/>
      <c r="C234" s="882"/>
      <c r="D234" s="2933"/>
      <c r="E234" s="2934">
        <f t="shared" si="123"/>
        <v>0</v>
      </c>
      <c r="F234" s="2935"/>
      <c r="G234" s="2936">
        <f t="shared" si="124"/>
        <v>0</v>
      </c>
      <c r="H234" s="2937">
        <f t="shared" si="125"/>
        <v>0</v>
      </c>
      <c r="I234" s="2944"/>
      <c r="J234" s="2944"/>
      <c r="K234" s="2944"/>
      <c r="L234" s="2944"/>
      <c r="M234" s="2944"/>
      <c r="N234" s="2944"/>
      <c r="O234" s="2944"/>
      <c r="P234" s="2944"/>
      <c r="Q234" s="2944"/>
      <c r="R234" s="2944"/>
      <c r="S234" s="2944"/>
      <c r="T234" s="2944"/>
      <c r="U234" s="2944"/>
      <c r="V234" s="2944"/>
      <c r="W234" s="2944"/>
      <c r="X234" s="2944"/>
      <c r="Y234" s="2944"/>
      <c r="Z234" s="2944"/>
      <c r="AA234" s="2944"/>
      <c r="AB234" s="2944"/>
      <c r="AC234" s="2934">
        <f t="shared" si="126"/>
        <v>0</v>
      </c>
      <c r="AD234" s="2954"/>
      <c r="AE234" s="2954"/>
      <c r="AF234" s="2954"/>
      <c r="AG234" s="2954"/>
      <c r="AH234" s="2954"/>
      <c r="AI234" s="2954"/>
      <c r="AJ234" s="2954"/>
      <c r="AK234" s="2954"/>
      <c r="AL234" s="2954"/>
      <c r="AM234" s="2954"/>
      <c r="AN234" s="2954"/>
      <c r="AO234" s="2954"/>
      <c r="AP234" s="2954"/>
      <c r="AQ234" s="2954"/>
      <c r="AR234" s="2954"/>
      <c r="AS234" s="2954"/>
      <c r="AT234" s="2935"/>
      <c r="AU234" s="2964"/>
      <c r="AV234" s="857">
        <f t="shared" si="127"/>
        <v>0</v>
      </c>
      <c r="AW234" s="857">
        <f t="shared" si="128"/>
        <v>0</v>
      </c>
      <c r="AX234" s="857">
        <f t="shared" si="129"/>
        <v>0</v>
      </c>
      <c r="AY234" s="807">
        <f t="shared" si="130"/>
        <v>0</v>
      </c>
      <c r="AZ234" s="2934">
        <f t="shared" si="131"/>
        <v>0</v>
      </c>
      <c r="BA234" s="2934">
        <f t="shared" si="132"/>
        <v>0</v>
      </c>
      <c r="BB234" s="2934">
        <f t="shared" si="133"/>
        <v>0</v>
      </c>
      <c r="BC234" s="2934">
        <f t="shared" si="134"/>
        <v>0</v>
      </c>
      <c r="BD234" s="2934">
        <f t="shared" si="135"/>
        <v>0</v>
      </c>
      <c r="BE234" s="2934">
        <f t="shared" si="136"/>
        <v>0</v>
      </c>
      <c r="BF234" s="2934">
        <f t="shared" si="137"/>
        <v>0</v>
      </c>
      <c r="BG234" s="2934">
        <f t="shared" si="138"/>
        <v>0</v>
      </c>
      <c r="BH234" s="2934">
        <f t="shared" si="139"/>
        <v>0</v>
      </c>
      <c r="BI234" s="2934">
        <f t="shared" si="140"/>
        <v>0</v>
      </c>
      <c r="BJ234" s="2934">
        <f t="shared" si="141"/>
        <v>0</v>
      </c>
      <c r="BK234" s="2934">
        <f t="shared" si="142"/>
        <v>0</v>
      </c>
      <c r="BL234" s="2934">
        <f t="shared" si="143"/>
        <v>0</v>
      </c>
      <c r="BM234" s="2934">
        <f t="shared" si="144"/>
        <v>0</v>
      </c>
      <c r="BN234" s="2934">
        <f t="shared" si="145"/>
        <v>0</v>
      </c>
      <c r="BO234" s="2934">
        <f t="shared" si="146"/>
        <v>0</v>
      </c>
      <c r="BP234" s="2934">
        <f t="shared" si="147"/>
        <v>0</v>
      </c>
      <c r="BQ234" s="2934">
        <f t="shared" si="148"/>
        <v>0</v>
      </c>
      <c r="BR234" s="2934">
        <f t="shared" si="149"/>
        <v>0</v>
      </c>
      <c r="BS234" s="2934">
        <f t="shared" si="150"/>
        <v>0</v>
      </c>
      <c r="BT234" s="2982">
        <f t="shared" si="151"/>
        <v>0</v>
      </c>
    </row>
    <row r="235" spans="1:72">
      <c r="A235" s="874"/>
      <c r="B235" s="882"/>
      <c r="C235" s="882"/>
      <c r="D235" s="2933"/>
      <c r="E235" s="2934">
        <f t="shared" si="123"/>
        <v>0</v>
      </c>
      <c r="F235" s="2935"/>
      <c r="G235" s="2936">
        <f t="shared" si="124"/>
        <v>0</v>
      </c>
      <c r="H235" s="2937">
        <f t="shared" si="125"/>
        <v>0</v>
      </c>
      <c r="I235" s="2944"/>
      <c r="J235" s="2944"/>
      <c r="K235" s="2944"/>
      <c r="L235" s="2944"/>
      <c r="M235" s="2944"/>
      <c r="N235" s="2944"/>
      <c r="O235" s="2944"/>
      <c r="P235" s="2944"/>
      <c r="Q235" s="2944"/>
      <c r="R235" s="2944"/>
      <c r="S235" s="2944"/>
      <c r="T235" s="2944"/>
      <c r="U235" s="2944"/>
      <c r="V235" s="2944"/>
      <c r="W235" s="2944"/>
      <c r="X235" s="2944"/>
      <c r="Y235" s="2944"/>
      <c r="Z235" s="2944"/>
      <c r="AA235" s="2944"/>
      <c r="AB235" s="2944"/>
      <c r="AC235" s="2934">
        <f t="shared" si="126"/>
        <v>0</v>
      </c>
      <c r="AD235" s="2954"/>
      <c r="AE235" s="2954"/>
      <c r="AF235" s="2954"/>
      <c r="AG235" s="2954"/>
      <c r="AH235" s="2954"/>
      <c r="AI235" s="2954"/>
      <c r="AJ235" s="2954"/>
      <c r="AK235" s="2954"/>
      <c r="AL235" s="2954"/>
      <c r="AM235" s="2954"/>
      <c r="AN235" s="2954"/>
      <c r="AO235" s="2954"/>
      <c r="AP235" s="2954"/>
      <c r="AQ235" s="2954"/>
      <c r="AR235" s="2954"/>
      <c r="AS235" s="2954"/>
      <c r="AT235" s="2935"/>
      <c r="AU235" s="2964"/>
      <c r="AV235" s="857">
        <f t="shared" si="127"/>
        <v>0</v>
      </c>
      <c r="AW235" s="857">
        <f t="shared" si="128"/>
        <v>0</v>
      </c>
      <c r="AX235" s="857">
        <f t="shared" si="129"/>
        <v>0</v>
      </c>
      <c r="AY235" s="807">
        <f t="shared" si="130"/>
        <v>0</v>
      </c>
      <c r="AZ235" s="2934">
        <f t="shared" si="131"/>
        <v>0</v>
      </c>
      <c r="BA235" s="2934">
        <f t="shared" si="132"/>
        <v>0</v>
      </c>
      <c r="BB235" s="2934">
        <f t="shared" si="133"/>
        <v>0</v>
      </c>
      <c r="BC235" s="2934">
        <f t="shared" si="134"/>
        <v>0</v>
      </c>
      <c r="BD235" s="2934">
        <f t="shared" si="135"/>
        <v>0</v>
      </c>
      <c r="BE235" s="2934">
        <f t="shared" si="136"/>
        <v>0</v>
      </c>
      <c r="BF235" s="2934">
        <f t="shared" si="137"/>
        <v>0</v>
      </c>
      <c r="BG235" s="2934">
        <f t="shared" si="138"/>
        <v>0</v>
      </c>
      <c r="BH235" s="2934">
        <f t="shared" si="139"/>
        <v>0</v>
      </c>
      <c r="BI235" s="2934">
        <f t="shared" si="140"/>
        <v>0</v>
      </c>
      <c r="BJ235" s="2934">
        <f t="shared" si="141"/>
        <v>0</v>
      </c>
      <c r="BK235" s="2934">
        <f t="shared" si="142"/>
        <v>0</v>
      </c>
      <c r="BL235" s="2934">
        <f t="shared" si="143"/>
        <v>0</v>
      </c>
      <c r="BM235" s="2934">
        <f t="shared" si="144"/>
        <v>0</v>
      </c>
      <c r="BN235" s="2934">
        <f t="shared" si="145"/>
        <v>0</v>
      </c>
      <c r="BO235" s="2934">
        <f t="shared" si="146"/>
        <v>0</v>
      </c>
      <c r="BP235" s="2934">
        <f t="shared" si="147"/>
        <v>0</v>
      </c>
      <c r="BQ235" s="2934">
        <f t="shared" si="148"/>
        <v>0</v>
      </c>
      <c r="BR235" s="2934">
        <f t="shared" si="149"/>
        <v>0</v>
      </c>
      <c r="BS235" s="2934">
        <f t="shared" si="150"/>
        <v>0</v>
      </c>
      <c r="BT235" s="2982">
        <f t="shared" si="151"/>
        <v>0</v>
      </c>
    </row>
    <row r="236" spans="1:72">
      <c r="A236" s="874"/>
      <c r="B236" s="882"/>
      <c r="C236" s="882"/>
      <c r="D236" s="2933"/>
      <c r="E236" s="2934">
        <f t="shared" si="123"/>
        <v>0</v>
      </c>
      <c r="F236" s="2935"/>
      <c r="G236" s="2936">
        <f t="shared" si="124"/>
        <v>0</v>
      </c>
      <c r="H236" s="2937">
        <f t="shared" si="125"/>
        <v>0</v>
      </c>
      <c r="I236" s="2944"/>
      <c r="J236" s="2944"/>
      <c r="K236" s="2944"/>
      <c r="L236" s="2944"/>
      <c r="M236" s="2944"/>
      <c r="N236" s="2944"/>
      <c r="O236" s="2944"/>
      <c r="P236" s="2944"/>
      <c r="Q236" s="2944"/>
      <c r="R236" s="2944"/>
      <c r="S236" s="2944"/>
      <c r="T236" s="2944"/>
      <c r="U236" s="2944"/>
      <c r="V236" s="2944"/>
      <c r="W236" s="2944"/>
      <c r="X236" s="2944"/>
      <c r="Y236" s="2944"/>
      <c r="Z236" s="2944"/>
      <c r="AA236" s="2944"/>
      <c r="AB236" s="2944"/>
      <c r="AC236" s="2934">
        <f t="shared" si="126"/>
        <v>0</v>
      </c>
      <c r="AD236" s="2954"/>
      <c r="AE236" s="2954"/>
      <c r="AF236" s="2954"/>
      <c r="AG236" s="2954"/>
      <c r="AH236" s="2954"/>
      <c r="AI236" s="2954"/>
      <c r="AJ236" s="2954"/>
      <c r="AK236" s="2954"/>
      <c r="AL236" s="2954"/>
      <c r="AM236" s="2954"/>
      <c r="AN236" s="2954"/>
      <c r="AO236" s="2954"/>
      <c r="AP236" s="2954"/>
      <c r="AQ236" s="2954"/>
      <c r="AR236" s="2954"/>
      <c r="AS236" s="2954"/>
      <c r="AT236" s="2935"/>
      <c r="AU236" s="2964"/>
      <c r="AV236" s="857">
        <f t="shared" si="127"/>
        <v>0</v>
      </c>
      <c r="AW236" s="857">
        <f t="shared" si="128"/>
        <v>0</v>
      </c>
      <c r="AX236" s="857">
        <f t="shared" si="129"/>
        <v>0</v>
      </c>
      <c r="AY236" s="807">
        <f t="shared" si="130"/>
        <v>0</v>
      </c>
      <c r="AZ236" s="2934">
        <f t="shared" si="131"/>
        <v>0</v>
      </c>
      <c r="BA236" s="2934">
        <f t="shared" si="132"/>
        <v>0</v>
      </c>
      <c r="BB236" s="2934">
        <f t="shared" si="133"/>
        <v>0</v>
      </c>
      <c r="BC236" s="2934">
        <f t="shared" si="134"/>
        <v>0</v>
      </c>
      <c r="BD236" s="2934">
        <f t="shared" si="135"/>
        <v>0</v>
      </c>
      <c r="BE236" s="2934">
        <f t="shared" si="136"/>
        <v>0</v>
      </c>
      <c r="BF236" s="2934">
        <f t="shared" si="137"/>
        <v>0</v>
      </c>
      <c r="BG236" s="2934">
        <f t="shared" si="138"/>
        <v>0</v>
      </c>
      <c r="BH236" s="2934">
        <f t="shared" si="139"/>
        <v>0</v>
      </c>
      <c r="BI236" s="2934">
        <f t="shared" si="140"/>
        <v>0</v>
      </c>
      <c r="BJ236" s="2934">
        <f t="shared" si="141"/>
        <v>0</v>
      </c>
      <c r="BK236" s="2934">
        <f t="shared" si="142"/>
        <v>0</v>
      </c>
      <c r="BL236" s="2934">
        <f t="shared" si="143"/>
        <v>0</v>
      </c>
      <c r="BM236" s="2934">
        <f t="shared" si="144"/>
        <v>0</v>
      </c>
      <c r="BN236" s="2934">
        <f t="shared" si="145"/>
        <v>0</v>
      </c>
      <c r="BO236" s="2934">
        <f t="shared" si="146"/>
        <v>0</v>
      </c>
      <c r="BP236" s="2934">
        <f t="shared" si="147"/>
        <v>0</v>
      </c>
      <c r="BQ236" s="2934">
        <f t="shared" si="148"/>
        <v>0</v>
      </c>
      <c r="BR236" s="2934">
        <f t="shared" si="149"/>
        <v>0</v>
      </c>
      <c r="BS236" s="2934">
        <f t="shared" si="150"/>
        <v>0</v>
      </c>
      <c r="BT236" s="2982">
        <f t="shared" si="151"/>
        <v>0</v>
      </c>
    </row>
    <row r="237" spans="1:72">
      <c r="A237" s="874"/>
      <c r="B237" s="882"/>
      <c r="C237" s="882"/>
      <c r="D237" s="2933"/>
      <c r="E237" s="2934">
        <f t="shared" si="123"/>
        <v>0</v>
      </c>
      <c r="F237" s="2935"/>
      <c r="G237" s="2936">
        <f t="shared" si="124"/>
        <v>0</v>
      </c>
      <c r="H237" s="2937">
        <f t="shared" si="125"/>
        <v>0</v>
      </c>
      <c r="I237" s="2944"/>
      <c r="J237" s="2944"/>
      <c r="K237" s="2944"/>
      <c r="L237" s="2944"/>
      <c r="M237" s="2944"/>
      <c r="N237" s="2944"/>
      <c r="O237" s="2944"/>
      <c r="P237" s="2944"/>
      <c r="Q237" s="2944"/>
      <c r="R237" s="2944"/>
      <c r="S237" s="2944"/>
      <c r="T237" s="2944"/>
      <c r="U237" s="2944"/>
      <c r="V237" s="2944"/>
      <c r="W237" s="2944"/>
      <c r="X237" s="2944"/>
      <c r="Y237" s="2944"/>
      <c r="Z237" s="2944"/>
      <c r="AA237" s="2944"/>
      <c r="AB237" s="2944"/>
      <c r="AC237" s="2934">
        <f t="shared" si="126"/>
        <v>0</v>
      </c>
      <c r="AD237" s="2954"/>
      <c r="AE237" s="2954"/>
      <c r="AF237" s="2954"/>
      <c r="AG237" s="2954"/>
      <c r="AH237" s="2954"/>
      <c r="AI237" s="2954"/>
      <c r="AJ237" s="2954"/>
      <c r="AK237" s="2954"/>
      <c r="AL237" s="2954"/>
      <c r="AM237" s="2954"/>
      <c r="AN237" s="2954"/>
      <c r="AO237" s="2954"/>
      <c r="AP237" s="2954"/>
      <c r="AQ237" s="2954"/>
      <c r="AR237" s="2954"/>
      <c r="AS237" s="2954"/>
      <c r="AT237" s="2935"/>
      <c r="AU237" s="2964"/>
      <c r="AV237" s="857">
        <f t="shared" si="127"/>
        <v>0</v>
      </c>
      <c r="AW237" s="857">
        <f t="shared" si="128"/>
        <v>0</v>
      </c>
      <c r="AX237" s="857">
        <f t="shared" si="129"/>
        <v>0</v>
      </c>
      <c r="AY237" s="807">
        <f t="shared" si="130"/>
        <v>0</v>
      </c>
      <c r="AZ237" s="2934">
        <f t="shared" si="131"/>
        <v>0</v>
      </c>
      <c r="BA237" s="2934">
        <f t="shared" si="132"/>
        <v>0</v>
      </c>
      <c r="BB237" s="2934">
        <f t="shared" si="133"/>
        <v>0</v>
      </c>
      <c r="BC237" s="2934">
        <f t="shared" si="134"/>
        <v>0</v>
      </c>
      <c r="BD237" s="2934">
        <f t="shared" si="135"/>
        <v>0</v>
      </c>
      <c r="BE237" s="2934">
        <f t="shared" si="136"/>
        <v>0</v>
      </c>
      <c r="BF237" s="2934">
        <f t="shared" si="137"/>
        <v>0</v>
      </c>
      <c r="BG237" s="2934">
        <f t="shared" si="138"/>
        <v>0</v>
      </c>
      <c r="BH237" s="2934">
        <f t="shared" si="139"/>
        <v>0</v>
      </c>
      <c r="BI237" s="2934">
        <f t="shared" si="140"/>
        <v>0</v>
      </c>
      <c r="BJ237" s="2934">
        <f t="shared" si="141"/>
        <v>0</v>
      </c>
      <c r="BK237" s="2934">
        <f t="shared" si="142"/>
        <v>0</v>
      </c>
      <c r="BL237" s="2934">
        <f t="shared" si="143"/>
        <v>0</v>
      </c>
      <c r="BM237" s="2934">
        <f t="shared" si="144"/>
        <v>0</v>
      </c>
      <c r="BN237" s="2934">
        <f t="shared" si="145"/>
        <v>0</v>
      </c>
      <c r="BO237" s="2934">
        <f t="shared" si="146"/>
        <v>0</v>
      </c>
      <c r="BP237" s="2934">
        <f t="shared" si="147"/>
        <v>0</v>
      </c>
      <c r="BQ237" s="2934">
        <f t="shared" si="148"/>
        <v>0</v>
      </c>
      <c r="BR237" s="2934">
        <f t="shared" si="149"/>
        <v>0</v>
      </c>
      <c r="BS237" s="2934">
        <f t="shared" si="150"/>
        <v>0</v>
      </c>
      <c r="BT237" s="2982">
        <f t="shared" si="151"/>
        <v>0</v>
      </c>
    </row>
    <row r="238" spans="1:72">
      <c r="A238" s="874"/>
      <c r="B238" s="882"/>
      <c r="C238" s="882"/>
      <c r="D238" s="2933"/>
      <c r="E238" s="2934">
        <f t="shared" si="123"/>
        <v>0</v>
      </c>
      <c r="F238" s="2935"/>
      <c r="G238" s="2936">
        <f t="shared" si="124"/>
        <v>0</v>
      </c>
      <c r="H238" s="2937">
        <f t="shared" si="125"/>
        <v>0</v>
      </c>
      <c r="I238" s="2944"/>
      <c r="J238" s="2944"/>
      <c r="K238" s="2944"/>
      <c r="L238" s="2944"/>
      <c r="M238" s="2944"/>
      <c r="N238" s="2944"/>
      <c r="O238" s="2944"/>
      <c r="P238" s="2944"/>
      <c r="Q238" s="2944"/>
      <c r="R238" s="2944"/>
      <c r="S238" s="2944"/>
      <c r="T238" s="2944"/>
      <c r="U238" s="2944"/>
      <c r="V238" s="2944"/>
      <c r="W238" s="2944"/>
      <c r="X238" s="2944"/>
      <c r="Y238" s="2944"/>
      <c r="Z238" s="2944"/>
      <c r="AA238" s="2944"/>
      <c r="AB238" s="2944"/>
      <c r="AC238" s="2934">
        <f t="shared" si="126"/>
        <v>0</v>
      </c>
      <c r="AD238" s="2954"/>
      <c r="AE238" s="2954"/>
      <c r="AF238" s="2954"/>
      <c r="AG238" s="2954"/>
      <c r="AH238" s="2954"/>
      <c r="AI238" s="2954"/>
      <c r="AJ238" s="2954"/>
      <c r="AK238" s="2954"/>
      <c r="AL238" s="2954"/>
      <c r="AM238" s="2954"/>
      <c r="AN238" s="2954"/>
      <c r="AO238" s="2954"/>
      <c r="AP238" s="2954"/>
      <c r="AQ238" s="2954"/>
      <c r="AR238" s="2954"/>
      <c r="AS238" s="2954"/>
      <c r="AT238" s="2935"/>
      <c r="AU238" s="2964"/>
      <c r="AV238" s="857">
        <f t="shared" si="127"/>
        <v>0</v>
      </c>
      <c r="AW238" s="857">
        <f t="shared" si="128"/>
        <v>0</v>
      </c>
      <c r="AX238" s="857">
        <f t="shared" si="129"/>
        <v>0</v>
      </c>
      <c r="AY238" s="807">
        <f t="shared" si="130"/>
        <v>0</v>
      </c>
      <c r="AZ238" s="2934">
        <f t="shared" si="131"/>
        <v>0</v>
      </c>
      <c r="BA238" s="2934">
        <f t="shared" si="132"/>
        <v>0</v>
      </c>
      <c r="BB238" s="2934">
        <f t="shared" si="133"/>
        <v>0</v>
      </c>
      <c r="BC238" s="2934">
        <f t="shared" si="134"/>
        <v>0</v>
      </c>
      <c r="BD238" s="2934">
        <f t="shared" si="135"/>
        <v>0</v>
      </c>
      <c r="BE238" s="2934">
        <f t="shared" si="136"/>
        <v>0</v>
      </c>
      <c r="BF238" s="2934">
        <f t="shared" si="137"/>
        <v>0</v>
      </c>
      <c r="BG238" s="2934">
        <f t="shared" si="138"/>
        <v>0</v>
      </c>
      <c r="BH238" s="2934">
        <f t="shared" si="139"/>
        <v>0</v>
      </c>
      <c r="BI238" s="2934">
        <f t="shared" si="140"/>
        <v>0</v>
      </c>
      <c r="BJ238" s="2934">
        <f t="shared" si="141"/>
        <v>0</v>
      </c>
      <c r="BK238" s="2934">
        <f t="shared" si="142"/>
        <v>0</v>
      </c>
      <c r="BL238" s="2934">
        <f t="shared" si="143"/>
        <v>0</v>
      </c>
      <c r="BM238" s="2934">
        <f t="shared" si="144"/>
        <v>0</v>
      </c>
      <c r="BN238" s="2934">
        <f t="shared" si="145"/>
        <v>0</v>
      </c>
      <c r="BO238" s="2934">
        <f t="shared" si="146"/>
        <v>0</v>
      </c>
      <c r="BP238" s="2934">
        <f t="shared" si="147"/>
        <v>0</v>
      </c>
      <c r="BQ238" s="2934">
        <f t="shared" si="148"/>
        <v>0</v>
      </c>
      <c r="BR238" s="2934">
        <f t="shared" si="149"/>
        <v>0</v>
      </c>
      <c r="BS238" s="2934">
        <f t="shared" si="150"/>
        <v>0</v>
      </c>
      <c r="BT238" s="2982">
        <f t="shared" si="151"/>
        <v>0</v>
      </c>
    </row>
    <row r="239" spans="1:72">
      <c r="A239" s="874"/>
      <c r="B239" s="882"/>
      <c r="C239" s="882"/>
      <c r="D239" s="2933"/>
      <c r="E239" s="2934">
        <f t="shared" si="123"/>
        <v>0</v>
      </c>
      <c r="F239" s="2935"/>
      <c r="G239" s="2936">
        <f t="shared" si="124"/>
        <v>0</v>
      </c>
      <c r="H239" s="2937">
        <f t="shared" si="125"/>
        <v>0</v>
      </c>
      <c r="I239" s="2944"/>
      <c r="J239" s="2944"/>
      <c r="K239" s="2944"/>
      <c r="L239" s="2944"/>
      <c r="M239" s="2944"/>
      <c r="N239" s="2944"/>
      <c r="O239" s="2944"/>
      <c r="P239" s="2944"/>
      <c r="Q239" s="2944"/>
      <c r="R239" s="2944"/>
      <c r="S239" s="2944"/>
      <c r="T239" s="2944"/>
      <c r="U239" s="2944"/>
      <c r="V239" s="2944"/>
      <c r="W239" s="2944"/>
      <c r="X239" s="2944"/>
      <c r="Y239" s="2944"/>
      <c r="Z239" s="2944"/>
      <c r="AA239" s="2944"/>
      <c r="AB239" s="2944"/>
      <c r="AC239" s="2934">
        <f t="shared" si="126"/>
        <v>0</v>
      </c>
      <c r="AD239" s="2954"/>
      <c r="AE239" s="2954"/>
      <c r="AF239" s="2954"/>
      <c r="AG239" s="2954"/>
      <c r="AH239" s="2954"/>
      <c r="AI239" s="2954"/>
      <c r="AJ239" s="2954"/>
      <c r="AK239" s="2954"/>
      <c r="AL239" s="2954"/>
      <c r="AM239" s="2954"/>
      <c r="AN239" s="2954"/>
      <c r="AO239" s="2954"/>
      <c r="AP239" s="2954"/>
      <c r="AQ239" s="2954"/>
      <c r="AR239" s="2954"/>
      <c r="AS239" s="2954"/>
      <c r="AT239" s="2935"/>
      <c r="AU239" s="2964"/>
      <c r="AV239" s="857">
        <f t="shared" si="127"/>
        <v>0</v>
      </c>
      <c r="AW239" s="857">
        <f t="shared" si="128"/>
        <v>0</v>
      </c>
      <c r="AX239" s="857">
        <f t="shared" si="129"/>
        <v>0</v>
      </c>
      <c r="AY239" s="807">
        <f t="shared" si="130"/>
        <v>0</v>
      </c>
      <c r="AZ239" s="2934">
        <f t="shared" si="131"/>
        <v>0</v>
      </c>
      <c r="BA239" s="2934">
        <f t="shared" si="132"/>
        <v>0</v>
      </c>
      <c r="BB239" s="2934">
        <f t="shared" si="133"/>
        <v>0</v>
      </c>
      <c r="BC239" s="2934">
        <f t="shared" si="134"/>
        <v>0</v>
      </c>
      <c r="BD239" s="2934">
        <f t="shared" si="135"/>
        <v>0</v>
      </c>
      <c r="BE239" s="2934">
        <f t="shared" si="136"/>
        <v>0</v>
      </c>
      <c r="BF239" s="2934">
        <f t="shared" si="137"/>
        <v>0</v>
      </c>
      <c r="BG239" s="2934">
        <f t="shared" si="138"/>
        <v>0</v>
      </c>
      <c r="BH239" s="2934">
        <f t="shared" si="139"/>
        <v>0</v>
      </c>
      <c r="BI239" s="2934">
        <f t="shared" si="140"/>
        <v>0</v>
      </c>
      <c r="BJ239" s="2934">
        <f t="shared" si="141"/>
        <v>0</v>
      </c>
      <c r="BK239" s="2934">
        <f t="shared" si="142"/>
        <v>0</v>
      </c>
      <c r="BL239" s="2934">
        <f t="shared" si="143"/>
        <v>0</v>
      </c>
      <c r="BM239" s="2934">
        <f t="shared" si="144"/>
        <v>0</v>
      </c>
      <c r="BN239" s="2934">
        <f t="shared" si="145"/>
        <v>0</v>
      </c>
      <c r="BO239" s="2934">
        <f t="shared" si="146"/>
        <v>0</v>
      </c>
      <c r="BP239" s="2934">
        <f t="shared" si="147"/>
        <v>0</v>
      </c>
      <c r="BQ239" s="2934">
        <f t="shared" si="148"/>
        <v>0</v>
      </c>
      <c r="BR239" s="2934">
        <f t="shared" si="149"/>
        <v>0</v>
      </c>
      <c r="BS239" s="2934">
        <f t="shared" si="150"/>
        <v>0</v>
      </c>
      <c r="BT239" s="2982">
        <f t="shared" si="151"/>
        <v>0</v>
      </c>
    </row>
    <row r="240" spans="1:72">
      <c r="A240" s="874"/>
      <c r="B240" s="882"/>
      <c r="C240" s="882"/>
      <c r="D240" s="2933"/>
      <c r="E240" s="2934">
        <f t="shared" si="123"/>
        <v>0</v>
      </c>
      <c r="F240" s="2935"/>
      <c r="G240" s="2936">
        <f t="shared" si="124"/>
        <v>0</v>
      </c>
      <c r="H240" s="2937">
        <f t="shared" si="125"/>
        <v>0</v>
      </c>
      <c r="I240" s="2944"/>
      <c r="J240" s="2944"/>
      <c r="K240" s="2944"/>
      <c r="L240" s="2944"/>
      <c r="M240" s="2944"/>
      <c r="N240" s="2944"/>
      <c r="O240" s="2944"/>
      <c r="P240" s="2944"/>
      <c r="Q240" s="2944"/>
      <c r="R240" s="2944"/>
      <c r="S240" s="2944"/>
      <c r="T240" s="2944"/>
      <c r="U240" s="2944"/>
      <c r="V240" s="2944"/>
      <c r="W240" s="2944"/>
      <c r="X240" s="2944"/>
      <c r="Y240" s="2944"/>
      <c r="Z240" s="2944"/>
      <c r="AA240" s="2944"/>
      <c r="AB240" s="2944"/>
      <c r="AC240" s="2934">
        <f t="shared" si="126"/>
        <v>0</v>
      </c>
      <c r="AD240" s="2954"/>
      <c r="AE240" s="2954"/>
      <c r="AF240" s="2954"/>
      <c r="AG240" s="2954"/>
      <c r="AH240" s="2954"/>
      <c r="AI240" s="2954"/>
      <c r="AJ240" s="2954"/>
      <c r="AK240" s="2954"/>
      <c r="AL240" s="2954"/>
      <c r="AM240" s="2954"/>
      <c r="AN240" s="2954"/>
      <c r="AO240" s="2954"/>
      <c r="AP240" s="2954"/>
      <c r="AQ240" s="2954"/>
      <c r="AR240" s="2954"/>
      <c r="AS240" s="2954"/>
      <c r="AT240" s="2935"/>
      <c r="AU240" s="2964"/>
      <c r="AV240" s="857">
        <f t="shared" si="127"/>
        <v>0</v>
      </c>
      <c r="AW240" s="857">
        <f t="shared" si="128"/>
        <v>0</v>
      </c>
      <c r="AX240" s="857">
        <f t="shared" si="129"/>
        <v>0</v>
      </c>
      <c r="AY240" s="807">
        <f t="shared" si="130"/>
        <v>0</v>
      </c>
      <c r="AZ240" s="2934">
        <f t="shared" si="131"/>
        <v>0</v>
      </c>
      <c r="BA240" s="2934">
        <f t="shared" si="132"/>
        <v>0</v>
      </c>
      <c r="BB240" s="2934">
        <f t="shared" si="133"/>
        <v>0</v>
      </c>
      <c r="BC240" s="2934">
        <f t="shared" si="134"/>
        <v>0</v>
      </c>
      <c r="BD240" s="2934">
        <f t="shared" si="135"/>
        <v>0</v>
      </c>
      <c r="BE240" s="2934">
        <f t="shared" si="136"/>
        <v>0</v>
      </c>
      <c r="BF240" s="2934">
        <f t="shared" si="137"/>
        <v>0</v>
      </c>
      <c r="BG240" s="2934">
        <f t="shared" si="138"/>
        <v>0</v>
      </c>
      <c r="BH240" s="2934">
        <f t="shared" si="139"/>
        <v>0</v>
      </c>
      <c r="BI240" s="2934">
        <f t="shared" si="140"/>
        <v>0</v>
      </c>
      <c r="BJ240" s="2934">
        <f t="shared" si="141"/>
        <v>0</v>
      </c>
      <c r="BK240" s="2934">
        <f t="shared" si="142"/>
        <v>0</v>
      </c>
      <c r="BL240" s="2934">
        <f t="shared" si="143"/>
        <v>0</v>
      </c>
      <c r="BM240" s="2934">
        <f t="shared" si="144"/>
        <v>0</v>
      </c>
      <c r="BN240" s="2934">
        <f t="shared" si="145"/>
        <v>0</v>
      </c>
      <c r="BO240" s="2934">
        <f t="shared" si="146"/>
        <v>0</v>
      </c>
      <c r="BP240" s="2934">
        <f t="shared" si="147"/>
        <v>0</v>
      </c>
      <c r="BQ240" s="2934">
        <f t="shared" si="148"/>
        <v>0</v>
      </c>
      <c r="BR240" s="2934">
        <f t="shared" si="149"/>
        <v>0</v>
      </c>
      <c r="BS240" s="2934">
        <f t="shared" si="150"/>
        <v>0</v>
      </c>
      <c r="BT240" s="2982">
        <f t="shared" si="151"/>
        <v>0</v>
      </c>
    </row>
    <row r="241" spans="1:72">
      <c r="A241" s="874"/>
      <c r="B241" s="882"/>
      <c r="C241" s="882"/>
      <c r="D241" s="2933"/>
      <c r="E241" s="2934">
        <f t="shared" si="123"/>
        <v>0</v>
      </c>
      <c r="F241" s="2935"/>
      <c r="G241" s="2936">
        <f t="shared" si="124"/>
        <v>0</v>
      </c>
      <c r="H241" s="2937">
        <f t="shared" si="125"/>
        <v>0</v>
      </c>
      <c r="I241" s="2944"/>
      <c r="J241" s="2944"/>
      <c r="K241" s="2944"/>
      <c r="L241" s="2944"/>
      <c r="M241" s="2944"/>
      <c r="N241" s="2944"/>
      <c r="O241" s="2944"/>
      <c r="P241" s="2944"/>
      <c r="Q241" s="2944"/>
      <c r="R241" s="2944"/>
      <c r="S241" s="2944"/>
      <c r="T241" s="2944"/>
      <c r="U241" s="2944"/>
      <c r="V241" s="2944"/>
      <c r="W241" s="2944"/>
      <c r="X241" s="2944"/>
      <c r="Y241" s="2944"/>
      <c r="Z241" s="2944"/>
      <c r="AA241" s="2944"/>
      <c r="AB241" s="2944"/>
      <c r="AC241" s="2934">
        <f t="shared" si="126"/>
        <v>0</v>
      </c>
      <c r="AD241" s="2954"/>
      <c r="AE241" s="2954"/>
      <c r="AF241" s="2954"/>
      <c r="AG241" s="2954"/>
      <c r="AH241" s="2954"/>
      <c r="AI241" s="2954"/>
      <c r="AJ241" s="2954"/>
      <c r="AK241" s="2954"/>
      <c r="AL241" s="2954"/>
      <c r="AM241" s="2954"/>
      <c r="AN241" s="2954"/>
      <c r="AO241" s="2954"/>
      <c r="AP241" s="2954"/>
      <c r="AQ241" s="2954"/>
      <c r="AR241" s="2954"/>
      <c r="AS241" s="2954"/>
      <c r="AT241" s="2935"/>
      <c r="AU241" s="2964"/>
      <c r="AV241" s="857">
        <f t="shared" si="127"/>
        <v>0</v>
      </c>
      <c r="AW241" s="857">
        <f t="shared" si="128"/>
        <v>0</v>
      </c>
      <c r="AX241" s="857">
        <f t="shared" si="129"/>
        <v>0</v>
      </c>
      <c r="AY241" s="807">
        <f t="shared" si="130"/>
        <v>0</v>
      </c>
      <c r="AZ241" s="2934">
        <f t="shared" si="131"/>
        <v>0</v>
      </c>
      <c r="BA241" s="2934">
        <f t="shared" si="132"/>
        <v>0</v>
      </c>
      <c r="BB241" s="2934">
        <f t="shared" si="133"/>
        <v>0</v>
      </c>
      <c r="BC241" s="2934">
        <f t="shared" si="134"/>
        <v>0</v>
      </c>
      <c r="BD241" s="2934">
        <f t="shared" si="135"/>
        <v>0</v>
      </c>
      <c r="BE241" s="2934">
        <f t="shared" si="136"/>
        <v>0</v>
      </c>
      <c r="BF241" s="2934">
        <f t="shared" si="137"/>
        <v>0</v>
      </c>
      <c r="BG241" s="2934">
        <f t="shared" si="138"/>
        <v>0</v>
      </c>
      <c r="BH241" s="2934">
        <f t="shared" si="139"/>
        <v>0</v>
      </c>
      <c r="BI241" s="2934">
        <f t="shared" si="140"/>
        <v>0</v>
      </c>
      <c r="BJ241" s="2934">
        <f t="shared" si="141"/>
        <v>0</v>
      </c>
      <c r="BK241" s="2934">
        <f t="shared" si="142"/>
        <v>0</v>
      </c>
      <c r="BL241" s="2934">
        <f t="shared" si="143"/>
        <v>0</v>
      </c>
      <c r="BM241" s="2934">
        <f t="shared" si="144"/>
        <v>0</v>
      </c>
      <c r="BN241" s="2934">
        <f t="shared" si="145"/>
        <v>0</v>
      </c>
      <c r="BO241" s="2934">
        <f t="shared" si="146"/>
        <v>0</v>
      </c>
      <c r="BP241" s="2934">
        <f t="shared" si="147"/>
        <v>0</v>
      </c>
      <c r="BQ241" s="2934">
        <f t="shared" si="148"/>
        <v>0</v>
      </c>
      <c r="BR241" s="2934">
        <f t="shared" si="149"/>
        <v>0</v>
      </c>
      <c r="BS241" s="2934">
        <f t="shared" si="150"/>
        <v>0</v>
      </c>
      <c r="BT241" s="2982">
        <f t="shared" si="151"/>
        <v>0</v>
      </c>
    </row>
    <row r="242" spans="1:72">
      <c r="A242" s="874"/>
      <c r="B242" s="882"/>
      <c r="C242" s="882"/>
      <c r="D242" s="2933"/>
      <c r="E242" s="2934">
        <f t="shared" si="123"/>
        <v>0</v>
      </c>
      <c r="F242" s="2935"/>
      <c r="G242" s="2936">
        <f t="shared" si="124"/>
        <v>0</v>
      </c>
      <c r="H242" s="2937">
        <f t="shared" si="125"/>
        <v>0</v>
      </c>
      <c r="I242" s="2944"/>
      <c r="J242" s="2944"/>
      <c r="K242" s="2944"/>
      <c r="L242" s="2944"/>
      <c r="M242" s="2944"/>
      <c r="N242" s="2944"/>
      <c r="O242" s="2944"/>
      <c r="P242" s="2944"/>
      <c r="Q242" s="2944"/>
      <c r="R242" s="2944"/>
      <c r="S242" s="2944"/>
      <c r="T242" s="2944"/>
      <c r="U242" s="2944"/>
      <c r="V242" s="2944"/>
      <c r="W242" s="2944"/>
      <c r="X242" s="2944"/>
      <c r="Y242" s="2944"/>
      <c r="Z242" s="2944"/>
      <c r="AA242" s="2944"/>
      <c r="AB242" s="2944"/>
      <c r="AC242" s="2934">
        <f t="shared" si="126"/>
        <v>0</v>
      </c>
      <c r="AD242" s="2954"/>
      <c r="AE242" s="2954"/>
      <c r="AF242" s="2954"/>
      <c r="AG242" s="2954"/>
      <c r="AH242" s="2954"/>
      <c r="AI242" s="2954"/>
      <c r="AJ242" s="2954"/>
      <c r="AK242" s="2954"/>
      <c r="AL242" s="2954"/>
      <c r="AM242" s="2954"/>
      <c r="AN242" s="2954"/>
      <c r="AO242" s="2954"/>
      <c r="AP242" s="2954"/>
      <c r="AQ242" s="2954"/>
      <c r="AR242" s="2954"/>
      <c r="AS242" s="2954"/>
      <c r="AT242" s="2935"/>
      <c r="AU242" s="2964"/>
      <c r="AV242" s="857">
        <f t="shared" si="127"/>
        <v>0</v>
      </c>
      <c r="AW242" s="857">
        <f t="shared" si="128"/>
        <v>0</v>
      </c>
      <c r="AX242" s="857">
        <f t="shared" si="129"/>
        <v>0</v>
      </c>
      <c r="AY242" s="807">
        <f t="shared" si="130"/>
        <v>0</v>
      </c>
      <c r="AZ242" s="2934">
        <f t="shared" si="131"/>
        <v>0</v>
      </c>
      <c r="BA242" s="2934">
        <f t="shared" si="132"/>
        <v>0</v>
      </c>
      <c r="BB242" s="2934">
        <f t="shared" si="133"/>
        <v>0</v>
      </c>
      <c r="BC242" s="2934">
        <f t="shared" si="134"/>
        <v>0</v>
      </c>
      <c r="BD242" s="2934">
        <f t="shared" si="135"/>
        <v>0</v>
      </c>
      <c r="BE242" s="2934">
        <f t="shared" si="136"/>
        <v>0</v>
      </c>
      <c r="BF242" s="2934">
        <f t="shared" si="137"/>
        <v>0</v>
      </c>
      <c r="BG242" s="2934">
        <f t="shared" si="138"/>
        <v>0</v>
      </c>
      <c r="BH242" s="2934">
        <f t="shared" si="139"/>
        <v>0</v>
      </c>
      <c r="BI242" s="2934">
        <f t="shared" si="140"/>
        <v>0</v>
      </c>
      <c r="BJ242" s="2934">
        <f t="shared" si="141"/>
        <v>0</v>
      </c>
      <c r="BK242" s="2934">
        <f t="shared" si="142"/>
        <v>0</v>
      </c>
      <c r="BL242" s="2934">
        <f t="shared" si="143"/>
        <v>0</v>
      </c>
      <c r="BM242" s="2934">
        <f t="shared" si="144"/>
        <v>0</v>
      </c>
      <c r="BN242" s="2934">
        <f t="shared" si="145"/>
        <v>0</v>
      </c>
      <c r="BO242" s="2934">
        <f t="shared" si="146"/>
        <v>0</v>
      </c>
      <c r="BP242" s="2934">
        <f t="shared" si="147"/>
        <v>0</v>
      </c>
      <c r="BQ242" s="2934">
        <f t="shared" si="148"/>
        <v>0</v>
      </c>
      <c r="BR242" s="2934">
        <f t="shared" si="149"/>
        <v>0</v>
      </c>
      <c r="BS242" s="2934">
        <f t="shared" si="150"/>
        <v>0</v>
      </c>
      <c r="BT242" s="2982">
        <f t="shared" si="151"/>
        <v>0</v>
      </c>
    </row>
    <row r="243" spans="1:72">
      <c r="A243" s="874"/>
      <c r="B243" s="882"/>
      <c r="C243" s="882"/>
      <c r="D243" s="2933"/>
      <c r="E243" s="2934">
        <f t="shared" si="123"/>
        <v>0</v>
      </c>
      <c r="F243" s="2935"/>
      <c r="G243" s="2936">
        <f t="shared" si="124"/>
        <v>0</v>
      </c>
      <c r="H243" s="2937">
        <f t="shared" si="125"/>
        <v>0</v>
      </c>
      <c r="I243" s="2944"/>
      <c r="J243" s="2944"/>
      <c r="K243" s="2944"/>
      <c r="L243" s="2944"/>
      <c r="M243" s="2944"/>
      <c r="N243" s="2944"/>
      <c r="O243" s="2944"/>
      <c r="P243" s="2944"/>
      <c r="Q243" s="2944"/>
      <c r="R243" s="2944"/>
      <c r="S243" s="2944"/>
      <c r="T243" s="2944"/>
      <c r="U243" s="2944"/>
      <c r="V243" s="2944"/>
      <c r="W243" s="2944"/>
      <c r="X243" s="2944"/>
      <c r="Y243" s="2944"/>
      <c r="Z243" s="2944"/>
      <c r="AA243" s="2944"/>
      <c r="AB243" s="2944"/>
      <c r="AC243" s="2934">
        <f t="shared" si="126"/>
        <v>0</v>
      </c>
      <c r="AD243" s="2954"/>
      <c r="AE243" s="2954"/>
      <c r="AF243" s="2954"/>
      <c r="AG243" s="2954"/>
      <c r="AH243" s="2954"/>
      <c r="AI243" s="2954"/>
      <c r="AJ243" s="2954"/>
      <c r="AK243" s="2954"/>
      <c r="AL243" s="2954"/>
      <c r="AM243" s="2954"/>
      <c r="AN243" s="2954"/>
      <c r="AO243" s="2954"/>
      <c r="AP243" s="2954"/>
      <c r="AQ243" s="2954"/>
      <c r="AR243" s="2954"/>
      <c r="AS243" s="2954"/>
      <c r="AT243" s="2935"/>
      <c r="AU243" s="2964"/>
      <c r="AV243" s="857">
        <f t="shared" si="127"/>
        <v>0</v>
      </c>
      <c r="AW243" s="857">
        <f t="shared" si="128"/>
        <v>0</v>
      </c>
      <c r="AX243" s="857">
        <f t="shared" si="129"/>
        <v>0</v>
      </c>
      <c r="AY243" s="807">
        <f t="shared" si="130"/>
        <v>0</v>
      </c>
      <c r="AZ243" s="2934">
        <f t="shared" si="131"/>
        <v>0</v>
      </c>
      <c r="BA243" s="2934">
        <f t="shared" si="132"/>
        <v>0</v>
      </c>
      <c r="BB243" s="2934">
        <f t="shared" si="133"/>
        <v>0</v>
      </c>
      <c r="BC243" s="2934">
        <f t="shared" si="134"/>
        <v>0</v>
      </c>
      <c r="BD243" s="2934">
        <f t="shared" si="135"/>
        <v>0</v>
      </c>
      <c r="BE243" s="2934">
        <f t="shared" si="136"/>
        <v>0</v>
      </c>
      <c r="BF243" s="2934">
        <f t="shared" si="137"/>
        <v>0</v>
      </c>
      <c r="BG243" s="2934">
        <f t="shared" si="138"/>
        <v>0</v>
      </c>
      <c r="BH243" s="2934">
        <f t="shared" si="139"/>
        <v>0</v>
      </c>
      <c r="BI243" s="2934">
        <f t="shared" si="140"/>
        <v>0</v>
      </c>
      <c r="BJ243" s="2934">
        <f t="shared" si="141"/>
        <v>0</v>
      </c>
      <c r="BK243" s="2934">
        <f t="shared" si="142"/>
        <v>0</v>
      </c>
      <c r="BL243" s="2934">
        <f t="shared" si="143"/>
        <v>0</v>
      </c>
      <c r="BM243" s="2934">
        <f t="shared" si="144"/>
        <v>0</v>
      </c>
      <c r="BN243" s="2934">
        <f t="shared" si="145"/>
        <v>0</v>
      </c>
      <c r="BO243" s="2934">
        <f t="shared" si="146"/>
        <v>0</v>
      </c>
      <c r="BP243" s="2934">
        <f t="shared" si="147"/>
        <v>0</v>
      </c>
      <c r="BQ243" s="2934">
        <f t="shared" si="148"/>
        <v>0</v>
      </c>
      <c r="BR243" s="2934">
        <f t="shared" si="149"/>
        <v>0</v>
      </c>
      <c r="BS243" s="2934">
        <f t="shared" si="150"/>
        <v>0</v>
      </c>
      <c r="BT243" s="2982">
        <f t="shared" si="151"/>
        <v>0</v>
      </c>
    </row>
    <row r="244" spans="1:72">
      <c r="A244" s="874"/>
      <c r="B244" s="882"/>
      <c r="C244" s="882"/>
      <c r="D244" s="2933"/>
      <c r="E244" s="2934">
        <f t="shared" si="123"/>
        <v>0</v>
      </c>
      <c r="F244" s="2935"/>
      <c r="G244" s="2936">
        <f t="shared" si="124"/>
        <v>0</v>
      </c>
      <c r="H244" s="2937">
        <f t="shared" si="125"/>
        <v>0</v>
      </c>
      <c r="I244" s="2944"/>
      <c r="J244" s="2944"/>
      <c r="K244" s="2944"/>
      <c r="L244" s="2944"/>
      <c r="M244" s="2944"/>
      <c r="N244" s="2944"/>
      <c r="O244" s="2944"/>
      <c r="P244" s="2944"/>
      <c r="Q244" s="2944"/>
      <c r="R244" s="2944"/>
      <c r="S244" s="2944"/>
      <c r="T244" s="2944"/>
      <c r="U244" s="2944"/>
      <c r="V244" s="2944"/>
      <c r="W244" s="2944"/>
      <c r="X244" s="2944"/>
      <c r="Y244" s="2944"/>
      <c r="Z244" s="2944"/>
      <c r="AA244" s="2944"/>
      <c r="AB244" s="2944"/>
      <c r="AC244" s="2934">
        <f t="shared" si="126"/>
        <v>0</v>
      </c>
      <c r="AD244" s="2954"/>
      <c r="AE244" s="2954"/>
      <c r="AF244" s="2954"/>
      <c r="AG244" s="2954"/>
      <c r="AH244" s="2954"/>
      <c r="AI244" s="2954"/>
      <c r="AJ244" s="2954"/>
      <c r="AK244" s="2954"/>
      <c r="AL244" s="2954"/>
      <c r="AM244" s="2954"/>
      <c r="AN244" s="2954"/>
      <c r="AO244" s="2954"/>
      <c r="AP244" s="2954"/>
      <c r="AQ244" s="2954"/>
      <c r="AR244" s="2954"/>
      <c r="AS244" s="2954"/>
      <c r="AT244" s="2935"/>
      <c r="AU244" s="2964"/>
      <c r="AV244" s="857">
        <f t="shared" si="127"/>
        <v>0</v>
      </c>
      <c r="AW244" s="857">
        <f t="shared" si="128"/>
        <v>0</v>
      </c>
      <c r="AX244" s="857">
        <f t="shared" si="129"/>
        <v>0</v>
      </c>
      <c r="AY244" s="807">
        <f t="shared" si="130"/>
        <v>0</v>
      </c>
      <c r="AZ244" s="2934">
        <f t="shared" si="131"/>
        <v>0</v>
      </c>
      <c r="BA244" s="2934">
        <f t="shared" si="132"/>
        <v>0</v>
      </c>
      <c r="BB244" s="2934">
        <f t="shared" si="133"/>
        <v>0</v>
      </c>
      <c r="BC244" s="2934">
        <f t="shared" si="134"/>
        <v>0</v>
      </c>
      <c r="BD244" s="2934">
        <f t="shared" si="135"/>
        <v>0</v>
      </c>
      <c r="BE244" s="2934">
        <f t="shared" si="136"/>
        <v>0</v>
      </c>
      <c r="BF244" s="2934">
        <f t="shared" si="137"/>
        <v>0</v>
      </c>
      <c r="BG244" s="2934">
        <f t="shared" si="138"/>
        <v>0</v>
      </c>
      <c r="BH244" s="2934">
        <f t="shared" si="139"/>
        <v>0</v>
      </c>
      <c r="BI244" s="2934">
        <f t="shared" si="140"/>
        <v>0</v>
      </c>
      <c r="BJ244" s="2934">
        <f t="shared" si="141"/>
        <v>0</v>
      </c>
      <c r="BK244" s="2934">
        <f t="shared" si="142"/>
        <v>0</v>
      </c>
      <c r="BL244" s="2934">
        <f t="shared" si="143"/>
        <v>0</v>
      </c>
      <c r="BM244" s="2934">
        <f t="shared" si="144"/>
        <v>0</v>
      </c>
      <c r="BN244" s="2934">
        <f t="shared" si="145"/>
        <v>0</v>
      </c>
      <c r="BO244" s="2934">
        <f t="shared" si="146"/>
        <v>0</v>
      </c>
      <c r="BP244" s="2934">
        <f t="shared" si="147"/>
        <v>0</v>
      </c>
      <c r="BQ244" s="2934">
        <f t="shared" si="148"/>
        <v>0</v>
      </c>
      <c r="BR244" s="2934">
        <f t="shared" si="149"/>
        <v>0</v>
      </c>
      <c r="BS244" s="2934">
        <f t="shared" si="150"/>
        <v>0</v>
      </c>
      <c r="BT244" s="2982">
        <f t="shared" si="151"/>
        <v>0</v>
      </c>
    </row>
    <row r="245" spans="1:72">
      <c r="A245" s="874"/>
      <c r="B245" s="882"/>
      <c r="C245" s="882"/>
      <c r="D245" s="2933"/>
      <c r="E245" s="2934">
        <f t="shared" si="123"/>
        <v>0</v>
      </c>
      <c r="F245" s="2935"/>
      <c r="G245" s="2936">
        <f t="shared" si="124"/>
        <v>0</v>
      </c>
      <c r="H245" s="2937">
        <f t="shared" si="125"/>
        <v>0</v>
      </c>
      <c r="I245" s="2944"/>
      <c r="J245" s="2944"/>
      <c r="K245" s="2944"/>
      <c r="L245" s="2944"/>
      <c r="M245" s="2944"/>
      <c r="N245" s="2944"/>
      <c r="O245" s="2944"/>
      <c r="P245" s="2944"/>
      <c r="Q245" s="2944"/>
      <c r="R245" s="2944"/>
      <c r="S245" s="2944"/>
      <c r="T245" s="2944"/>
      <c r="U245" s="2944"/>
      <c r="V245" s="2944"/>
      <c r="W245" s="2944"/>
      <c r="X245" s="2944"/>
      <c r="Y245" s="2944"/>
      <c r="Z245" s="2944"/>
      <c r="AA245" s="2944"/>
      <c r="AB245" s="2944"/>
      <c r="AC245" s="2934">
        <f t="shared" si="126"/>
        <v>0</v>
      </c>
      <c r="AD245" s="2954"/>
      <c r="AE245" s="2954"/>
      <c r="AF245" s="2954"/>
      <c r="AG245" s="2954"/>
      <c r="AH245" s="2954"/>
      <c r="AI245" s="2954"/>
      <c r="AJ245" s="2954"/>
      <c r="AK245" s="2954"/>
      <c r="AL245" s="2954"/>
      <c r="AM245" s="2954"/>
      <c r="AN245" s="2954"/>
      <c r="AO245" s="2954"/>
      <c r="AP245" s="2954"/>
      <c r="AQ245" s="2954"/>
      <c r="AR245" s="2954"/>
      <c r="AS245" s="2954"/>
      <c r="AT245" s="2935"/>
      <c r="AU245" s="2964"/>
      <c r="AV245" s="857">
        <f t="shared" si="127"/>
        <v>0</v>
      </c>
      <c r="AW245" s="857">
        <f t="shared" si="128"/>
        <v>0</v>
      </c>
      <c r="AX245" s="857">
        <f t="shared" si="129"/>
        <v>0</v>
      </c>
      <c r="AY245" s="807">
        <f t="shared" si="130"/>
        <v>0</v>
      </c>
      <c r="AZ245" s="2934">
        <f t="shared" si="131"/>
        <v>0</v>
      </c>
      <c r="BA245" s="2934">
        <f t="shared" si="132"/>
        <v>0</v>
      </c>
      <c r="BB245" s="2934">
        <f t="shared" si="133"/>
        <v>0</v>
      </c>
      <c r="BC245" s="2934">
        <f t="shared" si="134"/>
        <v>0</v>
      </c>
      <c r="BD245" s="2934">
        <f t="shared" si="135"/>
        <v>0</v>
      </c>
      <c r="BE245" s="2934">
        <f t="shared" si="136"/>
        <v>0</v>
      </c>
      <c r="BF245" s="2934">
        <f t="shared" si="137"/>
        <v>0</v>
      </c>
      <c r="BG245" s="2934">
        <f t="shared" si="138"/>
        <v>0</v>
      </c>
      <c r="BH245" s="2934">
        <f t="shared" si="139"/>
        <v>0</v>
      </c>
      <c r="BI245" s="2934">
        <f t="shared" si="140"/>
        <v>0</v>
      </c>
      <c r="BJ245" s="2934">
        <f t="shared" si="141"/>
        <v>0</v>
      </c>
      <c r="BK245" s="2934">
        <f t="shared" si="142"/>
        <v>0</v>
      </c>
      <c r="BL245" s="2934">
        <f t="shared" si="143"/>
        <v>0</v>
      </c>
      <c r="BM245" s="2934">
        <f t="shared" si="144"/>
        <v>0</v>
      </c>
      <c r="BN245" s="2934">
        <f t="shared" si="145"/>
        <v>0</v>
      </c>
      <c r="BO245" s="2934">
        <f t="shared" si="146"/>
        <v>0</v>
      </c>
      <c r="BP245" s="2934">
        <f t="shared" si="147"/>
        <v>0</v>
      </c>
      <c r="BQ245" s="2934">
        <f t="shared" si="148"/>
        <v>0</v>
      </c>
      <c r="BR245" s="2934">
        <f t="shared" si="149"/>
        <v>0</v>
      </c>
      <c r="BS245" s="2934">
        <f t="shared" si="150"/>
        <v>0</v>
      </c>
      <c r="BT245" s="2982">
        <f t="shared" si="151"/>
        <v>0</v>
      </c>
    </row>
    <row r="246" spans="1:72">
      <c r="A246" s="874"/>
      <c r="B246" s="882"/>
      <c r="C246" s="882"/>
      <c r="D246" s="2933"/>
      <c r="E246" s="2934">
        <f t="shared" si="123"/>
        <v>0</v>
      </c>
      <c r="F246" s="2935"/>
      <c r="G246" s="2936">
        <f t="shared" si="124"/>
        <v>0</v>
      </c>
      <c r="H246" s="2937">
        <f t="shared" si="125"/>
        <v>0</v>
      </c>
      <c r="I246" s="2944"/>
      <c r="J246" s="2944"/>
      <c r="K246" s="2944"/>
      <c r="L246" s="2944"/>
      <c r="M246" s="2944"/>
      <c r="N246" s="2944"/>
      <c r="O246" s="2944"/>
      <c r="P246" s="2944"/>
      <c r="Q246" s="2944"/>
      <c r="R246" s="2944"/>
      <c r="S246" s="2944"/>
      <c r="T246" s="2944"/>
      <c r="U246" s="2944"/>
      <c r="V246" s="2944"/>
      <c r="W246" s="2944"/>
      <c r="X246" s="2944"/>
      <c r="Y246" s="2944"/>
      <c r="Z246" s="2944"/>
      <c r="AA246" s="2944"/>
      <c r="AB246" s="2944"/>
      <c r="AC246" s="2934">
        <f t="shared" si="126"/>
        <v>0</v>
      </c>
      <c r="AD246" s="2954"/>
      <c r="AE246" s="2954"/>
      <c r="AF246" s="2954"/>
      <c r="AG246" s="2954"/>
      <c r="AH246" s="2954"/>
      <c r="AI246" s="2954"/>
      <c r="AJ246" s="2954"/>
      <c r="AK246" s="2954"/>
      <c r="AL246" s="2954"/>
      <c r="AM246" s="2954"/>
      <c r="AN246" s="2954"/>
      <c r="AO246" s="2954"/>
      <c r="AP246" s="2954"/>
      <c r="AQ246" s="2954"/>
      <c r="AR246" s="2954"/>
      <c r="AS246" s="2954"/>
      <c r="AT246" s="2935"/>
      <c r="AU246" s="2964"/>
      <c r="AV246" s="857">
        <f t="shared" si="127"/>
        <v>0</v>
      </c>
      <c r="AW246" s="857">
        <f t="shared" si="128"/>
        <v>0</v>
      </c>
      <c r="AX246" s="857">
        <f t="shared" si="129"/>
        <v>0</v>
      </c>
      <c r="AY246" s="807">
        <f t="shared" si="130"/>
        <v>0</v>
      </c>
      <c r="AZ246" s="2934">
        <f t="shared" si="131"/>
        <v>0</v>
      </c>
      <c r="BA246" s="2934">
        <f t="shared" si="132"/>
        <v>0</v>
      </c>
      <c r="BB246" s="2934">
        <f t="shared" si="133"/>
        <v>0</v>
      </c>
      <c r="BC246" s="2934">
        <f t="shared" si="134"/>
        <v>0</v>
      </c>
      <c r="BD246" s="2934">
        <f t="shared" si="135"/>
        <v>0</v>
      </c>
      <c r="BE246" s="2934">
        <f t="shared" si="136"/>
        <v>0</v>
      </c>
      <c r="BF246" s="2934">
        <f t="shared" si="137"/>
        <v>0</v>
      </c>
      <c r="BG246" s="2934">
        <f t="shared" si="138"/>
        <v>0</v>
      </c>
      <c r="BH246" s="2934">
        <f t="shared" si="139"/>
        <v>0</v>
      </c>
      <c r="BI246" s="2934">
        <f t="shared" si="140"/>
        <v>0</v>
      </c>
      <c r="BJ246" s="2934">
        <f t="shared" si="141"/>
        <v>0</v>
      </c>
      <c r="BK246" s="2934">
        <f t="shared" si="142"/>
        <v>0</v>
      </c>
      <c r="BL246" s="2934">
        <f t="shared" si="143"/>
        <v>0</v>
      </c>
      <c r="BM246" s="2934">
        <f t="shared" si="144"/>
        <v>0</v>
      </c>
      <c r="BN246" s="2934">
        <f t="shared" si="145"/>
        <v>0</v>
      </c>
      <c r="BO246" s="2934">
        <f t="shared" si="146"/>
        <v>0</v>
      </c>
      <c r="BP246" s="2934">
        <f t="shared" si="147"/>
        <v>0</v>
      </c>
      <c r="BQ246" s="2934">
        <f t="shared" si="148"/>
        <v>0</v>
      </c>
      <c r="BR246" s="2934">
        <f t="shared" si="149"/>
        <v>0</v>
      </c>
      <c r="BS246" s="2934">
        <f t="shared" si="150"/>
        <v>0</v>
      </c>
      <c r="BT246" s="2982">
        <f t="shared" si="151"/>
        <v>0</v>
      </c>
    </row>
    <row r="247" spans="1:72">
      <c r="A247" s="874"/>
      <c r="B247" s="882"/>
      <c r="C247" s="882"/>
      <c r="D247" s="2933"/>
      <c r="E247" s="2934">
        <f t="shared" si="123"/>
        <v>0</v>
      </c>
      <c r="F247" s="2935"/>
      <c r="G247" s="2936">
        <f t="shared" si="124"/>
        <v>0</v>
      </c>
      <c r="H247" s="2937">
        <f t="shared" si="125"/>
        <v>0</v>
      </c>
      <c r="I247" s="2944"/>
      <c r="J247" s="2944"/>
      <c r="K247" s="2944"/>
      <c r="L247" s="2944"/>
      <c r="M247" s="2944"/>
      <c r="N247" s="2944"/>
      <c r="O247" s="2944"/>
      <c r="P247" s="2944"/>
      <c r="Q247" s="2944"/>
      <c r="R247" s="2944"/>
      <c r="S247" s="2944"/>
      <c r="T247" s="2944"/>
      <c r="U247" s="2944"/>
      <c r="V247" s="2944"/>
      <c r="W247" s="2944"/>
      <c r="X247" s="2944"/>
      <c r="Y247" s="2944"/>
      <c r="Z247" s="2944"/>
      <c r="AA247" s="2944"/>
      <c r="AB247" s="2944"/>
      <c r="AC247" s="2934">
        <f t="shared" si="126"/>
        <v>0</v>
      </c>
      <c r="AD247" s="2954"/>
      <c r="AE247" s="2954"/>
      <c r="AF247" s="2954"/>
      <c r="AG247" s="2954"/>
      <c r="AH247" s="2954"/>
      <c r="AI247" s="2954"/>
      <c r="AJ247" s="2954"/>
      <c r="AK247" s="2954"/>
      <c r="AL247" s="2954"/>
      <c r="AM247" s="2954"/>
      <c r="AN247" s="2954"/>
      <c r="AO247" s="2954"/>
      <c r="AP247" s="2954"/>
      <c r="AQ247" s="2954"/>
      <c r="AR247" s="2954"/>
      <c r="AS247" s="2954"/>
      <c r="AT247" s="2935"/>
      <c r="AU247" s="2964"/>
      <c r="AV247" s="857">
        <f t="shared" si="127"/>
        <v>0</v>
      </c>
      <c r="AW247" s="857">
        <f t="shared" si="128"/>
        <v>0</v>
      </c>
      <c r="AX247" s="857">
        <f t="shared" si="129"/>
        <v>0</v>
      </c>
      <c r="AY247" s="807">
        <f t="shared" si="130"/>
        <v>0</v>
      </c>
      <c r="AZ247" s="2934">
        <f t="shared" si="131"/>
        <v>0</v>
      </c>
      <c r="BA247" s="2934">
        <f t="shared" si="132"/>
        <v>0</v>
      </c>
      <c r="BB247" s="2934">
        <f t="shared" si="133"/>
        <v>0</v>
      </c>
      <c r="BC247" s="2934">
        <f t="shared" si="134"/>
        <v>0</v>
      </c>
      <c r="BD247" s="2934">
        <f t="shared" si="135"/>
        <v>0</v>
      </c>
      <c r="BE247" s="2934">
        <f t="shared" si="136"/>
        <v>0</v>
      </c>
      <c r="BF247" s="2934">
        <f t="shared" si="137"/>
        <v>0</v>
      </c>
      <c r="BG247" s="2934">
        <f t="shared" si="138"/>
        <v>0</v>
      </c>
      <c r="BH247" s="2934">
        <f t="shared" si="139"/>
        <v>0</v>
      </c>
      <c r="BI247" s="2934">
        <f t="shared" si="140"/>
        <v>0</v>
      </c>
      <c r="BJ247" s="2934">
        <f t="shared" si="141"/>
        <v>0</v>
      </c>
      <c r="BK247" s="2934">
        <f t="shared" si="142"/>
        <v>0</v>
      </c>
      <c r="BL247" s="2934">
        <f t="shared" si="143"/>
        <v>0</v>
      </c>
      <c r="BM247" s="2934">
        <f t="shared" si="144"/>
        <v>0</v>
      </c>
      <c r="BN247" s="2934">
        <f t="shared" si="145"/>
        <v>0</v>
      </c>
      <c r="BO247" s="2934">
        <f t="shared" si="146"/>
        <v>0</v>
      </c>
      <c r="BP247" s="2934">
        <f t="shared" si="147"/>
        <v>0</v>
      </c>
      <c r="BQ247" s="2934">
        <f t="shared" si="148"/>
        <v>0</v>
      </c>
      <c r="BR247" s="2934">
        <f t="shared" si="149"/>
        <v>0</v>
      </c>
      <c r="BS247" s="2934">
        <f t="shared" si="150"/>
        <v>0</v>
      </c>
      <c r="BT247" s="2982">
        <f t="shared" si="151"/>
        <v>0</v>
      </c>
    </row>
    <row r="248" spans="1:72">
      <c r="A248" s="874"/>
      <c r="B248" s="882"/>
      <c r="C248" s="882"/>
      <c r="D248" s="2933"/>
      <c r="E248" s="2934">
        <f t="shared" si="123"/>
        <v>0</v>
      </c>
      <c r="F248" s="2935"/>
      <c r="G248" s="2936">
        <f t="shared" si="124"/>
        <v>0</v>
      </c>
      <c r="H248" s="2937">
        <f t="shared" si="125"/>
        <v>0</v>
      </c>
      <c r="I248" s="2944"/>
      <c r="J248" s="2944"/>
      <c r="K248" s="2944"/>
      <c r="L248" s="2944"/>
      <c r="M248" s="2944"/>
      <c r="N248" s="2944"/>
      <c r="O248" s="2944"/>
      <c r="P248" s="2944"/>
      <c r="Q248" s="2944"/>
      <c r="R248" s="2944"/>
      <c r="S248" s="2944"/>
      <c r="T248" s="2944"/>
      <c r="U248" s="2944"/>
      <c r="V248" s="2944"/>
      <c r="W248" s="2944"/>
      <c r="X248" s="2944"/>
      <c r="Y248" s="2944"/>
      <c r="Z248" s="2944"/>
      <c r="AA248" s="2944"/>
      <c r="AB248" s="2944"/>
      <c r="AC248" s="2934">
        <f t="shared" si="126"/>
        <v>0</v>
      </c>
      <c r="AD248" s="2954"/>
      <c r="AE248" s="2954"/>
      <c r="AF248" s="2954"/>
      <c r="AG248" s="2954"/>
      <c r="AH248" s="2954"/>
      <c r="AI248" s="2954"/>
      <c r="AJ248" s="2954"/>
      <c r="AK248" s="2954"/>
      <c r="AL248" s="2954"/>
      <c r="AM248" s="2954"/>
      <c r="AN248" s="2954"/>
      <c r="AO248" s="2954"/>
      <c r="AP248" s="2954"/>
      <c r="AQ248" s="2954"/>
      <c r="AR248" s="2954"/>
      <c r="AS248" s="2954"/>
      <c r="AT248" s="2935"/>
      <c r="AU248" s="2964"/>
      <c r="AV248" s="857">
        <f t="shared" si="127"/>
        <v>0</v>
      </c>
      <c r="AW248" s="857">
        <f t="shared" si="128"/>
        <v>0</v>
      </c>
      <c r="AX248" s="857">
        <f t="shared" si="129"/>
        <v>0</v>
      </c>
      <c r="AY248" s="807">
        <f t="shared" si="130"/>
        <v>0</v>
      </c>
      <c r="AZ248" s="2934">
        <f t="shared" si="131"/>
        <v>0</v>
      </c>
      <c r="BA248" s="2934">
        <f t="shared" si="132"/>
        <v>0</v>
      </c>
      <c r="BB248" s="2934">
        <f t="shared" si="133"/>
        <v>0</v>
      </c>
      <c r="BC248" s="2934">
        <f t="shared" si="134"/>
        <v>0</v>
      </c>
      <c r="BD248" s="2934">
        <f t="shared" si="135"/>
        <v>0</v>
      </c>
      <c r="BE248" s="2934">
        <f t="shared" si="136"/>
        <v>0</v>
      </c>
      <c r="BF248" s="2934">
        <f t="shared" si="137"/>
        <v>0</v>
      </c>
      <c r="BG248" s="2934">
        <f t="shared" si="138"/>
        <v>0</v>
      </c>
      <c r="BH248" s="2934">
        <f t="shared" si="139"/>
        <v>0</v>
      </c>
      <c r="BI248" s="2934">
        <f t="shared" si="140"/>
        <v>0</v>
      </c>
      <c r="BJ248" s="2934">
        <f t="shared" si="141"/>
        <v>0</v>
      </c>
      <c r="BK248" s="2934">
        <f t="shared" si="142"/>
        <v>0</v>
      </c>
      <c r="BL248" s="2934">
        <f t="shared" si="143"/>
        <v>0</v>
      </c>
      <c r="BM248" s="2934">
        <f t="shared" si="144"/>
        <v>0</v>
      </c>
      <c r="BN248" s="2934">
        <f t="shared" si="145"/>
        <v>0</v>
      </c>
      <c r="BO248" s="2934">
        <f t="shared" si="146"/>
        <v>0</v>
      </c>
      <c r="BP248" s="2934">
        <f t="shared" si="147"/>
        <v>0</v>
      </c>
      <c r="BQ248" s="2934">
        <f t="shared" si="148"/>
        <v>0</v>
      </c>
      <c r="BR248" s="2934">
        <f t="shared" si="149"/>
        <v>0</v>
      </c>
      <c r="BS248" s="2934">
        <f t="shared" si="150"/>
        <v>0</v>
      </c>
      <c r="BT248" s="2982">
        <f t="shared" si="151"/>
        <v>0</v>
      </c>
    </row>
    <row r="249" spans="1:72">
      <c r="A249" s="874"/>
      <c r="B249" s="882"/>
      <c r="C249" s="882"/>
      <c r="D249" s="2933"/>
      <c r="E249" s="2934">
        <f t="shared" si="123"/>
        <v>0</v>
      </c>
      <c r="F249" s="2935"/>
      <c r="G249" s="2936">
        <f t="shared" si="124"/>
        <v>0</v>
      </c>
      <c r="H249" s="2937">
        <f t="shared" si="125"/>
        <v>0</v>
      </c>
      <c r="I249" s="2944"/>
      <c r="J249" s="2944"/>
      <c r="K249" s="2944"/>
      <c r="L249" s="2944"/>
      <c r="M249" s="2944"/>
      <c r="N249" s="2944"/>
      <c r="O249" s="2944"/>
      <c r="P249" s="2944"/>
      <c r="Q249" s="2944"/>
      <c r="R249" s="2944"/>
      <c r="S249" s="2944"/>
      <c r="T249" s="2944"/>
      <c r="U249" s="2944"/>
      <c r="V249" s="2944"/>
      <c r="W249" s="2944"/>
      <c r="X249" s="2944"/>
      <c r="Y249" s="2944"/>
      <c r="Z249" s="2944"/>
      <c r="AA249" s="2944"/>
      <c r="AB249" s="2944"/>
      <c r="AC249" s="2934">
        <f t="shared" si="126"/>
        <v>0</v>
      </c>
      <c r="AD249" s="2954"/>
      <c r="AE249" s="2954"/>
      <c r="AF249" s="2954"/>
      <c r="AG249" s="2954"/>
      <c r="AH249" s="2954"/>
      <c r="AI249" s="2954"/>
      <c r="AJ249" s="2954"/>
      <c r="AK249" s="2954"/>
      <c r="AL249" s="2954"/>
      <c r="AM249" s="2954"/>
      <c r="AN249" s="2954"/>
      <c r="AO249" s="2954"/>
      <c r="AP249" s="2954"/>
      <c r="AQ249" s="2954"/>
      <c r="AR249" s="2954"/>
      <c r="AS249" s="2954"/>
      <c r="AT249" s="2935"/>
      <c r="AU249" s="2964"/>
      <c r="AV249" s="857">
        <f t="shared" si="127"/>
        <v>0</v>
      </c>
      <c r="AW249" s="857">
        <f t="shared" si="128"/>
        <v>0</v>
      </c>
      <c r="AX249" s="857">
        <f t="shared" si="129"/>
        <v>0</v>
      </c>
      <c r="AY249" s="807">
        <f t="shared" si="130"/>
        <v>0</v>
      </c>
      <c r="AZ249" s="2934">
        <f t="shared" si="131"/>
        <v>0</v>
      </c>
      <c r="BA249" s="2934">
        <f t="shared" si="132"/>
        <v>0</v>
      </c>
      <c r="BB249" s="2934">
        <f t="shared" si="133"/>
        <v>0</v>
      </c>
      <c r="BC249" s="2934">
        <f t="shared" si="134"/>
        <v>0</v>
      </c>
      <c r="BD249" s="2934">
        <f t="shared" si="135"/>
        <v>0</v>
      </c>
      <c r="BE249" s="2934">
        <f t="shared" si="136"/>
        <v>0</v>
      </c>
      <c r="BF249" s="2934">
        <f t="shared" si="137"/>
        <v>0</v>
      </c>
      <c r="BG249" s="2934">
        <f t="shared" si="138"/>
        <v>0</v>
      </c>
      <c r="BH249" s="2934">
        <f t="shared" si="139"/>
        <v>0</v>
      </c>
      <c r="BI249" s="2934">
        <f t="shared" si="140"/>
        <v>0</v>
      </c>
      <c r="BJ249" s="2934">
        <f t="shared" si="141"/>
        <v>0</v>
      </c>
      <c r="BK249" s="2934">
        <f t="shared" si="142"/>
        <v>0</v>
      </c>
      <c r="BL249" s="2934">
        <f t="shared" si="143"/>
        <v>0</v>
      </c>
      <c r="BM249" s="2934">
        <f t="shared" si="144"/>
        <v>0</v>
      </c>
      <c r="BN249" s="2934">
        <f t="shared" si="145"/>
        <v>0</v>
      </c>
      <c r="BO249" s="2934">
        <f t="shared" si="146"/>
        <v>0</v>
      </c>
      <c r="BP249" s="2934">
        <f t="shared" si="147"/>
        <v>0</v>
      </c>
      <c r="BQ249" s="2934">
        <f t="shared" si="148"/>
        <v>0</v>
      </c>
      <c r="BR249" s="2934">
        <f t="shared" si="149"/>
        <v>0</v>
      </c>
      <c r="BS249" s="2934">
        <f t="shared" si="150"/>
        <v>0</v>
      </c>
      <c r="BT249" s="2982">
        <f t="shared" si="151"/>
        <v>0</v>
      </c>
    </row>
    <row r="250" spans="1:72">
      <c r="A250" s="874"/>
      <c r="B250" s="882"/>
      <c r="C250" s="882"/>
      <c r="D250" s="2933"/>
      <c r="E250" s="2934">
        <f t="shared" si="123"/>
        <v>0</v>
      </c>
      <c r="F250" s="2935"/>
      <c r="G250" s="2936">
        <f t="shared" si="124"/>
        <v>0</v>
      </c>
      <c r="H250" s="2937">
        <f t="shared" si="125"/>
        <v>0</v>
      </c>
      <c r="I250" s="2944"/>
      <c r="J250" s="2944"/>
      <c r="K250" s="2944"/>
      <c r="L250" s="2944"/>
      <c r="M250" s="2944"/>
      <c r="N250" s="2944"/>
      <c r="O250" s="2944"/>
      <c r="P250" s="2944"/>
      <c r="Q250" s="2944"/>
      <c r="R250" s="2944"/>
      <c r="S250" s="2944"/>
      <c r="T250" s="2944"/>
      <c r="U250" s="2944"/>
      <c r="V250" s="2944"/>
      <c r="W250" s="2944"/>
      <c r="X250" s="2944"/>
      <c r="Y250" s="2944"/>
      <c r="Z250" s="2944"/>
      <c r="AA250" s="2944"/>
      <c r="AB250" s="2944"/>
      <c r="AC250" s="2934">
        <f t="shared" si="126"/>
        <v>0</v>
      </c>
      <c r="AD250" s="2954"/>
      <c r="AE250" s="2954"/>
      <c r="AF250" s="2954"/>
      <c r="AG250" s="2954"/>
      <c r="AH250" s="2954"/>
      <c r="AI250" s="2954"/>
      <c r="AJ250" s="2954"/>
      <c r="AK250" s="2954"/>
      <c r="AL250" s="2954"/>
      <c r="AM250" s="2954"/>
      <c r="AN250" s="2954"/>
      <c r="AO250" s="2954"/>
      <c r="AP250" s="2954"/>
      <c r="AQ250" s="2954"/>
      <c r="AR250" s="2954"/>
      <c r="AS250" s="2954"/>
      <c r="AT250" s="2935"/>
      <c r="AU250" s="2964"/>
      <c r="AV250" s="857">
        <f t="shared" si="127"/>
        <v>0</v>
      </c>
      <c r="AW250" s="857">
        <f t="shared" si="128"/>
        <v>0</v>
      </c>
      <c r="AX250" s="857">
        <f t="shared" si="129"/>
        <v>0</v>
      </c>
      <c r="AY250" s="807">
        <f t="shared" si="130"/>
        <v>0</v>
      </c>
      <c r="AZ250" s="2934">
        <f t="shared" si="131"/>
        <v>0</v>
      </c>
      <c r="BA250" s="2934">
        <f t="shared" si="132"/>
        <v>0</v>
      </c>
      <c r="BB250" s="2934">
        <f t="shared" si="133"/>
        <v>0</v>
      </c>
      <c r="BC250" s="2934">
        <f t="shared" si="134"/>
        <v>0</v>
      </c>
      <c r="BD250" s="2934">
        <f t="shared" si="135"/>
        <v>0</v>
      </c>
      <c r="BE250" s="2934">
        <f t="shared" si="136"/>
        <v>0</v>
      </c>
      <c r="BF250" s="2934">
        <f t="shared" si="137"/>
        <v>0</v>
      </c>
      <c r="BG250" s="2934">
        <f t="shared" si="138"/>
        <v>0</v>
      </c>
      <c r="BH250" s="2934">
        <f t="shared" si="139"/>
        <v>0</v>
      </c>
      <c r="BI250" s="2934">
        <f t="shared" si="140"/>
        <v>0</v>
      </c>
      <c r="BJ250" s="2934">
        <f t="shared" si="141"/>
        <v>0</v>
      </c>
      <c r="BK250" s="2934">
        <f t="shared" si="142"/>
        <v>0</v>
      </c>
      <c r="BL250" s="2934">
        <f t="shared" si="143"/>
        <v>0</v>
      </c>
      <c r="BM250" s="2934">
        <f t="shared" si="144"/>
        <v>0</v>
      </c>
      <c r="BN250" s="2934">
        <f t="shared" si="145"/>
        <v>0</v>
      </c>
      <c r="BO250" s="2934">
        <f t="shared" si="146"/>
        <v>0</v>
      </c>
      <c r="BP250" s="2934">
        <f t="shared" si="147"/>
        <v>0</v>
      </c>
      <c r="BQ250" s="2934">
        <f t="shared" si="148"/>
        <v>0</v>
      </c>
      <c r="BR250" s="2934">
        <f t="shared" si="149"/>
        <v>0</v>
      </c>
      <c r="BS250" s="2934">
        <f t="shared" si="150"/>
        <v>0</v>
      </c>
      <c r="BT250" s="2982">
        <f t="shared" si="151"/>
        <v>0</v>
      </c>
    </row>
    <row r="251" spans="1:72">
      <c r="A251" s="874"/>
      <c r="B251" s="882"/>
      <c r="C251" s="882"/>
      <c r="D251" s="2933"/>
      <c r="E251" s="2934">
        <f t="shared" si="123"/>
        <v>0</v>
      </c>
      <c r="F251" s="2935"/>
      <c r="G251" s="2936">
        <f t="shared" si="124"/>
        <v>0</v>
      </c>
      <c r="H251" s="2937">
        <f t="shared" si="125"/>
        <v>0</v>
      </c>
      <c r="I251" s="2944"/>
      <c r="J251" s="2944"/>
      <c r="K251" s="2944"/>
      <c r="L251" s="2944"/>
      <c r="M251" s="2944"/>
      <c r="N251" s="2944"/>
      <c r="O251" s="2944"/>
      <c r="P251" s="2944"/>
      <c r="Q251" s="2944"/>
      <c r="R251" s="2944"/>
      <c r="S251" s="2944"/>
      <c r="T251" s="2944"/>
      <c r="U251" s="2944"/>
      <c r="V251" s="2944"/>
      <c r="W251" s="2944"/>
      <c r="X251" s="2944"/>
      <c r="Y251" s="2944"/>
      <c r="Z251" s="2944"/>
      <c r="AA251" s="2944"/>
      <c r="AB251" s="2944"/>
      <c r="AC251" s="2934">
        <f t="shared" si="126"/>
        <v>0</v>
      </c>
      <c r="AD251" s="2954"/>
      <c r="AE251" s="2954"/>
      <c r="AF251" s="2954"/>
      <c r="AG251" s="2954"/>
      <c r="AH251" s="2954"/>
      <c r="AI251" s="2954"/>
      <c r="AJ251" s="2954"/>
      <c r="AK251" s="2954"/>
      <c r="AL251" s="2954"/>
      <c r="AM251" s="2954"/>
      <c r="AN251" s="2954"/>
      <c r="AO251" s="2954"/>
      <c r="AP251" s="2954"/>
      <c r="AQ251" s="2954"/>
      <c r="AR251" s="2954"/>
      <c r="AS251" s="2954"/>
      <c r="AT251" s="2935"/>
      <c r="AU251" s="2964"/>
      <c r="AV251" s="857">
        <f t="shared" si="127"/>
        <v>0</v>
      </c>
      <c r="AW251" s="857">
        <f t="shared" si="128"/>
        <v>0</v>
      </c>
      <c r="AX251" s="857">
        <f t="shared" si="129"/>
        <v>0</v>
      </c>
      <c r="AY251" s="807">
        <f t="shared" si="130"/>
        <v>0</v>
      </c>
      <c r="AZ251" s="2934">
        <f t="shared" si="131"/>
        <v>0</v>
      </c>
      <c r="BA251" s="2934">
        <f t="shared" si="132"/>
        <v>0</v>
      </c>
      <c r="BB251" s="2934">
        <f t="shared" si="133"/>
        <v>0</v>
      </c>
      <c r="BC251" s="2934">
        <f t="shared" si="134"/>
        <v>0</v>
      </c>
      <c r="BD251" s="2934">
        <f t="shared" si="135"/>
        <v>0</v>
      </c>
      <c r="BE251" s="2934">
        <f t="shared" si="136"/>
        <v>0</v>
      </c>
      <c r="BF251" s="2934">
        <f t="shared" si="137"/>
        <v>0</v>
      </c>
      <c r="BG251" s="2934">
        <f t="shared" si="138"/>
        <v>0</v>
      </c>
      <c r="BH251" s="2934">
        <f t="shared" si="139"/>
        <v>0</v>
      </c>
      <c r="BI251" s="2934">
        <f t="shared" si="140"/>
        <v>0</v>
      </c>
      <c r="BJ251" s="2934">
        <f t="shared" si="141"/>
        <v>0</v>
      </c>
      <c r="BK251" s="2934">
        <f t="shared" si="142"/>
        <v>0</v>
      </c>
      <c r="BL251" s="2934">
        <f t="shared" si="143"/>
        <v>0</v>
      </c>
      <c r="BM251" s="2934">
        <f t="shared" si="144"/>
        <v>0</v>
      </c>
      <c r="BN251" s="2934">
        <f t="shared" si="145"/>
        <v>0</v>
      </c>
      <c r="BO251" s="2934">
        <f t="shared" si="146"/>
        <v>0</v>
      </c>
      <c r="BP251" s="2934">
        <f t="shared" si="147"/>
        <v>0</v>
      </c>
      <c r="BQ251" s="2934">
        <f t="shared" si="148"/>
        <v>0</v>
      </c>
      <c r="BR251" s="2934">
        <f t="shared" si="149"/>
        <v>0</v>
      </c>
      <c r="BS251" s="2934">
        <f t="shared" si="150"/>
        <v>0</v>
      </c>
      <c r="BT251" s="2982">
        <f t="shared" si="151"/>
        <v>0</v>
      </c>
    </row>
    <row r="252" spans="1:72">
      <c r="A252" s="874"/>
      <c r="B252" s="882"/>
      <c r="C252" s="882"/>
      <c r="D252" s="2933"/>
      <c r="E252" s="2934">
        <f t="shared" si="123"/>
        <v>0</v>
      </c>
      <c r="F252" s="2935"/>
      <c r="G252" s="2936">
        <f t="shared" si="124"/>
        <v>0</v>
      </c>
      <c r="H252" s="2937">
        <f t="shared" si="125"/>
        <v>0</v>
      </c>
      <c r="I252" s="2944"/>
      <c r="J252" s="2944"/>
      <c r="K252" s="2944"/>
      <c r="L252" s="2944"/>
      <c r="M252" s="2944"/>
      <c r="N252" s="2944"/>
      <c r="O252" s="2944"/>
      <c r="P252" s="2944"/>
      <c r="Q252" s="2944"/>
      <c r="R252" s="2944"/>
      <c r="S252" s="2944"/>
      <c r="T252" s="2944"/>
      <c r="U252" s="2944"/>
      <c r="V252" s="2944"/>
      <c r="W252" s="2944"/>
      <c r="X252" s="2944"/>
      <c r="Y252" s="2944"/>
      <c r="Z252" s="2944"/>
      <c r="AA252" s="2944"/>
      <c r="AB252" s="2944"/>
      <c r="AC252" s="2934">
        <f t="shared" si="126"/>
        <v>0</v>
      </c>
      <c r="AD252" s="2954"/>
      <c r="AE252" s="2954"/>
      <c r="AF252" s="2954"/>
      <c r="AG252" s="2954"/>
      <c r="AH252" s="2954"/>
      <c r="AI252" s="2954"/>
      <c r="AJ252" s="2954"/>
      <c r="AK252" s="2954"/>
      <c r="AL252" s="2954"/>
      <c r="AM252" s="2954"/>
      <c r="AN252" s="2954"/>
      <c r="AO252" s="2954"/>
      <c r="AP252" s="2954"/>
      <c r="AQ252" s="2954"/>
      <c r="AR252" s="2954"/>
      <c r="AS252" s="2954"/>
      <c r="AT252" s="2935"/>
      <c r="AU252" s="2964"/>
      <c r="AV252" s="857">
        <f t="shared" si="127"/>
        <v>0</v>
      </c>
      <c r="AW252" s="857">
        <f t="shared" si="128"/>
        <v>0</v>
      </c>
      <c r="AX252" s="857">
        <f t="shared" si="129"/>
        <v>0</v>
      </c>
      <c r="AY252" s="807">
        <f t="shared" si="130"/>
        <v>0</v>
      </c>
      <c r="AZ252" s="2934">
        <f t="shared" si="131"/>
        <v>0</v>
      </c>
      <c r="BA252" s="2934">
        <f t="shared" si="132"/>
        <v>0</v>
      </c>
      <c r="BB252" s="2934">
        <f t="shared" si="133"/>
        <v>0</v>
      </c>
      <c r="BC252" s="2934">
        <f t="shared" si="134"/>
        <v>0</v>
      </c>
      <c r="BD252" s="2934">
        <f t="shared" si="135"/>
        <v>0</v>
      </c>
      <c r="BE252" s="2934">
        <f t="shared" si="136"/>
        <v>0</v>
      </c>
      <c r="BF252" s="2934">
        <f t="shared" si="137"/>
        <v>0</v>
      </c>
      <c r="BG252" s="2934">
        <f t="shared" si="138"/>
        <v>0</v>
      </c>
      <c r="BH252" s="2934">
        <f t="shared" si="139"/>
        <v>0</v>
      </c>
      <c r="BI252" s="2934">
        <f t="shared" si="140"/>
        <v>0</v>
      </c>
      <c r="BJ252" s="2934">
        <f t="shared" si="141"/>
        <v>0</v>
      </c>
      <c r="BK252" s="2934">
        <f t="shared" si="142"/>
        <v>0</v>
      </c>
      <c r="BL252" s="2934">
        <f t="shared" si="143"/>
        <v>0</v>
      </c>
      <c r="BM252" s="2934">
        <f t="shared" si="144"/>
        <v>0</v>
      </c>
      <c r="BN252" s="2934">
        <f t="shared" si="145"/>
        <v>0</v>
      </c>
      <c r="BO252" s="2934">
        <f t="shared" si="146"/>
        <v>0</v>
      </c>
      <c r="BP252" s="2934">
        <f t="shared" si="147"/>
        <v>0</v>
      </c>
      <c r="BQ252" s="2934">
        <f t="shared" si="148"/>
        <v>0</v>
      </c>
      <c r="BR252" s="2934">
        <f t="shared" si="149"/>
        <v>0</v>
      </c>
      <c r="BS252" s="2934">
        <f t="shared" si="150"/>
        <v>0</v>
      </c>
      <c r="BT252" s="2982">
        <f t="shared" si="151"/>
        <v>0</v>
      </c>
    </row>
    <row r="253" spans="1:72">
      <c r="A253" s="874"/>
      <c r="B253" s="882"/>
      <c r="C253" s="882"/>
      <c r="D253" s="2933"/>
      <c r="E253" s="2934">
        <f t="shared" si="123"/>
        <v>0</v>
      </c>
      <c r="F253" s="2935"/>
      <c r="G253" s="2936">
        <f t="shared" si="124"/>
        <v>0</v>
      </c>
      <c r="H253" s="2937">
        <f t="shared" si="125"/>
        <v>0</v>
      </c>
      <c r="I253" s="2944"/>
      <c r="J253" s="2944"/>
      <c r="K253" s="2944"/>
      <c r="L253" s="2944"/>
      <c r="M253" s="2944"/>
      <c r="N253" s="2944"/>
      <c r="O253" s="2944"/>
      <c r="P253" s="2944"/>
      <c r="Q253" s="2944"/>
      <c r="R253" s="2944"/>
      <c r="S253" s="2944"/>
      <c r="T253" s="2944"/>
      <c r="U253" s="2944"/>
      <c r="V253" s="2944"/>
      <c r="W253" s="2944"/>
      <c r="X253" s="2944"/>
      <c r="Y253" s="2944"/>
      <c r="Z253" s="2944"/>
      <c r="AA253" s="2944"/>
      <c r="AB253" s="2944"/>
      <c r="AC253" s="2934">
        <f t="shared" si="126"/>
        <v>0</v>
      </c>
      <c r="AD253" s="2954"/>
      <c r="AE253" s="2954"/>
      <c r="AF253" s="2954"/>
      <c r="AG253" s="2954"/>
      <c r="AH253" s="2954"/>
      <c r="AI253" s="2954"/>
      <c r="AJ253" s="2954"/>
      <c r="AK253" s="2954"/>
      <c r="AL253" s="2954"/>
      <c r="AM253" s="2954"/>
      <c r="AN253" s="2954"/>
      <c r="AO253" s="2954"/>
      <c r="AP253" s="2954"/>
      <c r="AQ253" s="2954"/>
      <c r="AR253" s="2954"/>
      <c r="AS253" s="2954"/>
      <c r="AT253" s="2935"/>
      <c r="AU253" s="2964"/>
      <c r="AV253" s="857">
        <f t="shared" si="127"/>
        <v>0</v>
      </c>
      <c r="AW253" s="857">
        <f t="shared" si="128"/>
        <v>0</v>
      </c>
      <c r="AX253" s="857">
        <f t="shared" si="129"/>
        <v>0</v>
      </c>
      <c r="AY253" s="807">
        <f t="shared" si="130"/>
        <v>0</v>
      </c>
      <c r="AZ253" s="2934">
        <f t="shared" si="131"/>
        <v>0</v>
      </c>
      <c r="BA253" s="2934">
        <f t="shared" si="132"/>
        <v>0</v>
      </c>
      <c r="BB253" s="2934">
        <f t="shared" si="133"/>
        <v>0</v>
      </c>
      <c r="BC253" s="2934">
        <f t="shared" si="134"/>
        <v>0</v>
      </c>
      <c r="BD253" s="2934">
        <f t="shared" si="135"/>
        <v>0</v>
      </c>
      <c r="BE253" s="2934">
        <f t="shared" si="136"/>
        <v>0</v>
      </c>
      <c r="BF253" s="2934">
        <f t="shared" si="137"/>
        <v>0</v>
      </c>
      <c r="BG253" s="2934">
        <f t="shared" si="138"/>
        <v>0</v>
      </c>
      <c r="BH253" s="2934">
        <f t="shared" si="139"/>
        <v>0</v>
      </c>
      <c r="BI253" s="2934">
        <f t="shared" si="140"/>
        <v>0</v>
      </c>
      <c r="BJ253" s="2934">
        <f t="shared" si="141"/>
        <v>0</v>
      </c>
      <c r="BK253" s="2934">
        <f t="shared" si="142"/>
        <v>0</v>
      </c>
      <c r="BL253" s="2934">
        <f t="shared" si="143"/>
        <v>0</v>
      </c>
      <c r="BM253" s="2934">
        <f t="shared" si="144"/>
        <v>0</v>
      </c>
      <c r="BN253" s="2934">
        <f t="shared" si="145"/>
        <v>0</v>
      </c>
      <c r="BO253" s="2934">
        <f t="shared" si="146"/>
        <v>0</v>
      </c>
      <c r="BP253" s="2934">
        <f t="shared" si="147"/>
        <v>0</v>
      </c>
      <c r="BQ253" s="2934">
        <f t="shared" si="148"/>
        <v>0</v>
      </c>
      <c r="BR253" s="2934">
        <f t="shared" si="149"/>
        <v>0</v>
      </c>
      <c r="BS253" s="2934">
        <f t="shared" si="150"/>
        <v>0</v>
      </c>
      <c r="BT253" s="2982">
        <f t="shared" si="151"/>
        <v>0</v>
      </c>
    </row>
    <row r="254" spans="1:72">
      <c r="A254" s="874"/>
      <c r="B254" s="882"/>
      <c r="C254" s="882"/>
      <c r="D254" s="2933"/>
      <c r="E254" s="2934">
        <f t="shared" si="123"/>
        <v>0</v>
      </c>
      <c r="F254" s="2935"/>
      <c r="G254" s="2936">
        <f t="shared" si="124"/>
        <v>0</v>
      </c>
      <c r="H254" s="2937">
        <f t="shared" si="125"/>
        <v>0</v>
      </c>
      <c r="I254" s="2944"/>
      <c r="J254" s="2944"/>
      <c r="K254" s="2944"/>
      <c r="L254" s="2944"/>
      <c r="M254" s="2944"/>
      <c r="N254" s="2944"/>
      <c r="O254" s="2944"/>
      <c r="P254" s="2944"/>
      <c r="Q254" s="2944"/>
      <c r="R254" s="2944"/>
      <c r="S254" s="2944"/>
      <c r="T254" s="2944"/>
      <c r="U254" s="2944"/>
      <c r="V254" s="2944"/>
      <c r="W254" s="2944"/>
      <c r="X254" s="2944"/>
      <c r="Y254" s="2944"/>
      <c r="Z254" s="2944"/>
      <c r="AA254" s="2944"/>
      <c r="AB254" s="2944"/>
      <c r="AC254" s="2934">
        <f t="shared" si="126"/>
        <v>0</v>
      </c>
      <c r="AD254" s="2954"/>
      <c r="AE254" s="2954"/>
      <c r="AF254" s="2954"/>
      <c r="AG254" s="2954"/>
      <c r="AH254" s="2954"/>
      <c r="AI254" s="2954"/>
      <c r="AJ254" s="2954"/>
      <c r="AK254" s="2954"/>
      <c r="AL254" s="2954"/>
      <c r="AM254" s="2954"/>
      <c r="AN254" s="2954"/>
      <c r="AO254" s="2954"/>
      <c r="AP254" s="2954"/>
      <c r="AQ254" s="2954"/>
      <c r="AR254" s="2954"/>
      <c r="AS254" s="2954"/>
      <c r="AT254" s="2935"/>
      <c r="AU254" s="2964"/>
      <c r="AV254" s="857">
        <f t="shared" si="127"/>
        <v>0</v>
      </c>
      <c r="AW254" s="857">
        <f t="shared" si="128"/>
        <v>0</v>
      </c>
      <c r="AX254" s="857">
        <f t="shared" si="129"/>
        <v>0</v>
      </c>
      <c r="AY254" s="807">
        <f t="shared" si="130"/>
        <v>0</v>
      </c>
      <c r="AZ254" s="2934">
        <f t="shared" si="131"/>
        <v>0</v>
      </c>
      <c r="BA254" s="2934">
        <f t="shared" si="132"/>
        <v>0</v>
      </c>
      <c r="BB254" s="2934">
        <f t="shared" si="133"/>
        <v>0</v>
      </c>
      <c r="BC254" s="2934">
        <f t="shared" si="134"/>
        <v>0</v>
      </c>
      <c r="BD254" s="2934">
        <f t="shared" si="135"/>
        <v>0</v>
      </c>
      <c r="BE254" s="2934">
        <f t="shared" si="136"/>
        <v>0</v>
      </c>
      <c r="BF254" s="2934">
        <f t="shared" si="137"/>
        <v>0</v>
      </c>
      <c r="BG254" s="2934">
        <f t="shared" si="138"/>
        <v>0</v>
      </c>
      <c r="BH254" s="2934">
        <f t="shared" si="139"/>
        <v>0</v>
      </c>
      <c r="BI254" s="2934">
        <f t="shared" si="140"/>
        <v>0</v>
      </c>
      <c r="BJ254" s="2934">
        <f t="shared" si="141"/>
        <v>0</v>
      </c>
      <c r="BK254" s="2934">
        <f t="shared" si="142"/>
        <v>0</v>
      </c>
      <c r="BL254" s="2934">
        <f t="shared" si="143"/>
        <v>0</v>
      </c>
      <c r="BM254" s="2934">
        <f t="shared" si="144"/>
        <v>0</v>
      </c>
      <c r="BN254" s="2934">
        <f t="shared" si="145"/>
        <v>0</v>
      </c>
      <c r="BO254" s="2934">
        <f t="shared" si="146"/>
        <v>0</v>
      </c>
      <c r="BP254" s="2934">
        <f t="shared" si="147"/>
        <v>0</v>
      </c>
      <c r="BQ254" s="2934">
        <f t="shared" si="148"/>
        <v>0</v>
      </c>
      <c r="BR254" s="2934">
        <f t="shared" si="149"/>
        <v>0</v>
      </c>
      <c r="BS254" s="2934">
        <f t="shared" si="150"/>
        <v>0</v>
      </c>
      <c r="BT254" s="2982">
        <f t="shared" si="151"/>
        <v>0</v>
      </c>
    </row>
    <row r="255" spans="1:72">
      <c r="A255" s="874"/>
      <c r="B255" s="882"/>
      <c r="C255" s="882"/>
      <c r="D255" s="2933"/>
      <c r="E255" s="2934">
        <f t="shared" si="123"/>
        <v>0</v>
      </c>
      <c r="F255" s="2935"/>
      <c r="G255" s="2936">
        <f t="shared" si="124"/>
        <v>0</v>
      </c>
      <c r="H255" s="2937">
        <f t="shared" si="125"/>
        <v>0</v>
      </c>
      <c r="I255" s="2944"/>
      <c r="J255" s="2944"/>
      <c r="K255" s="2944"/>
      <c r="L255" s="2944"/>
      <c r="M255" s="2944"/>
      <c r="N255" s="2944"/>
      <c r="O255" s="2944"/>
      <c r="P255" s="2944"/>
      <c r="Q255" s="2944"/>
      <c r="R255" s="2944"/>
      <c r="S255" s="2944"/>
      <c r="T255" s="2944"/>
      <c r="U255" s="2944"/>
      <c r="V255" s="2944"/>
      <c r="W255" s="2944"/>
      <c r="X255" s="2944"/>
      <c r="Y255" s="2944"/>
      <c r="Z255" s="2944"/>
      <c r="AA255" s="2944"/>
      <c r="AB255" s="2944"/>
      <c r="AC255" s="2934">
        <f t="shared" si="126"/>
        <v>0</v>
      </c>
      <c r="AD255" s="2954"/>
      <c r="AE255" s="2954"/>
      <c r="AF255" s="2954"/>
      <c r="AG255" s="2954"/>
      <c r="AH255" s="2954"/>
      <c r="AI255" s="2954"/>
      <c r="AJ255" s="2954"/>
      <c r="AK255" s="2954"/>
      <c r="AL255" s="2954"/>
      <c r="AM255" s="2954"/>
      <c r="AN255" s="2954"/>
      <c r="AO255" s="2954"/>
      <c r="AP255" s="2954"/>
      <c r="AQ255" s="2954"/>
      <c r="AR255" s="2954"/>
      <c r="AS255" s="2954"/>
      <c r="AT255" s="2935"/>
      <c r="AU255" s="2964"/>
      <c r="AV255" s="857">
        <f t="shared" si="127"/>
        <v>0</v>
      </c>
      <c r="AW255" s="857">
        <f t="shared" si="128"/>
        <v>0</v>
      </c>
      <c r="AX255" s="857">
        <f t="shared" si="129"/>
        <v>0</v>
      </c>
      <c r="AY255" s="807">
        <f t="shared" si="130"/>
        <v>0</v>
      </c>
      <c r="AZ255" s="2934">
        <f t="shared" si="131"/>
        <v>0</v>
      </c>
      <c r="BA255" s="2934">
        <f t="shared" si="132"/>
        <v>0</v>
      </c>
      <c r="BB255" s="2934">
        <f t="shared" si="133"/>
        <v>0</v>
      </c>
      <c r="BC255" s="2934">
        <f t="shared" si="134"/>
        <v>0</v>
      </c>
      <c r="BD255" s="2934">
        <f t="shared" si="135"/>
        <v>0</v>
      </c>
      <c r="BE255" s="2934">
        <f t="shared" si="136"/>
        <v>0</v>
      </c>
      <c r="BF255" s="2934">
        <f t="shared" si="137"/>
        <v>0</v>
      </c>
      <c r="BG255" s="2934">
        <f t="shared" si="138"/>
        <v>0</v>
      </c>
      <c r="BH255" s="2934">
        <f t="shared" si="139"/>
        <v>0</v>
      </c>
      <c r="BI255" s="2934">
        <f t="shared" si="140"/>
        <v>0</v>
      </c>
      <c r="BJ255" s="2934">
        <f t="shared" si="141"/>
        <v>0</v>
      </c>
      <c r="BK255" s="2934">
        <f t="shared" si="142"/>
        <v>0</v>
      </c>
      <c r="BL255" s="2934">
        <f t="shared" si="143"/>
        <v>0</v>
      </c>
      <c r="BM255" s="2934">
        <f t="shared" si="144"/>
        <v>0</v>
      </c>
      <c r="BN255" s="2934">
        <f t="shared" si="145"/>
        <v>0</v>
      </c>
      <c r="BO255" s="2934">
        <f t="shared" si="146"/>
        <v>0</v>
      </c>
      <c r="BP255" s="2934">
        <f t="shared" si="147"/>
        <v>0</v>
      </c>
      <c r="BQ255" s="2934">
        <f t="shared" si="148"/>
        <v>0</v>
      </c>
      <c r="BR255" s="2934">
        <f t="shared" si="149"/>
        <v>0</v>
      </c>
      <c r="BS255" s="2934">
        <f t="shared" si="150"/>
        <v>0</v>
      </c>
      <c r="BT255" s="2982">
        <f t="shared" si="151"/>
        <v>0</v>
      </c>
    </row>
    <row r="256" spans="1:72">
      <c r="A256" s="874"/>
      <c r="B256" s="882"/>
      <c r="C256" s="882"/>
      <c r="D256" s="2933"/>
      <c r="E256" s="2934">
        <f t="shared" si="123"/>
        <v>0</v>
      </c>
      <c r="F256" s="2935"/>
      <c r="G256" s="2936">
        <f t="shared" si="124"/>
        <v>0</v>
      </c>
      <c r="H256" s="2937">
        <f t="shared" si="125"/>
        <v>0</v>
      </c>
      <c r="I256" s="2944"/>
      <c r="J256" s="2944"/>
      <c r="K256" s="2944"/>
      <c r="L256" s="2944"/>
      <c r="M256" s="2944"/>
      <c r="N256" s="2944"/>
      <c r="O256" s="2944"/>
      <c r="P256" s="2944"/>
      <c r="Q256" s="2944"/>
      <c r="R256" s="2944"/>
      <c r="S256" s="2944"/>
      <c r="T256" s="2944"/>
      <c r="U256" s="2944"/>
      <c r="V256" s="2944"/>
      <c r="W256" s="2944"/>
      <c r="X256" s="2944"/>
      <c r="Y256" s="2944"/>
      <c r="Z256" s="2944"/>
      <c r="AA256" s="2944"/>
      <c r="AB256" s="2944"/>
      <c r="AC256" s="2934">
        <f t="shared" si="126"/>
        <v>0</v>
      </c>
      <c r="AD256" s="2954"/>
      <c r="AE256" s="2954"/>
      <c r="AF256" s="2954"/>
      <c r="AG256" s="2954"/>
      <c r="AH256" s="2954"/>
      <c r="AI256" s="2954"/>
      <c r="AJ256" s="2954"/>
      <c r="AK256" s="2954"/>
      <c r="AL256" s="2954"/>
      <c r="AM256" s="2954"/>
      <c r="AN256" s="2954"/>
      <c r="AO256" s="2954"/>
      <c r="AP256" s="2954"/>
      <c r="AQ256" s="2954"/>
      <c r="AR256" s="2954"/>
      <c r="AS256" s="2954"/>
      <c r="AT256" s="2935"/>
      <c r="AU256" s="2964"/>
      <c r="AV256" s="857">
        <f t="shared" si="127"/>
        <v>0</v>
      </c>
      <c r="AW256" s="857">
        <f t="shared" si="128"/>
        <v>0</v>
      </c>
      <c r="AX256" s="857">
        <f t="shared" si="129"/>
        <v>0</v>
      </c>
      <c r="AY256" s="807">
        <f t="shared" si="130"/>
        <v>0</v>
      </c>
      <c r="AZ256" s="2934">
        <f t="shared" si="131"/>
        <v>0</v>
      </c>
      <c r="BA256" s="2934">
        <f t="shared" si="132"/>
        <v>0</v>
      </c>
      <c r="BB256" s="2934">
        <f t="shared" si="133"/>
        <v>0</v>
      </c>
      <c r="BC256" s="2934">
        <f t="shared" si="134"/>
        <v>0</v>
      </c>
      <c r="BD256" s="2934">
        <f t="shared" si="135"/>
        <v>0</v>
      </c>
      <c r="BE256" s="2934">
        <f t="shared" si="136"/>
        <v>0</v>
      </c>
      <c r="BF256" s="2934">
        <f t="shared" si="137"/>
        <v>0</v>
      </c>
      <c r="BG256" s="2934">
        <f t="shared" si="138"/>
        <v>0</v>
      </c>
      <c r="BH256" s="2934">
        <f t="shared" si="139"/>
        <v>0</v>
      </c>
      <c r="BI256" s="2934">
        <f t="shared" si="140"/>
        <v>0</v>
      </c>
      <c r="BJ256" s="2934">
        <f t="shared" si="141"/>
        <v>0</v>
      </c>
      <c r="BK256" s="2934">
        <f t="shared" si="142"/>
        <v>0</v>
      </c>
      <c r="BL256" s="2934">
        <f t="shared" si="143"/>
        <v>0</v>
      </c>
      <c r="BM256" s="2934">
        <f t="shared" si="144"/>
        <v>0</v>
      </c>
      <c r="BN256" s="2934">
        <f t="shared" si="145"/>
        <v>0</v>
      </c>
      <c r="BO256" s="2934">
        <f t="shared" si="146"/>
        <v>0</v>
      </c>
      <c r="BP256" s="2934">
        <f t="shared" si="147"/>
        <v>0</v>
      </c>
      <c r="BQ256" s="2934">
        <f t="shared" si="148"/>
        <v>0</v>
      </c>
      <c r="BR256" s="2934">
        <f t="shared" si="149"/>
        <v>0</v>
      </c>
      <c r="BS256" s="2934">
        <f t="shared" si="150"/>
        <v>0</v>
      </c>
      <c r="BT256" s="2982">
        <f t="shared" si="151"/>
        <v>0</v>
      </c>
    </row>
    <row r="257" spans="1:72">
      <c r="A257" s="874"/>
      <c r="B257" s="882"/>
      <c r="C257" s="882"/>
      <c r="D257" s="2933"/>
      <c r="E257" s="2934">
        <f t="shared" si="123"/>
        <v>0</v>
      </c>
      <c r="F257" s="2935"/>
      <c r="G257" s="2936">
        <f t="shared" si="124"/>
        <v>0</v>
      </c>
      <c r="H257" s="2937">
        <f t="shared" si="125"/>
        <v>0</v>
      </c>
      <c r="I257" s="2944"/>
      <c r="J257" s="2944"/>
      <c r="K257" s="2944"/>
      <c r="L257" s="2944"/>
      <c r="M257" s="2944"/>
      <c r="N257" s="2944"/>
      <c r="O257" s="2944"/>
      <c r="P257" s="2944"/>
      <c r="Q257" s="2944"/>
      <c r="R257" s="2944"/>
      <c r="S257" s="2944"/>
      <c r="T257" s="2944"/>
      <c r="U257" s="2944"/>
      <c r="V257" s="2944"/>
      <c r="W257" s="2944"/>
      <c r="X257" s="2944"/>
      <c r="Y257" s="2944"/>
      <c r="Z257" s="2944"/>
      <c r="AA257" s="2944"/>
      <c r="AB257" s="2944"/>
      <c r="AC257" s="2934">
        <f t="shared" si="126"/>
        <v>0</v>
      </c>
      <c r="AD257" s="2954"/>
      <c r="AE257" s="2954"/>
      <c r="AF257" s="2954"/>
      <c r="AG257" s="2954"/>
      <c r="AH257" s="2954"/>
      <c r="AI257" s="2954"/>
      <c r="AJ257" s="2954"/>
      <c r="AK257" s="2954"/>
      <c r="AL257" s="2954"/>
      <c r="AM257" s="2954"/>
      <c r="AN257" s="2954"/>
      <c r="AO257" s="2954"/>
      <c r="AP257" s="2954"/>
      <c r="AQ257" s="2954"/>
      <c r="AR257" s="2954"/>
      <c r="AS257" s="2954"/>
      <c r="AT257" s="2935"/>
      <c r="AU257" s="2964"/>
      <c r="AV257" s="857">
        <f t="shared" si="127"/>
        <v>0</v>
      </c>
      <c r="AW257" s="857">
        <f t="shared" si="128"/>
        <v>0</v>
      </c>
      <c r="AX257" s="857">
        <f t="shared" si="129"/>
        <v>0</v>
      </c>
      <c r="AY257" s="807">
        <f t="shared" si="130"/>
        <v>0</v>
      </c>
      <c r="AZ257" s="2934">
        <f t="shared" si="131"/>
        <v>0</v>
      </c>
      <c r="BA257" s="2934">
        <f t="shared" si="132"/>
        <v>0</v>
      </c>
      <c r="BB257" s="2934">
        <f t="shared" si="133"/>
        <v>0</v>
      </c>
      <c r="BC257" s="2934">
        <f t="shared" si="134"/>
        <v>0</v>
      </c>
      <c r="BD257" s="2934">
        <f t="shared" si="135"/>
        <v>0</v>
      </c>
      <c r="BE257" s="2934">
        <f t="shared" si="136"/>
        <v>0</v>
      </c>
      <c r="BF257" s="2934">
        <f t="shared" si="137"/>
        <v>0</v>
      </c>
      <c r="BG257" s="2934">
        <f t="shared" si="138"/>
        <v>0</v>
      </c>
      <c r="BH257" s="2934">
        <f t="shared" si="139"/>
        <v>0</v>
      </c>
      <c r="BI257" s="2934">
        <f t="shared" si="140"/>
        <v>0</v>
      </c>
      <c r="BJ257" s="2934">
        <f t="shared" si="141"/>
        <v>0</v>
      </c>
      <c r="BK257" s="2934">
        <f t="shared" si="142"/>
        <v>0</v>
      </c>
      <c r="BL257" s="2934">
        <f t="shared" si="143"/>
        <v>0</v>
      </c>
      <c r="BM257" s="2934">
        <f t="shared" si="144"/>
        <v>0</v>
      </c>
      <c r="BN257" s="2934">
        <f t="shared" si="145"/>
        <v>0</v>
      </c>
      <c r="BO257" s="2934">
        <f t="shared" si="146"/>
        <v>0</v>
      </c>
      <c r="BP257" s="2934">
        <f t="shared" si="147"/>
        <v>0</v>
      </c>
      <c r="BQ257" s="2934">
        <f t="shared" si="148"/>
        <v>0</v>
      </c>
      <c r="BR257" s="2934">
        <f t="shared" si="149"/>
        <v>0</v>
      </c>
      <c r="BS257" s="2934">
        <f t="shared" si="150"/>
        <v>0</v>
      </c>
      <c r="BT257" s="2982">
        <f t="shared" si="151"/>
        <v>0</v>
      </c>
    </row>
    <row r="258" spans="1:72">
      <c r="A258" s="874"/>
      <c r="B258" s="882"/>
      <c r="C258" s="882"/>
      <c r="D258" s="2933"/>
      <c r="E258" s="2934">
        <f t="shared" si="123"/>
        <v>0</v>
      </c>
      <c r="F258" s="2935"/>
      <c r="G258" s="2936">
        <f t="shared" si="124"/>
        <v>0</v>
      </c>
      <c r="H258" s="2937">
        <f t="shared" si="125"/>
        <v>0</v>
      </c>
      <c r="I258" s="2944"/>
      <c r="J258" s="2944"/>
      <c r="K258" s="2944"/>
      <c r="L258" s="2944"/>
      <c r="M258" s="2944"/>
      <c r="N258" s="2944"/>
      <c r="O258" s="2944"/>
      <c r="P258" s="2944"/>
      <c r="Q258" s="2944"/>
      <c r="R258" s="2944"/>
      <c r="S258" s="2944"/>
      <c r="T258" s="2944"/>
      <c r="U258" s="2944"/>
      <c r="V258" s="2944"/>
      <c r="W258" s="2944"/>
      <c r="X258" s="2944"/>
      <c r="Y258" s="2944"/>
      <c r="Z258" s="2944"/>
      <c r="AA258" s="2944"/>
      <c r="AB258" s="2944"/>
      <c r="AC258" s="2934">
        <f t="shared" si="126"/>
        <v>0</v>
      </c>
      <c r="AD258" s="2954"/>
      <c r="AE258" s="2954"/>
      <c r="AF258" s="2954"/>
      <c r="AG258" s="2954"/>
      <c r="AH258" s="2954"/>
      <c r="AI258" s="2954"/>
      <c r="AJ258" s="2954"/>
      <c r="AK258" s="2954"/>
      <c r="AL258" s="2954"/>
      <c r="AM258" s="2954"/>
      <c r="AN258" s="2954"/>
      <c r="AO258" s="2954"/>
      <c r="AP258" s="2954"/>
      <c r="AQ258" s="2954"/>
      <c r="AR258" s="2954"/>
      <c r="AS258" s="2954"/>
      <c r="AT258" s="2935"/>
      <c r="AU258" s="2964"/>
      <c r="AV258" s="857">
        <f t="shared" si="127"/>
        <v>0</v>
      </c>
      <c r="AW258" s="857">
        <f t="shared" si="128"/>
        <v>0</v>
      </c>
      <c r="AX258" s="857">
        <f t="shared" si="129"/>
        <v>0</v>
      </c>
      <c r="AY258" s="807">
        <f t="shared" si="130"/>
        <v>0</v>
      </c>
      <c r="AZ258" s="2934">
        <f t="shared" si="131"/>
        <v>0</v>
      </c>
      <c r="BA258" s="2934">
        <f t="shared" si="132"/>
        <v>0</v>
      </c>
      <c r="BB258" s="2934">
        <f t="shared" si="133"/>
        <v>0</v>
      </c>
      <c r="BC258" s="2934">
        <f t="shared" si="134"/>
        <v>0</v>
      </c>
      <c r="BD258" s="2934">
        <f t="shared" si="135"/>
        <v>0</v>
      </c>
      <c r="BE258" s="2934">
        <f t="shared" si="136"/>
        <v>0</v>
      </c>
      <c r="BF258" s="2934">
        <f t="shared" si="137"/>
        <v>0</v>
      </c>
      <c r="BG258" s="2934">
        <f t="shared" si="138"/>
        <v>0</v>
      </c>
      <c r="BH258" s="2934">
        <f t="shared" si="139"/>
        <v>0</v>
      </c>
      <c r="BI258" s="2934">
        <f t="shared" si="140"/>
        <v>0</v>
      </c>
      <c r="BJ258" s="2934">
        <f t="shared" si="141"/>
        <v>0</v>
      </c>
      <c r="BK258" s="2934">
        <f t="shared" si="142"/>
        <v>0</v>
      </c>
      <c r="BL258" s="2934">
        <f t="shared" si="143"/>
        <v>0</v>
      </c>
      <c r="BM258" s="2934">
        <f t="shared" si="144"/>
        <v>0</v>
      </c>
      <c r="BN258" s="2934">
        <f t="shared" si="145"/>
        <v>0</v>
      </c>
      <c r="BO258" s="2934">
        <f t="shared" si="146"/>
        <v>0</v>
      </c>
      <c r="BP258" s="2934">
        <f t="shared" si="147"/>
        <v>0</v>
      </c>
      <c r="BQ258" s="2934">
        <f t="shared" si="148"/>
        <v>0</v>
      </c>
      <c r="BR258" s="2934">
        <f t="shared" si="149"/>
        <v>0</v>
      </c>
      <c r="BS258" s="2934">
        <f t="shared" si="150"/>
        <v>0</v>
      </c>
      <c r="BT258" s="2982">
        <f t="shared" si="151"/>
        <v>0</v>
      </c>
    </row>
    <row r="259" spans="1:72">
      <c r="A259" s="874"/>
      <c r="B259" s="882"/>
      <c r="C259" s="882"/>
      <c r="D259" s="2933"/>
      <c r="E259" s="2934">
        <f t="shared" si="123"/>
        <v>0</v>
      </c>
      <c r="F259" s="2935"/>
      <c r="G259" s="2936">
        <f t="shared" si="124"/>
        <v>0</v>
      </c>
      <c r="H259" s="2937">
        <f t="shared" si="125"/>
        <v>0</v>
      </c>
      <c r="I259" s="2944"/>
      <c r="J259" s="2944"/>
      <c r="K259" s="2944"/>
      <c r="L259" s="2944"/>
      <c r="M259" s="2944"/>
      <c r="N259" s="2944"/>
      <c r="O259" s="2944"/>
      <c r="P259" s="2944"/>
      <c r="Q259" s="2944"/>
      <c r="R259" s="2944"/>
      <c r="S259" s="2944"/>
      <c r="T259" s="2944"/>
      <c r="U259" s="2944"/>
      <c r="V259" s="2944"/>
      <c r="W259" s="2944"/>
      <c r="X259" s="2944"/>
      <c r="Y259" s="2944"/>
      <c r="Z259" s="2944"/>
      <c r="AA259" s="2944"/>
      <c r="AB259" s="2944"/>
      <c r="AC259" s="2934">
        <f t="shared" si="126"/>
        <v>0</v>
      </c>
      <c r="AD259" s="2954"/>
      <c r="AE259" s="2954"/>
      <c r="AF259" s="2954"/>
      <c r="AG259" s="2954"/>
      <c r="AH259" s="2954"/>
      <c r="AI259" s="2954"/>
      <c r="AJ259" s="2954"/>
      <c r="AK259" s="2954"/>
      <c r="AL259" s="2954"/>
      <c r="AM259" s="2954"/>
      <c r="AN259" s="2954"/>
      <c r="AO259" s="2954"/>
      <c r="AP259" s="2954"/>
      <c r="AQ259" s="2954"/>
      <c r="AR259" s="2954"/>
      <c r="AS259" s="2954"/>
      <c r="AT259" s="2935"/>
      <c r="AU259" s="2964"/>
      <c r="AV259" s="857">
        <f t="shared" si="127"/>
        <v>0</v>
      </c>
      <c r="AW259" s="857">
        <f t="shared" si="128"/>
        <v>0</v>
      </c>
      <c r="AX259" s="857">
        <f t="shared" si="129"/>
        <v>0</v>
      </c>
      <c r="AY259" s="807">
        <f t="shared" si="130"/>
        <v>0</v>
      </c>
      <c r="AZ259" s="2934">
        <f t="shared" si="131"/>
        <v>0</v>
      </c>
      <c r="BA259" s="2934">
        <f t="shared" si="132"/>
        <v>0</v>
      </c>
      <c r="BB259" s="2934">
        <f t="shared" si="133"/>
        <v>0</v>
      </c>
      <c r="BC259" s="2934">
        <f t="shared" si="134"/>
        <v>0</v>
      </c>
      <c r="BD259" s="2934">
        <f t="shared" si="135"/>
        <v>0</v>
      </c>
      <c r="BE259" s="2934">
        <f t="shared" si="136"/>
        <v>0</v>
      </c>
      <c r="BF259" s="2934">
        <f t="shared" si="137"/>
        <v>0</v>
      </c>
      <c r="BG259" s="2934">
        <f t="shared" si="138"/>
        <v>0</v>
      </c>
      <c r="BH259" s="2934">
        <f t="shared" si="139"/>
        <v>0</v>
      </c>
      <c r="BI259" s="2934">
        <f t="shared" si="140"/>
        <v>0</v>
      </c>
      <c r="BJ259" s="2934">
        <f t="shared" si="141"/>
        <v>0</v>
      </c>
      <c r="BK259" s="2934">
        <f t="shared" si="142"/>
        <v>0</v>
      </c>
      <c r="BL259" s="2934">
        <f t="shared" si="143"/>
        <v>0</v>
      </c>
      <c r="BM259" s="2934">
        <f t="shared" si="144"/>
        <v>0</v>
      </c>
      <c r="BN259" s="2934">
        <f t="shared" si="145"/>
        <v>0</v>
      </c>
      <c r="BO259" s="2934">
        <f t="shared" si="146"/>
        <v>0</v>
      </c>
      <c r="BP259" s="2934">
        <f t="shared" si="147"/>
        <v>0</v>
      </c>
      <c r="BQ259" s="2934">
        <f t="shared" si="148"/>
        <v>0</v>
      </c>
      <c r="BR259" s="2934">
        <f t="shared" si="149"/>
        <v>0</v>
      </c>
      <c r="BS259" s="2934">
        <f t="shared" si="150"/>
        <v>0</v>
      </c>
      <c r="BT259" s="2982">
        <f t="shared" si="151"/>
        <v>0</v>
      </c>
    </row>
    <row r="260" spans="1:72">
      <c r="A260" s="874"/>
      <c r="B260" s="882"/>
      <c r="C260" s="882"/>
      <c r="D260" s="2933"/>
      <c r="E260" s="2934">
        <f t="shared" si="123"/>
        <v>0</v>
      </c>
      <c r="F260" s="2935"/>
      <c r="G260" s="2936">
        <f t="shared" si="124"/>
        <v>0</v>
      </c>
      <c r="H260" s="2937">
        <f t="shared" si="125"/>
        <v>0</v>
      </c>
      <c r="I260" s="2944"/>
      <c r="J260" s="2944"/>
      <c r="K260" s="2944"/>
      <c r="L260" s="2944"/>
      <c r="M260" s="2944"/>
      <c r="N260" s="2944"/>
      <c r="O260" s="2944"/>
      <c r="P260" s="2944"/>
      <c r="Q260" s="2944"/>
      <c r="R260" s="2944"/>
      <c r="S260" s="2944"/>
      <c r="T260" s="2944"/>
      <c r="U260" s="2944"/>
      <c r="V260" s="2944"/>
      <c r="W260" s="2944"/>
      <c r="X260" s="2944"/>
      <c r="Y260" s="2944"/>
      <c r="Z260" s="2944"/>
      <c r="AA260" s="2944"/>
      <c r="AB260" s="2944"/>
      <c r="AC260" s="2934">
        <f t="shared" si="126"/>
        <v>0</v>
      </c>
      <c r="AD260" s="2954"/>
      <c r="AE260" s="2954"/>
      <c r="AF260" s="2954"/>
      <c r="AG260" s="2954"/>
      <c r="AH260" s="2954"/>
      <c r="AI260" s="2954"/>
      <c r="AJ260" s="2954"/>
      <c r="AK260" s="2954"/>
      <c r="AL260" s="2954"/>
      <c r="AM260" s="2954"/>
      <c r="AN260" s="2954"/>
      <c r="AO260" s="2954"/>
      <c r="AP260" s="2954"/>
      <c r="AQ260" s="2954"/>
      <c r="AR260" s="2954"/>
      <c r="AS260" s="2954"/>
      <c r="AT260" s="2935"/>
      <c r="AU260" s="2964"/>
      <c r="AV260" s="857">
        <f t="shared" si="127"/>
        <v>0</v>
      </c>
      <c r="AW260" s="857">
        <f t="shared" si="128"/>
        <v>0</v>
      </c>
      <c r="AX260" s="857">
        <f t="shared" si="129"/>
        <v>0</v>
      </c>
      <c r="AY260" s="807">
        <f t="shared" si="130"/>
        <v>0</v>
      </c>
      <c r="AZ260" s="2934">
        <f t="shared" si="131"/>
        <v>0</v>
      </c>
      <c r="BA260" s="2934">
        <f t="shared" si="132"/>
        <v>0</v>
      </c>
      <c r="BB260" s="2934">
        <f t="shared" si="133"/>
        <v>0</v>
      </c>
      <c r="BC260" s="2934">
        <f t="shared" si="134"/>
        <v>0</v>
      </c>
      <c r="BD260" s="2934">
        <f t="shared" si="135"/>
        <v>0</v>
      </c>
      <c r="BE260" s="2934">
        <f t="shared" si="136"/>
        <v>0</v>
      </c>
      <c r="BF260" s="2934">
        <f t="shared" si="137"/>
        <v>0</v>
      </c>
      <c r="BG260" s="2934">
        <f t="shared" si="138"/>
        <v>0</v>
      </c>
      <c r="BH260" s="2934">
        <f t="shared" si="139"/>
        <v>0</v>
      </c>
      <c r="BI260" s="2934">
        <f t="shared" si="140"/>
        <v>0</v>
      </c>
      <c r="BJ260" s="2934">
        <f t="shared" si="141"/>
        <v>0</v>
      </c>
      <c r="BK260" s="2934">
        <f t="shared" si="142"/>
        <v>0</v>
      </c>
      <c r="BL260" s="2934">
        <f t="shared" si="143"/>
        <v>0</v>
      </c>
      <c r="BM260" s="2934">
        <f t="shared" si="144"/>
        <v>0</v>
      </c>
      <c r="BN260" s="2934">
        <f t="shared" si="145"/>
        <v>0</v>
      </c>
      <c r="BO260" s="2934">
        <f t="shared" si="146"/>
        <v>0</v>
      </c>
      <c r="BP260" s="2934">
        <f t="shared" si="147"/>
        <v>0</v>
      </c>
      <c r="BQ260" s="2934">
        <f t="shared" si="148"/>
        <v>0</v>
      </c>
      <c r="BR260" s="2934">
        <f t="shared" si="149"/>
        <v>0</v>
      </c>
      <c r="BS260" s="2934">
        <f t="shared" si="150"/>
        <v>0</v>
      </c>
      <c r="BT260" s="2982">
        <f t="shared" si="151"/>
        <v>0</v>
      </c>
    </row>
    <row r="261" spans="1:72">
      <c r="A261" s="874"/>
      <c r="B261" s="882"/>
      <c r="C261" s="882"/>
      <c r="D261" s="2933"/>
      <c r="E261" s="2934">
        <f t="shared" si="123"/>
        <v>0</v>
      </c>
      <c r="F261" s="2935"/>
      <c r="G261" s="2936">
        <f t="shared" si="124"/>
        <v>0</v>
      </c>
      <c r="H261" s="2937">
        <f t="shared" si="125"/>
        <v>0</v>
      </c>
      <c r="I261" s="2944"/>
      <c r="J261" s="2944"/>
      <c r="K261" s="2944"/>
      <c r="L261" s="2944"/>
      <c r="M261" s="2944"/>
      <c r="N261" s="2944"/>
      <c r="O261" s="2944"/>
      <c r="P261" s="2944"/>
      <c r="Q261" s="2944"/>
      <c r="R261" s="2944"/>
      <c r="S261" s="2944"/>
      <c r="T261" s="2944"/>
      <c r="U261" s="2944"/>
      <c r="V261" s="2944"/>
      <c r="W261" s="2944"/>
      <c r="X261" s="2944"/>
      <c r="Y261" s="2944"/>
      <c r="Z261" s="2944"/>
      <c r="AA261" s="2944"/>
      <c r="AB261" s="2944"/>
      <c r="AC261" s="2934">
        <f t="shared" si="126"/>
        <v>0</v>
      </c>
      <c r="AD261" s="2954"/>
      <c r="AE261" s="2954"/>
      <c r="AF261" s="2954"/>
      <c r="AG261" s="2954"/>
      <c r="AH261" s="2954"/>
      <c r="AI261" s="2954"/>
      <c r="AJ261" s="2954"/>
      <c r="AK261" s="2954"/>
      <c r="AL261" s="2954"/>
      <c r="AM261" s="2954"/>
      <c r="AN261" s="2954"/>
      <c r="AO261" s="2954"/>
      <c r="AP261" s="2954"/>
      <c r="AQ261" s="2954"/>
      <c r="AR261" s="2954"/>
      <c r="AS261" s="2954"/>
      <c r="AT261" s="2935"/>
      <c r="AU261" s="2964"/>
      <c r="AV261" s="857">
        <f t="shared" si="127"/>
        <v>0</v>
      </c>
      <c r="AW261" s="857">
        <f t="shared" si="128"/>
        <v>0</v>
      </c>
      <c r="AX261" s="857">
        <f t="shared" si="129"/>
        <v>0</v>
      </c>
      <c r="AY261" s="807">
        <f t="shared" si="130"/>
        <v>0</v>
      </c>
      <c r="AZ261" s="2934">
        <f t="shared" si="131"/>
        <v>0</v>
      </c>
      <c r="BA261" s="2934">
        <f t="shared" si="132"/>
        <v>0</v>
      </c>
      <c r="BB261" s="2934">
        <f t="shared" si="133"/>
        <v>0</v>
      </c>
      <c r="BC261" s="2934">
        <f t="shared" si="134"/>
        <v>0</v>
      </c>
      <c r="BD261" s="2934">
        <f t="shared" si="135"/>
        <v>0</v>
      </c>
      <c r="BE261" s="2934">
        <f t="shared" si="136"/>
        <v>0</v>
      </c>
      <c r="BF261" s="2934">
        <f t="shared" si="137"/>
        <v>0</v>
      </c>
      <c r="BG261" s="2934">
        <f t="shared" si="138"/>
        <v>0</v>
      </c>
      <c r="BH261" s="2934">
        <f t="shared" si="139"/>
        <v>0</v>
      </c>
      <c r="BI261" s="2934">
        <f t="shared" si="140"/>
        <v>0</v>
      </c>
      <c r="BJ261" s="2934">
        <f t="shared" si="141"/>
        <v>0</v>
      </c>
      <c r="BK261" s="2934">
        <f t="shared" si="142"/>
        <v>0</v>
      </c>
      <c r="BL261" s="2934">
        <f t="shared" si="143"/>
        <v>0</v>
      </c>
      <c r="BM261" s="2934">
        <f t="shared" si="144"/>
        <v>0</v>
      </c>
      <c r="BN261" s="2934">
        <f t="shared" si="145"/>
        <v>0</v>
      </c>
      <c r="BO261" s="2934">
        <f t="shared" si="146"/>
        <v>0</v>
      </c>
      <c r="BP261" s="2934">
        <f t="shared" si="147"/>
        <v>0</v>
      </c>
      <c r="BQ261" s="2934">
        <f t="shared" si="148"/>
        <v>0</v>
      </c>
      <c r="BR261" s="2934">
        <f t="shared" si="149"/>
        <v>0</v>
      </c>
      <c r="BS261" s="2934">
        <f t="shared" si="150"/>
        <v>0</v>
      </c>
      <c r="BT261" s="2982">
        <f t="shared" si="151"/>
        <v>0</v>
      </c>
    </row>
    <row r="262" spans="1:72">
      <c r="A262" s="874"/>
      <c r="B262" s="882"/>
      <c r="C262" s="882"/>
      <c r="D262" s="2933"/>
      <c r="E262" s="2934">
        <f t="shared" si="123"/>
        <v>0</v>
      </c>
      <c r="F262" s="2935"/>
      <c r="G262" s="2936">
        <f t="shared" si="124"/>
        <v>0</v>
      </c>
      <c r="H262" s="2937">
        <f t="shared" si="125"/>
        <v>0</v>
      </c>
      <c r="I262" s="2944"/>
      <c r="J262" s="2944"/>
      <c r="K262" s="2944"/>
      <c r="L262" s="2944"/>
      <c r="M262" s="2944"/>
      <c r="N262" s="2944"/>
      <c r="O262" s="2944"/>
      <c r="P262" s="2944"/>
      <c r="Q262" s="2944"/>
      <c r="R262" s="2944"/>
      <c r="S262" s="2944"/>
      <c r="T262" s="2944"/>
      <c r="U262" s="2944"/>
      <c r="V262" s="2944"/>
      <c r="W262" s="2944"/>
      <c r="X262" s="2944"/>
      <c r="Y262" s="2944"/>
      <c r="Z262" s="2944"/>
      <c r="AA262" s="2944"/>
      <c r="AB262" s="2944"/>
      <c r="AC262" s="2934">
        <f t="shared" si="126"/>
        <v>0</v>
      </c>
      <c r="AD262" s="2954"/>
      <c r="AE262" s="2954"/>
      <c r="AF262" s="2954"/>
      <c r="AG262" s="2954"/>
      <c r="AH262" s="2954"/>
      <c r="AI262" s="2954"/>
      <c r="AJ262" s="2954"/>
      <c r="AK262" s="2954"/>
      <c r="AL262" s="2954"/>
      <c r="AM262" s="2954"/>
      <c r="AN262" s="2954"/>
      <c r="AO262" s="2954"/>
      <c r="AP262" s="2954"/>
      <c r="AQ262" s="2954"/>
      <c r="AR262" s="2954"/>
      <c r="AS262" s="2954"/>
      <c r="AT262" s="2935"/>
      <c r="AU262" s="2964"/>
      <c r="AV262" s="857">
        <f t="shared" si="127"/>
        <v>0</v>
      </c>
      <c r="AW262" s="857">
        <f t="shared" si="128"/>
        <v>0</v>
      </c>
      <c r="AX262" s="857">
        <f t="shared" si="129"/>
        <v>0</v>
      </c>
      <c r="AY262" s="807">
        <f t="shared" si="130"/>
        <v>0</v>
      </c>
      <c r="AZ262" s="2934">
        <f t="shared" si="131"/>
        <v>0</v>
      </c>
      <c r="BA262" s="2934">
        <f t="shared" si="132"/>
        <v>0</v>
      </c>
      <c r="BB262" s="2934">
        <f t="shared" si="133"/>
        <v>0</v>
      </c>
      <c r="BC262" s="2934">
        <f t="shared" si="134"/>
        <v>0</v>
      </c>
      <c r="BD262" s="2934">
        <f t="shared" si="135"/>
        <v>0</v>
      </c>
      <c r="BE262" s="2934">
        <f t="shared" si="136"/>
        <v>0</v>
      </c>
      <c r="BF262" s="2934">
        <f t="shared" si="137"/>
        <v>0</v>
      </c>
      <c r="BG262" s="2934">
        <f t="shared" si="138"/>
        <v>0</v>
      </c>
      <c r="BH262" s="2934">
        <f t="shared" si="139"/>
        <v>0</v>
      </c>
      <c r="BI262" s="2934">
        <f t="shared" si="140"/>
        <v>0</v>
      </c>
      <c r="BJ262" s="2934">
        <f t="shared" si="141"/>
        <v>0</v>
      </c>
      <c r="BK262" s="2934">
        <f t="shared" si="142"/>
        <v>0</v>
      </c>
      <c r="BL262" s="2934">
        <f t="shared" si="143"/>
        <v>0</v>
      </c>
      <c r="BM262" s="2934">
        <f t="shared" si="144"/>
        <v>0</v>
      </c>
      <c r="BN262" s="2934">
        <f t="shared" si="145"/>
        <v>0</v>
      </c>
      <c r="BO262" s="2934">
        <f t="shared" si="146"/>
        <v>0</v>
      </c>
      <c r="BP262" s="2934">
        <f t="shared" si="147"/>
        <v>0</v>
      </c>
      <c r="BQ262" s="2934">
        <f t="shared" si="148"/>
        <v>0</v>
      </c>
      <c r="BR262" s="2934">
        <f t="shared" si="149"/>
        <v>0</v>
      </c>
      <c r="BS262" s="2934">
        <f t="shared" si="150"/>
        <v>0</v>
      </c>
      <c r="BT262" s="2982">
        <f t="shared" si="151"/>
        <v>0</v>
      </c>
    </row>
    <row r="263" spans="1:72">
      <c r="A263" s="874"/>
      <c r="B263" s="882"/>
      <c r="C263" s="882"/>
      <c r="D263" s="2933"/>
      <c r="E263" s="2934">
        <f t="shared" si="123"/>
        <v>0</v>
      </c>
      <c r="F263" s="2935"/>
      <c r="G263" s="2936">
        <f t="shared" si="124"/>
        <v>0</v>
      </c>
      <c r="H263" s="2937">
        <f t="shared" si="125"/>
        <v>0</v>
      </c>
      <c r="I263" s="2944"/>
      <c r="J263" s="2944"/>
      <c r="K263" s="2944"/>
      <c r="L263" s="2944"/>
      <c r="M263" s="2944"/>
      <c r="N263" s="2944"/>
      <c r="O263" s="2944"/>
      <c r="P263" s="2944"/>
      <c r="Q263" s="2944"/>
      <c r="R263" s="2944"/>
      <c r="S263" s="2944"/>
      <c r="T263" s="2944"/>
      <c r="U263" s="2944"/>
      <c r="V263" s="2944"/>
      <c r="W263" s="2944"/>
      <c r="X263" s="2944"/>
      <c r="Y263" s="2944"/>
      <c r="Z263" s="2944"/>
      <c r="AA263" s="2944"/>
      <c r="AB263" s="2944"/>
      <c r="AC263" s="2934">
        <f t="shared" si="126"/>
        <v>0</v>
      </c>
      <c r="AD263" s="2954"/>
      <c r="AE263" s="2954"/>
      <c r="AF263" s="2954"/>
      <c r="AG263" s="2954"/>
      <c r="AH263" s="2954"/>
      <c r="AI263" s="2954"/>
      <c r="AJ263" s="2954"/>
      <c r="AK263" s="2954"/>
      <c r="AL263" s="2954"/>
      <c r="AM263" s="2954"/>
      <c r="AN263" s="2954"/>
      <c r="AO263" s="2954"/>
      <c r="AP263" s="2954"/>
      <c r="AQ263" s="2954"/>
      <c r="AR263" s="2954"/>
      <c r="AS263" s="2954"/>
      <c r="AT263" s="2935"/>
      <c r="AU263" s="2964"/>
      <c r="AV263" s="857">
        <f t="shared" si="127"/>
        <v>0</v>
      </c>
      <c r="AW263" s="857">
        <f t="shared" si="128"/>
        <v>0</v>
      </c>
      <c r="AX263" s="857">
        <f t="shared" si="129"/>
        <v>0</v>
      </c>
      <c r="AY263" s="807">
        <f t="shared" si="130"/>
        <v>0</v>
      </c>
      <c r="AZ263" s="2934">
        <f t="shared" si="131"/>
        <v>0</v>
      </c>
      <c r="BA263" s="2934">
        <f t="shared" si="132"/>
        <v>0</v>
      </c>
      <c r="BB263" s="2934">
        <f t="shared" si="133"/>
        <v>0</v>
      </c>
      <c r="BC263" s="2934">
        <f t="shared" si="134"/>
        <v>0</v>
      </c>
      <c r="BD263" s="2934">
        <f t="shared" si="135"/>
        <v>0</v>
      </c>
      <c r="BE263" s="2934">
        <f t="shared" si="136"/>
        <v>0</v>
      </c>
      <c r="BF263" s="2934">
        <f t="shared" si="137"/>
        <v>0</v>
      </c>
      <c r="BG263" s="2934">
        <f t="shared" si="138"/>
        <v>0</v>
      </c>
      <c r="BH263" s="2934">
        <f t="shared" si="139"/>
        <v>0</v>
      </c>
      <c r="BI263" s="2934">
        <f t="shared" si="140"/>
        <v>0</v>
      </c>
      <c r="BJ263" s="2934">
        <f t="shared" si="141"/>
        <v>0</v>
      </c>
      <c r="BK263" s="2934">
        <f t="shared" si="142"/>
        <v>0</v>
      </c>
      <c r="BL263" s="2934">
        <f t="shared" si="143"/>
        <v>0</v>
      </c>
      <c r="BM263" s="2934">
        <f t="shared" si="144"/>
        <v>0</v>
      </c>
      <c r="BN263" s="2934">
        <f t="shared" si="145"/>
        <v>0</v>
      </c>
      <c r="BO263" s="2934">
        <f t="shared" si="146"/>
        <v>0</v>
      </c>
      <c r="BP263" s="2934">
        <f t="shared" si="147"/>
        <v>0</v>
      </c>
      <c r="BQ263" s="2934">
        <f t="shared" si="148"/>
        <v>0</v>
      </c>
      <c r="BR263" s="2934">
        <f t="shared" si="149"/>
        <v>0</v>
      </c>
      <c r="BS263" s="2934">
        <f t="shared" si="150"/>
        <v>0</v>
      </c>
      <c r="BT263" s="2982">
        <f t="shared" si="151"/>
        <v>0</v>
      </c>
    </row>
    <row r="264" spans="1:72">
      <c r="A264" s="874"/>
      <c r="B264" s="882"/>
      <c r="C264" s="882"/>
      <c r="D264" s="2933"/>
      <c r="E264" s="2934">
        <f t="shared" si="123"/>
        <v>0</v>
      </c>
      <c r="F264" s="2935"/>
      <c r="G264" s="2936">
        <f t="shared" si="124"/>
        <v>0</v>
      </c>
      <c r="H264" s="2937">
        <f t="shared" si="125"/>
        <v>0</v>
      </c>
      <c r="I264" s="2944"/>
      <c r="J264" s="2944"/>
      <c r="K264" s="2944"/>
      <c r="L264" s="2944"/>
      <c r="M264" s="2944"/>
      <c r="N264" s="2944"/>
      <c r="O264" s="2944"/>
      <c r="P264" s="2944"/>
      <c r="Q264" s="2944"/>
      <c r="R264" s="2944"/>
      <c r="S264" s="2944"/>
      <c r="T264" s="2944"/>
      <c r="U264" s="2944"/>
      <c r="V264" s="2944"/>
      <c r="W264" s="2944"/>
      <c r="X264" s="2944"/>
      <c r="Y264" s="2944"/>
      <c r="Z264" s="2944"/>
      <c r="AA264" s="2944"/>
      <c r="AB264" s="2944"/>
      <c r="AC264" s="2934">
        <f t="shared" si="126"/>
        <v>0</v>
      </c>
      <c r="AD264" s="2954"/>
      <c r="AE264" s="2954"/>
      <c r="AF264" s="2954"/>
      <c r="AG264" s="2954"/>
      <c r="AH264" s="2954"/>
      <c r="AI264" s="2954"/>
      <c r="AJ264" s="2954"/>
      <c r="AK264" s="2954"/>
      <c r="AL264" s="2954"/>
      <c r="AM264" s="2954"/>
      <c r="AN264" s="2954"/>
      <c r="AO264" s="2954"/>
      <c r="AP264" s="2954"/>
      <c r="AQ264" s="2954"/>
      <c r="AR264" s="2954"/>
      <c r="AS264" s="2954"/>
      <c r="AT264" s="2935"/>
      <c r="AU264" s="2964"/>
      <c r="AV264" s="857">
        <f t="shared" si="127"/>
        <v>0</v>
      </c>
      <c r="AW264" s="857">
        <f t="shared" si="128"/>
        <v>0</v>
      </c>
      <c r="AX264" s="857">
        <f t="shared" si="129"/>
        <v>0</v>
      </c>
      <c r="AY264" s="807">
        <f t="shared" si="130"/>
        <v>0</v>
      </c>
      <c r="AZ264" s="2934">
        <f t="shared" si="131"/>
        <v>0</v>
      </c>
      <c r="BA264" s="2934">
        <f t="shared" si="132"/>
        <v>0</v>
      </c>
      <c r="BB264" s="2934">
        <f t="shared" si="133"/>
        <v>0</v>
      </c>
      <c r="BC264" s="2934">
        <f t="shared" si="134"/>
        <v>0</v>
      </c>
      <c r="BD264" s="2934">
        <f t="shared" si="135"/>
        <v>0</v>
      </c>
      <c r="BE264" s="2934">
        <f t="shared" si="136"/>
        <v>0</v>
      </c>
      <c r="BF264" s="2934">
        <f t="shared" si="137"/>
        <v>0</v>
      </c>
      <c r="BG264" s="2934">
        <f t="shared" si="138"/>
        <v>0</v>
      </c>
      <c r="BH264" s="2934">
        <f t="shared" si="139"/>
        <v>0</v>
      </c>
      <c r="BI264" s="2934">
        <f t="shared" si="140"/>
        <v>0</v>
      </c>
      <c r="BJ264" s="2934">
        <f t="shared" si="141"/>
        <v>0</v>
      </c>
      <c r="BK264" s="2934">
        <f t="shared" si="142"/>
        <v>0</v>
      </c>
      <c r="BL264" s="2934">
        <f t="shared" si="143"/>
        <v>0</v>
      </c>
      <c r="BM264" s="2934">
        <f t="shared" si="144"/>
        <v>0</v>
      </c>
      <c r="BN264" s="2934">
        <f t="shared" si="145"/>
        <v>0</v>
      </c>
      <c r="BO264" s="2934">
        <f t="shared" si="146"/>
        <v>0</v>
      </c>
      <c r="BP264" s="2934">
        <f t="shared" si="147"/>
        <v>0</v>
      </c>
      <c r="BQ264" s="2934">
        <f t="shared" si="148"/>
        <v>0</v>
      </c>
      <c r="BR264" s="2934">
        <f t="shared" si="149"/>
        <v>0</v>
      </c>
      <c r="BS264" s="2934">
        <f t="shared" si="150"/>
        <v>0</v>
      </c>
      <c r="BT264" s="2982">
        <f t="shared" si="151"/>
        <v>0</v>
      </c>
    </row>
    <row r="265" spans="1:72">
      <c r="A265" s="874"/>
      <c r="B265" s="882"/>
      <c r="C265" s="882"/>
      <c r="D265" s="2933"/>
      <c r="E265" s="2934">
        <f t="shared" si="123"/>
        <v>0</v>
      </c>
      <c r="F265" s="2935"/>
      <c r="G265" s="2936">
        <f t="shared" si="124"/>
        <v>0</v>
      </c>
      <c r="H265" s="2937">
        <f t="shared" si="125"/>
        <v>0</v>
      </c>
      <c r="I265" s="2944"/>
      <c r="J265" s="2944"/>
      <c r="K265" s="2944"/>
      <c r="L265" s="2944"/>
      <c r="M265" s="2944"/>
      <c r="N265" s="2944"/>
      <c r="O265" s="2944"/>
      <c r="P265" s="2944"/>
      <c r="Q265" s="2944"/>
      <c r="R265" s="2944"/>
      <c r="S265" s="2944"/>
      <c r="T265" s="2944"/>
      <c r="U265" s="2944"/>
      <c r="V265" s="2944"/>
      <c r="W265" s="2944"/>
      <c r="X265" s="2944"/>
      <c r="Y265" s="2944"/>
      <c r="Z265" s="2944"/>
      <c r="AA265" s="2944"/>
      <c r="AB265" s="2944"/>
      <c r="AC265" s="2934">
        <f t="shared" si="126"/>
        <v>0</v>
      </c>
      <c r="AD265" s="2954"/>
      <c r="AE265" s="2954"/>
      <c r="AF265" s="2954"/>
      <c r="AG265" s="2954"/>
      <c r="AH265" s="2954"/>
      <c r="AI265" s="2954"/>
      <c r="AJ265" s="2954"/>
      <c r="AK265" s="2954"/>
      <c r="AL265" s="2954"/>
      <c r="AM265" s="2954"/>
      <c r="AN265" s="2954"/>
      <c r="AO265" s="2954"/>
      <c r="AP265" s="2954"/>
      <c r="AQ265" s="2954"/>
      <c r="AR265" s="2954"/>
      <c r="AS265" s="2954"/>
      <c r="AT265" s="2935"/>
      <c r="AU265" s="2964"/>
      <c r="AV265" s="857">
        <f t="shared" si="127"/>
        <v>0</v>
      </c>
      <c r="AW265" s="857">
        <f t="shared" si="128"/>
        <v>0</v>
      </c>
      <c r="AX265" s="857">
        <f t="shared" si="129"/>
        <v>0</v>
      </c>
      <c r="AY265" s="807">
        <f t="shared" si="130"/>
        <v>0</v>
      </c>
      <c r="AZ265" s="2934">
        <f t="shared" si="131"/>
        <v>0</v>
      </c>
      <c r="BA265" s="2934">
        <f t="shared" si="132"/>
        <v>0</v>
      </c>
      <c r="BB265" s="2934">
        <f t="shared" si="133"/>
        <v>0</v>
      </c>
      <c r="BC265" s="2934">
        <f t="shared" si="134"/>
        <v>0</v>
      </c>
      <c r="BD265" s="2934">
        <f t="shared" si="135"/>
        <v>0</v>
      </c>
      <c r="BE265" s="2934">
        <f t="shared" si="136"/>
        <v>0</v>
      </c>
      <c r="BF265" s="2934">
        <f t="shared" si="137"/>
        <v>0</v>
      </c>
      <c r="BG265" s="2934">
        <f t="shared" si="138"/>
        <v>0</v>
      </c>
      <c r="BH265" s="2934">
        <f t="shared" si="139"/>
        <v>0</v>
      </c>
      <c r="BI265" s="2934">
        <f t="shared" si="140"/>
        <v>0</v>
      </c>
      <c r="BJ265" s="2934">
        <f t="shared" si="141"/>
        <v>0</v>
      </c>
      <c r="BK265" s="2934">
        <f t="shared" si="142"/>
        <v>0</v>
      </c>
      <c r="BL265" s="2934">
        <f t="shared" si="143"/>
        <v>0</v>
      </c>
      <c r="BM265" s="2934">
        <f t="shared" si="144"/>
        <v>0</v>
      </c>
      <c r="BN265" s="2934">
        <f t="shared" si="145"/>
        <v>0</v>
      </c>
      <c r="BO265" s="2934">
        <f t="shared" si="146"/>
        <v>0</v>
      </c>
      <c r="BP265" s="2934">
        <f t="shared" si="147"/>
        <v>0</v>
      </c>
      <c r="BQ265" s="2934">
        <f t="shared" si="148"/>
        <v>0</v>
      </c>
      <c r="BR265" s="2934">
        <f t="shared" si="149"/>
        <v>0</v>
      </c>
      <c r="BS265" s="2934">
        <f t="shared" si="150"/>
        <v>0</v>
      </c>
      <c r="BT265" s="2982">
        <f t="shared" si="151"/>
        <v>0</v>
      </c>
    </row>
    <row r="266" spans="1:72">
      <c r="A266" s="874"/>
      <c r="B266" s="882"/>
      <c r="C266" s="882"/>
      <c r="D266" s="2933"/>
      <c r="E266" s="2934">
        <f t="shared" si="123"/>
        <v>0</v>
      </c>
      <c r="F266" s="2935"/>
      <c r="G266" s="2936">
        <f t="shared" si="124"/>
        <v>0</v>
      </c>
      <c r="H266" s="2937">
        <f t="shared" si="125"/>
        <v>0</v>
      </c>
      <c r="I266" s="2944"/>
      <c r="J266" s="2944"/>
      <c r="K266" s="2944"/>
      <c r="L266" s="2944"/>
      <c r="M266" s="2944"/>
      <c r="N266" s="2944"/>
      <c r="O266" s="2944"/>
      <c r="P266" s="2944"/>
      <c r="Q266" s="2944"/>
      <c r="R266" s="2944"/>
      <c r="S266" s="2944"/>
      <c r="T266" s="2944"/>
      <c r="U266" s="2944"/>
      <c r="V266" s="2944"/>
      <c r="W266" s="2944"/>
      <c r="X266" s="2944"/>
      <c r="Y266" s="2944"/>
      <c r="Z266" s="2944"/>
      <c r="AA266" s="2944"/>
      <c r="AB266" s="2944"/>
      <c r="AC266" s="2934">
        <f t="shared" si="126"/>
        <v>0</v>
      </c>
      <c r="AD266" s="2954"/>
      <c r="AE266" s="2954"/>
      <c r="AF266" s="2954"/>
      <c r="AG266" s="2954"/>
      <c r="AH266" s="2954"/>
      <c r="AI266" s="2954"/>
      <c r="AJ266" s="2954"/>
      <c r="AK266" s="2954"/>
      <c r="AL266" s="2954"/>
      <c r="AM266" s="2954"/>
      <c r="AN266" s="2954"/>
      <c r="AO266" s="2954"/>
      <c r="AP266" s="2954"/>
      <c r="AQ266" s="2954"/>
      <c r="AR266" s="2954"/>
      <c r="AS266" s="2954"/>
      <c r="AT266" s="2935"/>
      <c r="AU266" s="2964"/>
      <c r="AV266" s="857">
        <f t="shared" si="127"/>
        <v>0</v>
      </c>
      <c r="AW266" s="857">
        <f t="shared" si="128"/>
        <v>0</v>
      </c>
      <c r="AX266" s="857">
        <f t="shared" si="129"/>
        <v>0</v>
      </c>
      <c r="AY266" s="807">
        <f t="shared" si="130"/>
        <v>0</v>
      </c>
      <c r="AZ266" s="2934">
        <f t="shared" si="131"/>
        <v>0</v>
      </c>
      <c r="BA266" s="2934">
        <f t="shared" si="132"/>
        <v>0</v>
      </c>
      <c r="BB266" s="2934">
        <f t="shared" si="133"/>
        <v>0</v>
      </c>
      <c r="BC266" s="2934">
        <f t="shared" si="134"/>
        <v>0</v>
      </c>
      <c r="BD266" s="2934">
        <f t="shared" si="135"/>
        <v>0</v>
      </c>
      <c r="BE266" s="2934">
        <f t="shared" si="136"/>
        <v>0</v>
      </c>
      <c r="BF266" s="2934">
        <f t="shared" si="137"/>
        <v>0</v>
      </c>
      <c r="BG266" s="2934">
        <f t="shared" si="138"/>
        <v>0</v>
      </c>
      <c r="BH266" s="2934">
        <f t="shared" si="139"/>
        <v>0</v>
      </c>
      <c r="BI266" s="2934">
        <f t="shared" si="140"/>
        <v>0</v>
      </c>
      <c r="BJ266" s="2934">
        <f t="shared" si="141"/>
        <v>0</v>
      </c>
      <c r="BK266" s="2934">
        <f t="shared" si="142"/>
        <v>0</v>
      </c>
      <c r="BL266" s="2934">
        <f t="shared" si="143"/>
        <v>0</v>
      </c>
      <c r="BM266" s="2934">
        <f t="shared" si="144"/>
        <v>0</v>
      </c>
      <c r="BN266" s="2934">
        <f t="shared" si="145"/>
        <v>0</v>
      </c>
      <c r="BO266" s="2934">
        <f t="shared" si="146"/>
        <v>0</v>
      </c>
      <c r="BP266" s="2934">
        <f t="shared" si="147"/>
        <v>0</v>
      </c>
      <c r="BQ266" s="2934">
        <f t="shared" si="148"/>
        <v>0</v>
      </c>
      <c r="BR266" s="2934">
        <f t="shared" si="149"/>
        <v>0</v>
      </c>
      <c r="BS266" s="2934">
        <f t="shared" si="150"/>
        <v>0</v>
      </c>
      <c r="BT266" s="2982">
        <f t="shared" si="151"/>
        <v>0</v>
      </c>
    </row>
    <row r="267" spans="1:72">
      <c r="A267" s="874"/>
      <c r="B267" s="882"/>
      <c r="C267" s="882"/>
      <c r="D267" s="2933"/>
      <c r="E267" s="2934">
        <f t="shared" si="123"/>
        <v>0</v>
      </c>
      <c r="F267" s="2935"/>
      <c r="G267" s="2936">
        <f t="shared" si="124"/>
        <v>0</v>
      </c>
      <c r="H267" s="2937">
        <f t="shared" si="125"/>
        <v>0</v>
      </c>
      <c r="I267" s="2944"/>
      <c r="J267" s="2944"/>
      <c r="K267" s="2944"/>
      <c r="L267" s="2944"/>
      <c r="M267" s="2944"/>
      <c r="N267" s="2944"/>
      <c r="O267" s="2944"/>
      <c r="P267" s="2944"/>
      <c r="Q267" s="2944"/>
      <c r="R267" s="2944"/>
      <c r="S267" s="2944"/>
      <c r="T267" s="2944"/>
      <c r="U267" s="2944"/>
      <c r="V267" s="2944"/>
      <c r="W267" s="2944"/>
      <c r="X267" s="2944"/>
      <c r="Y267" s="2944"/>
      <c r="Z267" s="2944"/>
      <c r="AA267" s="2944"/>
      <c r="AB267" s="2944"/>
      <c r="AC267" s="2934">
        <f t="shared" si="126"/>
        <v>0</v>
      </c>
      <c r="AD267" s="2954"/>
      <c r="AE267" s="2954"/>
      <c r="AF267" s="2954"/>
      <c r="AG267" s="2954"/>
      <c r="AH267" s="2954"/>
      <c r="AI267" s="2954"/>
      <c r="AJ267" s="2954"/>
      <c r="AK267" s="2954"/>
      <c r="AL267" s="2954"/>
      <c r="AM267" s="2954"/>
      <c r="AN267" s="2954"/>
      <c r="AO267" s="2954"/>
      <c r="AP267" s="2954"/>
      <c r="AQ267" s="2954"/>
      <c r="AR267" s="2954"/>
      <c r="AS267" s="2954"/>
      <c r="AT267" s="2935"/>
      <c r="AU267" s="2964"/>
      <c r="AV267" s="857">
        <f t="shared" si="127"/>
        <v>0</v>
      </c>
      <c r="AW267" s="857">
        <f t="shared" si="128"/>
        <v>0</v>
      </c>
      <c r="AX267" s="857">
        <f t="shared" si="129"/>
        <v>0</v>
      </c>
      <c r="AY267" s="807">
        <f t="shared" si="130"/>
        <v>0</v>
      </c>
      <c r="AZ267" s="2934">
        <f t="shared" si="131"/>
        <v>0</v>
      </c>
      <c r="BA267" s="2934">
        <f t="shared" si="132"/>
        <v>0</v>
      </c>
      <c r="BB267" s="2934">
        <f t="shared" si="133"/>
        <v>0</v>
      </c>
      <c r="BC267" s="2934">
        <f t="shared" si="134"/>
        <v>0</v>
      </c>
      <c r="BD267" s="2934">
        <f t="shared" si="135"/>
        <v>0</v>
      </c>
      <c r="BE267" s="2934">
        <f t="shared" si="136"/>
        <v>0</v>
      </c>
      <c r="BF267" s="2934">
        <f t="shared" si="137"/>
        <v>0</v>
      </c>
      <c r="BG267" s="2934">
        <f t="shared" si="138"/>
        <v>0</v>
      </c>
      <c r="BH267" s="2934">
        <f t="shared" si="139"/>
        <v>0</v>
      </c>
      <c r="BI267" s="2934">
        <f t="shared" si="140"/>
        <v>0</v>
      </c>
      <c r="BJ267" s="2934">
        <f t="shared" si="141"/>
        <v>0</v>
      </c>
      <c r="BK267" s="2934">
        <f t="shared" si="142"/>
        <v>0</v>
      </c>
      <c r="BL267" s="2934">
        <f t="shared" si="143"/>
        <v>0</v>
      </c>
      <c r="BM267" s="2934">
        <f t="shared" si="144"/>
        <v>0</v>
      </c>
      <c r="BN267" s="2934">
        <f t="shared" si="145"/>
        <v>0</v>
      </c>
      <c r="BO267" s="2934">
        <f t="shared" si="146"/>
        <v>0</v>
      </c>
      <c r="BP267" s="2934">
        <f t="shared" si="147"/>
        <v>0</v>
      </c>
      <c r="BQ267" s="2934">
        <f t="shared" si="148"/>
        <v>0</v>
      </c>
      <c r="BR267" s="2934">
        <f t="shared" si="149"/>
        <v>0</v>
      </c>
      <c r="BS267" s="2934">
        <f t="shared" si="150"/>
        <v>0</v>
      </c>
      <c r="BT267" s="2982">
        <f t="shared" si="151"/>
        <v>0</v>
      </c>
    </row>
    <row r="268" spans="1:72">
      <c r="A268" s="874"/>
      <c r="B268" s="882"/>
      <c r="C268" s="882"/>
      <c r="D268" s="2933"/>
      <c r="E268" s="2934">
        <f t="shared" si="123"/>
        <v>0</v>
      </c>
      <c r="F268" s="2935"/>
      <c r="G268" s="2936">
        <f t="shared" si="124"/>
        <v>0</v>
      </c>
      <c r="H268" s="2937">
        <f t="shared" si="125"/>
        <v>0</v>
      </c>
      <c r="I268" s="2944"/>
      <c r="J268" s="2944"/>
      <c r="K268" s="2944"/>
      <c r="L268" s="2944"/>
      <c r="M268" s="2944"/>
      <c r="N268" s="2944"/>
      <c r="O268" s="2944"/>
      <c r="P268" s="2944"/>
      <c r="Q268" s="2944"/>
      <c r="R268" s="2944"/>
      <c r="S268" s="2944"/>
      <c r="T268" s="2944"/>
      <c r="U268" s="2944"/>
      <c r="V268" s="2944"/>
      <c r="W268" s="2944"/>
      <c r="X268" s="2944"/>
      <c r="Y268" s="2944"/>
      <c r="Z268" s="2944"/>
      <c r="AA268" s="2944"/>
      <c r="AB268" s="2944"/>
      <c r="AC268" s="2934">
        <f t="shared" si="126"/>
        <v>0</v>
      </c>
      <c r="AD268" s="2954"/>
      <c r="AE268" s="2954"/>
      <c r="AF268" s="2954"/>
      <c r="AG268" s="2954"/>
      <c r="AH268" s="2954"/>
      <c r="AI268" s="2954"/>
      <c r="AJ268" s="2954"/>
      <c r="AK268" s="2954"/>
      <c r="AL268" s="2954"/>
      <c r="AM268" s="2954"/>
      <c r="AN268" s="2954"/>
      <c r="AO268" s="2954"/>
      <c r="AP268" s="2954"/>
      <c r="AQ268" s="2954"/>
      <c r="AR268" s="2954"/>
      <c r="AS268" s="2954"/>
      <c r="AT268" s="2935"/>
      <c r="AU268" s="2964"/>
      <c r="AV268" s="857">
        <f t="shared" si="127"/>
        <v>0</v>
      </c>
      <c r="AW268" s="857">
        <f t="shared" si="128"/>
        <v>0</v>
      </c>
      <c r="AX268" s="857">
        <f t="shared" si="129"/>
        <v>0</v>
      </c>
      <c r="AY268" s="807">
        <f t="shared" si="130"/>
        <v>0</v>
      </c>
      <c r="AZ268" s="2934">
        <f t="shared" si="131"/>
        <v>0</v>
      </c>
      <c r="BA268" s="2934">
        <f t="shared" si="132"/>
        <v>0</v>
      </c>
      <c r="BB268" s="2934">
        <f t="shared" si="133"/>
        <v>0</v>
      </c>
      <c r="BC268" s="2934">
        <f t="shared" si="134"/>
        <v>0</v>
      </c>
      <c r="BD268" s="2934">
        <f t="shared" si="135"/>
        <v>0</v>
      </c>
      <c r="BE268" s="2934">
        <f t="shared" si="136"/>
        <v>0</v>
      </c>
      <c r="BF268" s="2934">
        <f t="shared" si="137"/>
        <v>0</v>
      </c>
      <c r="BG268" s="2934">
        <f t="shared" si="138"/>
        <v>0</v>
      </c>
      <c r="BH268" s="2934">
        <f t="shared" si="139"/>
        <v>0</v>
      </c>
      <c r="BI268" s="2934">
        <f t="shared" si="140"/>
        <v>0</v>
      </c>
      <c r="BJ268" s="2934">
        <f t="shared" si="141"/>
        <v>0</v>
      </c>
      <c r="BK268" s="2934">
        <f t="shared" si="142"/>
        <v>0</v>
      </c>
      <c r="BL268" s="2934">
        <f t="shared" si="143"/>
        <v>0</v>
      </c>
      <c r="BM268" s="2934">
        <f t="shared" si="144"/>
        <v>0</v>
      </c>
      <c r="BN268" s="2934">
        <f t="shared" si="145"/>
        <v>0</v>
      </c>
      <c r="BO268" s="2934">
        <f t="shared" si="146"/>
        <v>0</v>
      </c>
      <c r="BP268" s="2934">
        <f t="shared" si="147"/>
        <v>0</v>
      </c>
      <c r="BQ268" s="2934">
        <f t="shared" si="148"/>
        <v>0</v>
      </c>
      <c r="BR268" s="2934">
        <f t="shared" si="149"/>
        <v>0</v>
      </c>
      <c r="BS268" s="2934">
        <f t="shared" si="150"/>
        <v>0</v>
      </c>
      <c r="BT268" s="2982">
        <f t="shared" si="151"/>
        <v>0</v>
      </c>
    </row>
    <row r="269" spans="1:72">
      <c r="A269" s="874"/>
      <c r="B269" s="882"/>
      <c r="C269" s="882"/>
      <c r="D269" s="2933"/>
      <c r="E269" s="2934">
        <f t="shared" si="123"/>
        <v>0</v>
      </c>
      <c r="F269" s="2935"/>
      <c r="G269" s="2936">
        <f t="shared" si="124"/>
        <v>0</v>
      </c>
      <c r="H269" s="2937">
        <f t="shared" si="125"/>
        <v>0</v>
      </c>
      <c r="I269" s="2944"/>
      <c r="J269" s="2944"/>
      <c r="K269" s="2944"/>
      <c r="L269" s="2944"/>
      <c r="M269" s="2944"/>
      <c r="N269" s="2944"/>
      <c r="O269" s="2944"/>
      <c r="P269" s="2944"/>
      <c r="Q269" s="2944"/>
      <c r="R269" s="2944"/>
      <c r="S269" s="2944"/>
      <c r="T269" s="2944"/>
      <c r="U269" s="2944"/>
      <c r="V269" s="2944"/>
      <c r="W269" s="2944"/>
      <c r="X269" s="2944"/>
      <c r="Y269" s="2944"/>
      <c r="Z269" s="2944"/>
      <c r="AA269" s="2944"/>
      <c r="AB269" s="2944"/>
      <c r="AC269" s="2934">
        <f t="shared" si="126"/>
        <v>0</v>
      </c>
      <c r="AD269" s="2954"/>
      <c r="AE269" s="2954"/>
      <c r="AF269" s="2954"/>
      <c r="AG269" s="2954"/>
      <c r="AH269" s="2954"/>
      <c r="AI269" s="2954"/>
      <c r="AJ269" s="2954"/>
      <c r="AK269" s="2954"/>
      <c r="AL269" s="2954"/>
      <c r="AM269" s="2954"/>
      <c r="AN269" s="2954"/>
      <c r="AO269" s="2954"/>
      <c r="AP269" s="2954"/>
      <c r="AQ269" s="2954"/>
      <c r="AR269" s="2954"/>
      <c r="AS269" s="2954"/>
      <c r="AT269" s="2935"/>
      <c r="AU269" s="2964"/>
      <c r="AV269" s="857">
        <f t="shared" si="127"/>
        <v>0</v>
      </c>
      <c r="AW269" s="857">
        <f t="shared" si="128"/>
        <v>0</v>
      </c>
      <c r="AX269" s="857">
        <f t="shared" si="129"/>
        <v>0</v>
      </c>
      <c r="AY269" s="807">
        <f t="shared" si="130"/>
        <v>0</v>
      </c>
      <c r="AZ269" s="2934">
        <f t="shared" si="131"/>
        <v>0</v>
      </c>
      <c r="BA269" s="2934">
        <f t="shared" si="132"/>
        <v>0</v>
      </c>
      <c r="BB269" s="2934">
        <f t="shared" si="133"/>
        <v>0</v>
      </c>
      <c r="BC269" s="2934">
        <f t="shared" si="134"/>
        <v>0</v>
      </c>
      <c r="BD269" s="2934">
        <f t="shared" si="135"/>
        <v>0</v>
      </c>
      <c r="BE269" s="2934">
        <f t="shared" si="136"/>
        <v>0</v>
      </c>
      <c r="BF269" s="2934">
        <f t="shared" si="137"/>
        <v>0</v>
      </c>
      <c r="BG269" s="2934">
        <f t="shared" si="138"/>
        <v>0</v>
      </c>
      <c r="BH269" s="2934">
        <f t="shared" si="139"/>
        <v>0</v>
      </c>
      <c r="BI269" s="2934">
        <f t="shared" si="140"/>
        <v>0</v>
      </c>
      <c r="BJ269" s="2934">
        <f t="shared" si="141"/>
        <v>0</v>
      </c>
      <c r="BK269" s="2934">
        <f t="shared" si="142"/>
        <v>0</v>
      </c>
      <c r="BL269" s="2934">
        <f t="shared" si="143"/>
        <v>0</v>
      </c>
      <c r="BM269" s="2934">
        <f t="shared" si="144"/>
        <v>0</v>
      </c>
      <c r="BN269" s="2934">
        <f t="shared" si="145"/>
        <v>0</v>
      </c>
      <c r="BO269" s="2934">
        <f t="shared" si="146"/>
        <v>0</v>
      </c>
      <c r="BP269" s="2934">
        <f t="shared" si="147"/>
        <v>0</v>
      </c>
      <c r="BQ269" s="2934">
        <f t="shared" si="148"/>
        <v>0</v>
      </c>
      <c r="BR269" s="2934">
        <f t="shared" si="149"/>
        <v>0</v>
      </c>
      <c r="BS269" s="2934">
        <f t="shared" si="150"/>
        <v>0</v>
      </c>
      <c r="BT269" s="2982">
        <f t="shared" si="151"/>
        <v>0</v>
      </c>
    </row>
    <row r="270" spans="1:72">
      <c r="A270" s="874"/>
      <c r="B270" s="882"/>
      <c r="C270" s="882"/>
      <c r="D270" s="2933"/>
      <c r="E270" s="2934">
        <f t="shared" si="123"/>
        <v>0</v>
      </c>
      <c r="F270" s="2935"/>
      <c r="G270" s="2936">
        <f t="shared" si="124"/>
        <v>0</v>
      </c>
      <c r="H270" s="2937">
        <f t="shared" si="125"/>
        <v>0</v>
      </c>
      <c r="I270" s="2944"/>
      <c r="J270" s="2944"/>
      <c r="K270" s="2944"/>
      <c r="L270" s="2944"/>
      <c r="M270" s="2944"/>
      <c r="N270" s="2944"/>
      <c r="O270" s="2944"/>
      <c r="P270" s="2944"/>
      <c r="Q270" s="2944"/>
      <c r="R270" s="2944"/>
      <c r="S270" s="2944"/>
      <c r="T270" s="2944"/>
      <c r="U270" s="2944"/>
      <c r="V270" s="2944"/>
      <c r="W270" s="2944"/>
      <c r="X270" s="2944"/>
      <c r="Y270" s="2944"/>
      <c r="Z270" s="2944"/>
      <c r="AA270" s="2944"/>
      <c r="AB270" s="2944"/>
      <c r="AC270" s="2934">
        <f t="shared" si="126"/>
        <v>0</v>
      </c>
      <c r="AD270" s="2954"/>
      <c r="AE270" s="2954"/>
      <c r="AF270" s="2954"/>
      <c r="AG270" s="2954"/>
      <c r="AH270" s="2954"/>
      <c r="AI270" s="2954"/>
      <c r="AJ270" s="2954"/>
      <c r="AK270" s="2954"/>
      <c r="AL270" s="2954"/>
      <c r="AM270" s="2954"/>
      <c r="AN270" s="2954"/>
      <c r="AO270" s="2954"/>
      <c r="AP270" s="2954"/>
      <c r="AQ270" s="2954"/>
      <c r="AR270" s="2954"/>
      <c r="AS270" s="2954"/>
      <c r="AT270" s="2935"/>
      <c r="AU270" s="2964"/>
      <c r="AV270" s="857">
        <f t="shared" si="127"/>
        <v>0</v>
      </c>
      <c r="AW270" s="857">
        <f t="shared" si="128"/>
        <v>0</v>
      </c>
      <c r="AX270" s="857">
        <f t="shared" si="129"/>
        <v>0</v>
      </c>
      <c r="AY270" s="807">
        <f t="shared" si="130"/>
        <v>0</v>
      </c>
      <c r="AZ270" s="2934">
        <f t="shared" si="131"/>
        <v>0</v>
      </c>
      <c r="BA270" s="2934">
        <f t="shared" si="132"/>
        <v>0</v>
      </c>
      <c r="BB270" s="2934">
        <f t="shared" si="133"/>
        <v>0</v>
      </c>
      <c r="BC270" s="2934">
        <f t="shared" si="134"/>
        <v>0</v>
      </c>
      <c r="BD270" s="2934">
        <f t="shared" si="135"/>
        <v>0</v>
      </c>
      <c r="BE270" s="2934">
        <f t="shared" si="136"/>
        <v>0</v>
      </c>
      <c r="BF270" s="2934">
        <f t="shared" si="137"/>
        <v>0</v>
      </c>
      <c r="BG270" s="2934">
        <f t="shared" si="138"/>
        <v>0</v>
      </c>
      <c r="BH270" s="2934">
        <f t="shared" si="139"/>
        <v>0</v>
      </c>
      <c r="BI270" s="2934">
        <f t="shared" si="140"/>
        <v>0</v>
      </c>
      <c r="BJ270" s="2934">
        <f t="shared" si="141"/>
        <v>0</v>
      </c>
      <c r="BK270" s="2934">
        <f t="shared" si="142"/>
        <v>0</v>
      </c>
      <c r="BL270" s="2934">
        <f t="shared" si="143"/>
        <v>0</v>
      </c>
      <c r="BM270" s="2934">
        <f t="shared" si="144"/>
        <v>0</v>
      </c>
      <c r="BN270" s="2934">
        <f t="shared" si="145"/>
        <v>0</v>
      </c>
      <c r="BO270" s="2934">
        <f t="shared" si="146"/>
        <v>0</v>
      </c>
      <c r="BP270" s="2934">
        <f t="shared" si="147"/>
        <v>0</v>
      </c>
      <c r="BQ270" s="2934">
        <f t="shared" si="148"/>
        <v>0</v>
      </c>
      <c r="BR270" s="2934">
        <f t="shared" si="149"/>
        <v>0</v>
      </c>
      <c r="BS270" s="2934">
        <f t="shared" si="150"/>
        <v>0</v>
      </c>
      <c r="BT270" s="2982">
        <f t="shared" si="151"/>
        <v>0</v>
      </c>
    </row>
    <row r="271" spans="1:72">
      <c r="A271" s="874"/>
      <c r="B271" s="882"/>
      <c r="C271" s="882"/>
      <c r="D271" s="2933"/>
      <c r="E271" s="2934">
        <f t="shared" si="123"/>
        <v>0</v>
      </c>
      <c r="F271" s="2935"/>
      <c r="G271" s="2936">
        <f t="shared" si="124"/>
        <v>0</v>
      </c>
      <c r="H271" s="2937">
        <f t="shared" si="125"/>
        <v>0</v>
      </c>
      <c r="I271" s="2944"/>
      <c r="J271" s="2944"/>
      <c r="K271" s="2944"/>
      <c r="L271" s="2944"/>
      <c r="M271" s="2944"/>
      <c r="N271" s="2944"/>
      <c r="O271" s="2944"/>
      <c r="P271" s="2944"/>
      <c r="Q271" s="2944"/>
      <c r="R271" s="2944"/>
      <c r="S271" s="2944"/>
      <c r="T271" s="2944"/>
      <c r="U271" s="2944"/>
      <c r="V271" s="2944"/>
      <c r="W271" s="2944"/>
      <c r="X271" s="2944"/>
      <c r="Y271" s="2944"/>
      <c r="Z271" s="2944"/>
      <c r="AA271" s="2944"/>
      <c r="AB271" s="2944"/>
      <c r="AC271" s="2934">
        <f t="shared" si="126"/>
        <v>0</v>
      </c>
      <c r="AD271" s="2954"/>
      <c r="AE271" s="2954"/>
      <c r="AF271" s="2954"/>
      <c r="AG271" s="2954"/>
      <c r="AH271" s="2954"/>
      <c r="AI271" s="2954"/>
      <c r="AJ271" s="2954"/>
      <c r="AK271" s="2954"/>
      <c r="AL271" s="2954"/>
      <c r="AM271" s="2954"/>
      <c r="AN271" s="2954"/>
      <c r="AO271" s="2954"/>
      <c r="AP271" s="2954"/>
      <c r="AQ271" s="2954"/>
      <c r="AR271" s="2954"/>
      <c r="AS271" s="2954"/>
      <c r="AT271" s="2935"/>
      <c r="AU271" s="2964"/>
      <c r="AV271" s="857">
        <f t="shared" si="127"/>
        <v>0</v>
      </c>
      <c r="AW271" s="857">
        <f t="shared" si="128"/>
        <v>0</v>
      </c>
      <c r="AX271" s="857">
        <f t="shared" si="129"/>
        <v>0</v>
      </c>
      <c r="AY271" s="807">
        <f t="shared" si="130"/>
        <v>0</v>
      </c>
      <c r="AZ271" s="2934">
        <f t="shared" si="131"/>
        <v>0</v>
      </c>
      <c r="BA271" s="2934">
        <f t="shared" si="132"/>
        <v>0</v>
      </c>
      <c r="BB271" s="2934">
        <f t="shared" si="133"/>
        <v>0</v>
      </c>
      <c r="BC271" s="2934">
        <f t="shared" si="134"/>
        <v>0</v>
      </c>
      <c r="BD271" s="2934">
        <f t="shared" si="135"/>
        <v>0</v>
      </c>
      <c r="BE271" s="2934">
        <f t="shared" si="136"/>
        <v>0</v>
      </c>
      <c r="BF271" s="2934">
        <f t="shared" si="137"/>
        <v>0</v>
      </c>
      <c r="BG271" s="2934">
        <f t="shared" si="138"/>
        <v>0</v>
      </c>
      <c r="BH271" s="2934">
        <f t="shared" si="139"/>
        <v>0</v>
      </c>
      <c r="BI271" s="2934">
        <f t="shared" si="140"/>
        <v>0</v>
      </c>
      <c r="BJ271" s="2934">
        <f t="shared" si="141"/>
        <v>0</v>
      </c>
      <c r="BK271" s="2934">
        <f t="shared" si="142"/>
        <v>0</v>
      </c>
      <c r="BL271" s="2934">
        <f t="shared" si="143"/>
        <v>0</v>
      </c>
      <c r="BM271" s="2934">
        <f t="shared" si="144"/>
        <v>0</v>
      </c>
      <c r="BN271" s="2934">
        <f t="shared" si="145"/>
        <v>0</v>
      </c>
      <c r="BO271" s="2934">
        <f t="shared" si="146"/>
        <v>0</v>
      </c>
      <c r="BP271" s="2934">
        <f t="shared" si="147"/>
        <v>0</v>
      </c>
      <c r="BQ271" s="2934">
        <f t="shared" si="148"/>
        <v>0</v>
      </c>
      <c r="BR271" s="2934">
        <f t="shared" si="149"/>
        <v>0</v>
      </c>
      <c r="BS271" s="2934">
        <f t="shared" si="150"/>
        <v>0</v>
      </c>
      <c r="BT271" s="2982">
        <f t="shared" si="151"/>
        <v>0</v>
      </c>
    </row>
    <row r="272" spans="1:72">
      <c r="A272" s="874"/>
      <c r="B272" s="882"/>
      <c r="C272" s="882"/>
      <c r="D272" s="2933"/>
      <c r="E272" s="2934">
        <f t="shared" si="123"/>
        <v>0</v>
      </c>
      <c r="F272" s="2935"/>
      <c r="G272" s="2936">
        <f t="shared" si="124"/>
        <v>0</v>
      </c>
      <c r="H272" s="2937">
        <f t="shared" si="125"/>
        <v>0</v>
      </c>
      <c r="I272" s="2944"/>
      <c r="J272" s="2944"/>
      <c r="K272" s="2944"/>
      <c r="L272" s="2944"/>
      <c r="M272" s="2944"/>
      <c r="N272" s="2944"/>
      <c r="O272" s="2944"/>
      <c r="P272" s="2944"/>
      <c r="Q272" s="2944"/>
      <c r="R272" s="2944"/>
      <c r="S272" s="2944"/>
      <c r="T272" s="2944"/>
      <c r="U272" s="2944"/>
      <c r="V272" s="2944"/>
      <c r="W272" s="2944"/>
      <c r="X272" s="2944"/>
      <c r="Y272" s="2944"/>
      <c r="Z272" s="2944"/>
      <c r="AA272" s="2944"/>
      <c r="AB272" s="2944"/>
      <c r="AC272" s="2934">
        <f t="shared" si="126"/>
        <v>0</v>
      </c>
      <c r="AD272" s="2954"/>
      <c r="AE272" s="2954"/>
      <c r="AF272" s="2954"/>
      <c r="AG272" s="2954"/>
      <c r="AH272" s="2954"/>
      <c r="AI272" s="2954"/>
      <c r="AJ272" s="2954"/>
      <c r="AK272" s="2954"/>
      <c r="AL272" s="2954"/>
      <c r="AM272" s="2954"/>
      <c r="AN272" s="2954"/>
      <c r="AO272" s="2954"/>
      <c r="AP272" s="2954"/>
      <c r="AQ272" s="2954"/>
      <c r="AR272" s="2954"/>
      <c r="AS272" s="2954"/>
      <c r="AT272" s="2935"/>
      <c r="AU272" s="2964"/>
      <c r="AV272" s="857">
        <f t="shared" si="127"/>
        <v>0</v>
      </c>
      <c r="AW272" s="857">
        <f t="shared" si="128"/>
        <v>0</v>
      </c>
      <c r="AX272" s="857">
        <f t="shared" si="129"/>
        <v>0</v>
      </c>
      <c r="AY272" s="807">
        <f t="shared" si="130"/>
        <v>0</v>
      </c>
      <c r="AZ272" s="2934">
        <f t="shared" si="131"/>
        <v>0</v>
      </c>
      <c r="BA272" s="2934">
        <f t="shared" si="132"/>
        <v>0</v>
      </c>
      <c r="BB272" s="2934">
        <f t="shared" si="133"/>
        <v>0</v>
      </c>
      <c r="BC272" s="2934">
        <f t="shared" si="134"/>
        <v>0</v>
      </c>
      <c r="BD272" s="2934">
        <f t="shared" si="135"/>
        <v>0</v>
      </c>
      <c r="BE272" s="2934">
        <f t="shared" si="136"/>
        <v>0</v>
      </c>
      <c r="BF272" s="2934">
        <f t="shared" si="137"/>
        <v>0</v>
      </c>
      <c r="BG272" s="2934">
        <f t="shared" si="138"/>
        <v>0</v>
      </c>
      <c r="BH272" s="2934">
        <f t="shared" si="139"/>
        <v>0</v>
      </c>
      <c r="BI272" s="2934">
        <f t="shared" si="140"/>
        <v>0</v>
      </c>
      <c r="BJ272" s="2934">
        <f t="shared" si="141"/>
        <v>0</v>
      </c>
      <c r="BK272" s="2934">
        <f t="shared" si="142"/>
        <v>0</v>
      </c>
      <c r="BL272" s="2934">
        <f t="shared" si="143"/>
        <v>0</v>
      </c>
      <c r="BM272" s="2934">
        <f t="shared" si="144"/>
        <v>0</v>
      </c>
      <c r="BN272" s="2934">
        <f t="shared" si="145"/>
        <v>0</v>
      </c>
      <c r="BO272" s="2934">
        <f t="shared" si="146"/>
        <v>0</v>
      </c>
      <c r="BP272" s="2934">
        <f t="shared" si="147"/>
        <v>0</v>
      </c>
      <c r="BQ272" s="2934">
        <f t="shared" si="148"/>
        <v>0</v>
      </c>
      <c r="BR272" s="2934">
        <f t="shared" si="149"/>
        <v>0</v>
      </c>
      <c r="BS272" s="2934">
        <f t="shared" si="150"/>
        <v>0</v>
      </c>
      <c r="BT272" s="2982">
        <f t="shared" si="151"/>
        <v>0</v>
      </c>
    </row>
    <row r="273" spans="1:72">
      <c r="A273" s="874"/>
      <c r="B273" s="882"/>
      <c r="C273" s="882"/>
      <c r="D273" s="2933"/>
      <c r="E273" s="2934">
        <f t="shared" si="123"/>
        <v>0</v>
      </c>
      <c r="F273" s="2935"/>
      <c r="G273" s="2936">
        <f t="shared" si="124"/>
        <v>0</v>
      </c>
      <c r="H273" s="2937">
        <f t="shared" si="125"/>
        <v>0</v>
      </c>
      <c r="I273" s="2944"/>
      <c r="J273" s="2944"/>
      <c r="K273" s="2944"/>
      <c r="L273" s="2944"/>
      <c r="M273" s="2944"/>
      <c r="N273" s="2944"/>
      <c r="O273" s="2944"/>
      <c r="P273" s="2944"/>
      <c r="Q273" s="2944"/>
      <c r="R273" s="2944"/>
      <c r="S273" s="2944"/>
      <c r="T273" s="2944"/>
      <c r="U273" s="2944"/>
      <c r="V273" s="2944"/>
      <c r="W273" s="2944"/>
      <c r="X273" s="2944"/>
      <c r="Y273" s="2944"/>
      <c r="Z273" s="2944"/>
      <c r="AA273" s="2944"/>
      <c r="AB273" s="2944"/>
      <c r="AC273" s="2934">
        <f t="shared" si="126"/>
        <v>0</v>
      </c>
      <c r="AD273" s="2954"/>
      <c r="AE273" s="2954"/>
      <c r="AF273" s="2954"/>
      <c r="AG273" s="2954"/>
      <c r="AH273" s="2954"/>
      <c r="AI273" s="2954"/>
      <c r="AJ273" s="2954"/>
      <c r="AK273" s="2954"/>
      <c r="AL273" s="2954"/>
      <c r="AM273" s="2954"/>
      <c r="AN273" s="2954"/>
      <c r="AO273" s="2954"/>
      <c r="AP273" s="2954"/>
      <c r="AQ273" s="2954"/>
      <c r="AR273" s="2954"/>
      <c r="AS273" s="2954"/>
      <c r="AT273" s="2935"/>
      <c r="AU273" s="2964"/>
      <c r="AV273" s="857">
        <f t="shared" si="127"/>
        <v>0</v>
      </c>
      <c r="AW273" s="857">
        <f t="shared" si="128"/>
        <v>0</v>
      </c>
      <c r="AX273" s="857">
        <f t="shared" si="129"/>
        <v>0</v>
      </c>
      <c r="AY273" s="807">
        <f t="shared" si="130"/>
        <v>0</v>
      </c>
      <c r="AZ273" s="2934">
        <f t="shared" si="131"/>
        <v>0</v>
      </c>
      <c r="BA273" s="2934">
        <f t="shared" si="132"/>
        <v>0</v>
      </c>
      <c r="BB273" s="2934">
        <f t="shared" si="133"/>
        <v>0</v>
      </c>
      <c r="BC273" s="2934">
        <f t="shared" si="134"/>
        <v>0</v>
      </c>
      <c r="BD273" s="2934">
        <f t="shared" si="135"/>
        <v>0</v>
      </c>
      <c r="BE273" s="2934">
        <f t="shared" si="136"/>
        <v>0</v>
      </c>
      <c r="BF273" s="2934">
        <f t="shared" si="137"/>
        <v>0</v>
      </c>
      <c r="BG273" s="2934">
        <f t="shared" si="138"/>
        <v>0</v>
      </c>
      <c r="BH273" s="2934">
        <f t="shared" si="139"/>
        <v>0</v>
      </c>
      <c r="BI273" s="2934">
        <f t="shared" si="140"/>
        <v>0</v>
      </c>
      <c r="BJ273" s="2934">
        <f t="shared" si="141"/>
        <v>0</v>
      </c>
      <c r="BK273" s="2934">
        <f t="shared" si="142"/>
        <v>0</v>
      </c>
      <c r="BL273" s="2934">
        <f t="shared" si="143"/>
        <v>0</v>
      </c>
      <c r="BM273" s="2934">
        <f t="shared" si="144"/>
        <v>0</v>
      </c>
      <c r="BN273" s="2934">
        <f t="shared" si="145"/>
        <v>0</v>
      </c>
      <c r="BO273" s="2934">
        <f t="shared" si="146"/>
        <v>0</v>
      </c>
      <c r="BP273" s="2934">
        <f t="shared" si="147"/>
        <v>0</v>
      </c>
      <c r="BQ273" s="2934">
        <f t="shared" si="148"/>
        <v>0</v>
      </c>
      <c r="BR273" s="2934">
        <f t="shared" si="149"/>
        <v>0</v>
      </c>
      <c r="BS273" s="2934">
        <f t="shared" si="150"/>
        <v>0</v>
      </c>
      <c r="BT273" s="2982">
        <f t="shared" si="151"/>
        <v>0</v>
      </c>
    </row>
    <row r="274" spans="1:72">
      <c r="A274" s="874"/>
      <c r="B274" s="882"/>
      <c r="C274" s="882"/>
      <c r="D274" s="2933"/>
      <c r="E274" s="2934">
        <f t="shared" si="123"/>
        <v>0</v>
      </c>
      <c r="F274" s="2935"/>
      <c r="G274" s="2936">
        <f t="shared" si="124"/>
        <v>0</v>
      </c>
      <c r="H274" s="2937">
        <f t="shared" si="125"/>
        <v>0</v>
      </c>
      <c r="I274" s="2944"/>
      <c r="J274" s="2944"/>
      <c r="K274" s="2944"/>
      <c r="L274" s="2944"/>
      <c r="M274" s="2944"/>
      <c r="N274" s="2944"/>
      <c r="O274" s="2944"/>
      <c r="P274" s="2944"/>
      <c r="Q274" s="2944"/>
      <c r="R274" s="2944"/>
      <c r="S274" s="2944"/>
      <c r="T274" s="2944"/>
      <c r="U274" s="2944"/>
      <c r="V274" s="2944"/>
      <c r="W274" s="2944"/>
      <c r="X274" s="2944"/>
      <c r="Y274" s="2944"/>
      <c r="Z274" s="2944"/>
      <c r="AA274" s="2944"/>
      <c r="AB274" s="2944"/>
      <c r="AC274" s="2934">
        <f t="shared" si="126"/>
        <v>0</v>
      </c>
      <c r="AD274" s="2954"/>
      <c r="AE274" s="2954"/>
      <c r="AF274" s="2954"/>
      <c r="AG274" s="2954"/>
      <c r="AH274" s="2954"/>
      <c r="AI274" s="2954"/>
      <c r="AJ274" s="2954"/>
      <c r="AK274" s="2954"/>
      <c r="AL274" s="2954"/>
      <c r="AM274" s="2954"/>
      <c r="AN274" s="2954"/>
      <c r="AO274" s="2954"/>
      <c r="AP274" s="2954"/>
      <c r="AQ274" s="2954"/>
      <c r="AR274" s="2954"/>
      <c r="AS274" s="2954"/>
      <c r="AT274" s="2935"/>
      <c r="AU274" s="2964"/>
      <c r="AV274" s="857">
        <f t="shared" si="127"/>
        <v>0</v>
      </c>
      <c r="AW274" s="857">
        <f t="shared" si="128"/>
        <v>0</v>
      </c>
      <c r="AX274" s="857">
        <f t="shared" si="129"/>
        <v>0</v>
      </c>
      <c r="AY274" s="807">
        <f t="shared" si="130"/>
        <v>0</v>
      </c>
      <c r="AZ274" s="2934">
        <f t="shared" si="131"/>
        <v>0</v>
      </c>
      <c r="BA274" s="2934">
        <f t="shared" si="132"/>
        <v>0</v>
      </c>
      <c r="BB274" s="2934">
        <f t="shared" si="133"/>
        <v>0</v>
      </c>
      <c r="BC274" s="2934">
        <f t="shared" si="134"/>
        <v>0</v>
      </c>
      <c r="BD274" s="2934">
        <f t="shared" si="135"/>
        <v>0</v>
      </c>
      <c r="BE274" s="2934">
        <f t="shared" si="136"/>
        <v>0</v>
      </c>
      <c r="BF274" s="2934">
        <f t="shared" si="137"/>
        <v>0</v>
      </c>
      <c r="BG274" s="2934">
        <f t="shared" si="138"/>
        <v>0</v>
      </c>
      <c r="BH274" s="2934">
        <f t="shared" si="139"/>
        <v>0</v>
      </c>
      <c r="BI274" s="2934">
        <f t="shared" si="140"/>
        <v>0</v>
      </c>
      <c r="BJ274" s="2934">
        <f t="shared" si="141"/>
        <v>0</v>
      </c>
      <c r="BK274" s="2934">
        <f t="shared" si="142"/>
        <v>0</v>
      </c>
      <c r="BL274" s="2934">
        <f t="shared" si="143"/>
        <v>0</v>
      </c>
      <c r="BM274" s="2934">
        <f t="shared" si="144"/>
        <v>0</v>
      </c>
      <c r="BN274" s="2934">
        <f t="shared" si="145"/>
        <v>0</v>
      </c>
      <c r="BO274" s="2934">
        <f t="shared" si="146"/>
        <v>0</v>
      </c>
      <c r="BP274" s="2934">
        <f t="shared" si="147"/>
        <v>0</v>
      </c>
      <c r="BQ274" s="2934">
        <f t="shared" si="148"/>
        <v>0</v>
      </c>
      <c r="BR274" s="2934">
        <f t="shared" si="149"/>
        <v>0</v>
      </c>
      <c r="BS274" s="2934">
        <f t="shared" si="150"/>
        <v>0</v>
      </c>
      <c r="BT274" s="2982">
        <f t="shared" si="151"/>
        <v>0</v>
      </c>
    </row>
    <row r="275" spans="1:72">
      <c r="A275" s="874"/>
      <c r="B275" s="882"/>
      <c r="C275" s="882"/>
      <c r="D275" s="2933"/>
      <c r="E275" s="2934">
        <f t="shared" si="123"/>
        <v>0</v>
      </c>
      <c r="F275" s="2935"/>
      <c r="G275" s="2936">
        <f t="shared" si="124"/>
        <v>0</v>
      </c>
      <c r="H275" s="2937">
        <f t="shared" si="125"/>
        <v>0</v>
      </c>
      <c r="I275" s="2944"/>
      <c r="J275" s="2944"/>
      <c r="K275" s="2944"/>
      <c r="L275" s="2944"/>
      <c r="M275" s="2944"/>
      <c r="N275" s="2944"/>
      <c r="O275" s="2944"/>
      <c r="P275" s="2944"/>
      <c r="Q275" s="2944"/>
      <c r="R275" s="2944"/>
      <c r="S275" s="2944"/>
      <c r="T275" s="2944"/>
      <c r="U275" s="2944"/>
      <c r="V275" s="2944"/>
      <c r="W275" s="2944"/>
      <c r="X275" s="2944"/>
      <c r="Y275" s="2944"/>
      <c r="Z275" s="2944"/>
      <c r="AA275" s="2944"/>
      <c r="AB275" s="2944"/>
      <c r="AC275" s="2934">
        <f t="shared" si="126"/>
        <v>0</v>
      </c>
      <c r="AD275" s="2954"/>
      <c r="AE275" s="2954"/>
      <c r="AF275" s="2954"/>
      <c r="AG275" s="2954"/>
      <c r="AH275" s="2954"/>
      <c r="AI275" s="2954"/>
      <c r="AJ275" s="2954"/>
      <c r="AK275" s="2954"/>
      <c r="AL275" s="2954"/>
      <c r="AM275" s="2954"/>
      <c r="AN275" s="2954"/>
      <c r="AO275" s="2954"/>
      <c r="AP275" s="2954"/>
      <c r="AQ275" s="2954"/>
      <c r="AR275" s="2954"/>
      <c r="AS275" s="2954"/>
      <c r="AT275" s="2935"/>
      <c r="AU275" s="2964"/>
      <c r="AV275" s="857">
        <f t="shared" si="127"/>
        <v>0</v>
      </c>
      <c r="AW275" s="857">
        <f t="shared" si="128"/>
        <v>0</v>
      </c>
      <c r="AX275" s="857">
        <f t="shared" si="129"/>
        <v>0</v>
      </c>
      <c r="AY275" s="807">
        <f t="shared" si="130"/>
        <v>0</v>
      </c>
      <c r="AZ275" s="2934">
        <f t="shared" si="131"/>
        <v>0</v>
      </c>
      <c r="BA275" s="2934">
        <f t="shared" si="132"/>
        <v>0</v>
      </c>
      <c r="BB275" s="2934">
        <f t="shared" si="133"/>
        <v>0</v>
      </c>
      <c r="BC275" s="2934">
        <f t="shared" si="134"/>
        <v>0</v>
      </c>
      <c r="BD275" s="2934">
        <f t="shared" si="135"/>
        <v>0</v>
      </c>
      <c r="BE275" s="2934">
        <f t="shared" si="136"/>
        <v>0</v>
      </c>
      <c r="BF275" s="2934">
        <f t="shared" si="137"/>
        <v>0</v>
      </c>
      <c r="BG275" s="2934">
        <f t="shared" si="138"/>
        <v>0</v>
      </c>
      <c r="BH275" s="2934">
        <f t="shared" si="139"/>
        <v>0</v>
      </c>
      <c r="BI275" s="2934">
        <f t="shared" si="140"/>
        <v>0</v>
      </c>
      <c r="BJ275" s="2934">
        <f t="shared" si="141"/>
        <v>0</v>
      </c>
      <c r="BK275" s="2934">
        <f t="shared" si="142"/>
        <v>0</v>
      </c>
      <c r="BL275" s="2934">
        <f t="shared" si="143"/>
        <v>0</v>
      </c>
      <c r="BM275" s="2934">
        <f t="shared" si="144"/>
        <v>0</v>
      </c>
      <c r="BN275" s="2934">
        <f t="shared" si="145"/>
        <v>0</v>
      </c>
      <c r="BO275" s="2934">
        <f t="shared" si="146"/>
        <v>0</v>
      </c>
      <c r="BP275" s="2934">
        <f t="shared" si="147"/>
        <v>0</v>
      </c>
      <c r="BQ275" s="2934">
        <f t="shared" si="148"/>
        <v>0</v>
      </c>
      <c r="BR275" s="2934">
        <f t="shared" si="149"/>
        <v>0</v>
      </c>
      <c r="BS275" s="2934">
        <f t="shared" si="150"/>
        <v>0</v>
      </c>
      <c r="BT275" s="2982">
        <f t="shared" si="151"/>
        <v>0</v>
      </c>
    </row>
    <row r="276" spans="1:72">
      <c r="A276" s="874"/>
      <c r="B276" s="882"/>
      <c r="C276" s="882"/>
      <c r="D276" s="2933"/>
      <c r="E276" s="2934">
        <f t="shared" si="123"/>
        <v>0</v>
      </c>
      <c r="F276" s="2935"/>
      <c r="G276" s="2936">
        <f t="shared" si="124"/>
        <v>0</v>
      </c>
      <c r="H276" s="2937">
        <f t="shared" si="125"/>
        <v>0</v>
      </c>
      <c r="I276" s="2944"/>
      <c r="J276" s="2944"/>
      <c r="K276" s="2944"/>
      <c r="L276" s="2944"/>
      <c r="M276" s="2944"/>
      <c r="N276" s="2944"/>
      <c r="O276" s="2944"/>
      <c r="P276" s="2944"/>
      <c r="Q276" s="2944"/>
      <c r="R276" s="2944"/>
      <c r="S276" s="2944"/>
      <c r="T276" s="2944"/>
      <c r="U276" s="2944"/>
      <c r="V276" s="2944"/>
      <c r="W276" s="2944"/>
      <c r="X276" s="2944"/>
      <c r="Y276" s="2944"/>
      <c r="Z276" s="2944"/>
      <c r="AA276" s="2944"/>
      <c r="AB276" s="2944"/>
      <c r="AC276" s="2934">
        <f t="shared" si="126"/>
        <v>0</v>
      </c>
      <c r="AD276" s="2954"/>
      <c r="AE276" s="2954"/>
      <c r="AF276" s="2954"/>
      <c r="AG276" s="2954"/>
      <c r="AH276" s="2954"/>
      <c r="AI276" s="2954"/>
      <c r="AJ276" s="2954"/>
      <c r="AK276" s="2954"/>
      <c r="AL276" s="2954"/>
      <c r="AM276" s="2954"/>
      <c r="AN276" s="2954"/>
      <c r="AO276" s="2954"/>
      <c r="AP276" s="2954"/>
      <c r="AQ276" s="2954"/>
      <c r="AR276" s="2954"/>
      <c r="AS276" s="2954"/>
      <c r="AT276" s="2935"/>
      <c r="AU276" s="2964"/>
      <c r="AV276" s="857">
        <f t="shared" si="127"/>
        <v>0</v>
      </c>
      <c r="AW276" s="857">
        <f t="shared" si="128"/>
        <v>0</v>
      </c>
      <c r="AX276" s="857">
        <f t="shared" si="129"/>
        <v>0</v>
      </c>
      <c r="AY276" s="807">
        <f t="shared" si="130"/>
        <v>0</v>
      </c>
      <c r="AZ276" s="2934">
        <f t="shared" si="131"/>
        <v>0</v>
      </c>
      <c r="BA276" s="2934">
        <f t="shared" si="132"/>
        <v>0</v>
      </c>
      <c r="BB276" s="2934">
        <f t="shared" si="133"/>
        <v>0</v>
      </c>
      <c r="BC276" s="2934">
        <f t="shared" si="134"/>
        <v>0</v>
      </c>
      <c r="BD276" s="2934">
        <f t="shared" si="135"/>
        <v>0</v>
      </c>
      <c r="BE276" s="2934">
        <f t="shared" si="136"/>
        <v>0</v>
      </c>
      <c r="BF276" s="2934">
        <f t="shared" si="137"/>
        <v>0</v>
      </c>
      <c r="BG276" s="2934">
        <f t="shared" si="138"/>
        <v>0</v>
      </c>
      <c r="BH276" s="2934">
        <f t="shared" si="139"/>
        <v>0</v>
      </c>
      <c r="BI276" s="2934">
        <f t="shared" si="140"/>
        <v>0</v>
      </c>
      <c r="BJ276" s="2934">
        <f t="shared" si="141"/>
        <v>0</v>
      </c>
      <c r="BK276" s="2934">
        <f t="shared" si="142"/>
        <v>0</v>
      </c>
      <c r="BL276" s="2934">
        <f t="shared" si="143"/>
        <v>0</v>
      </c>
      <c r="BM276" s="2934">
        <f t="shared" si="144"/>
        <v>0</v>
      </c>
      <c r="BN276" s="2934">
        <f t="shared" si="145"/>
        <v>0</v>
      </c>
      <c r="BO276" s="2934">
        <f t="shared" si="146"/>
        <v>0</v>
      </c>
      <c r="BP276" s="2934">
        <f t="shared" si="147"/>
        <v>0</v>
      </c>
      <c r="BQ276" s="2934">
        <f t="shared" si="148"/>
        <v>0</v>
      </c>
      <c r="BR276" s="2934">
        <f t="shared" si="149"/>
        <v>0</v>
      </c>
      <c r="BS276" s="2934">
        <f t="shared" si="150"/>
        <v>0</v>
      </c>
      <c r="BT276" s="2982">
        <f t="shared" si="151"/>
        <v>0</v>
      </c>
    </row>
    <row r="277" spans="1:72">
      <c r="A277" s="874"/>
      <c r="B277" s="882"/>
      <c r="C277" s="882"/>
      <c r="D277" s="2933"/>
      <c r="E277" s="2934">
        <f t="shared" si="123"/>
        <v>0</v>
      </c>
      <c r="F277" s="2935"/>
      <c r="G277" s="2936">
        <f t="shared" si="124"/>
        <v>0</v>
      </c>
      <c r="H277" s="2937">
        <f t="shared" si="125"/>
        <v>0</v>
      </c>
      <c r="I277" s="2944"/>
      <c r="J277" s="2944"/>
      <c r="K277" s="2944"/>
      <c r="L277" s="2944"/>
      <c r="M277" s="2944"/>
      <c r="N277" s="2944"/>
      <c r="O277" s="2944"/>
      <c r="P277" s="2944"/>
      <c r="Q277" s="2944"/>
      <c r="R277" s="2944"/>
      <c r="S277" s="2944"/>
      <c r="T277" s="2944"/>
      <c r="U277" s="2944"/>
      <c r="V277" s="2944"/>
      <c r="W277" s="2944"/>
      <c r="X277" s="2944"/>
      <c r="Y277" s="2944"/>
      <c r="Z277" s="2944"/>
      <c r="AA277" s="2944"/>
      <c r="AB277" s="2944"/>
      <c r="AC277" s="2934">
        <f t="shared" si="126"/>
        <v>0</v>
      </c>
      <c r="AD277" s="2954"/>
      <c r="AE277" s="2954"/>
      <c r="AF277" s="2954"/>
      <c r="AG277" s="2954"/>
      <c r="AH277" s="2954"/>
      <c r="AI277" s="2954"/>
      <c r="AJ277" s="2954"/>
      <c r="AK277" s="2954"/>
      <c r="AL277" s="2954"/>
      <c r="AM277" s="2954"/>
      <c r="AN277" s="2954"/>
      <c r="AO277" s="2954"/>
      <c r="AP277" s="2954"/>
      <c r="AQ277" s="2954"/>
      <c r="AR277" s="2954"/>
      <c r="AS277" s="2954"/>
      <c r="AT277" s="2935"/>
      <c r="AU277" s="2964"/>
      <c r="AV277" s="857">
        <f t="shared" si="127"/>
        <v>0</v>
      </c>
      <c r="AW277" s="857">
        <f t="shared" si="128"/>
        <v>0</v>
      </c>
      <c r="AX277" s="857">
        <f t="shared" si="129"/>
        <v>0</v>
      </c>
      <c r="AY277" s="807">
        <f t="shared" si="130"/>
        <v>0</v>
      </c>
      <c r="AZ277" s="2934">
        <f t="shared" si="131"/>
        <v>0</v>
      </c>
      <c r="BA277" s="2934">
        <f t="shared" si="132"/>
        <v>0</v>
      </c>
      <c r="BB277" s="2934">
        <f t="shared" si="133"/>
        <v>0</v>
      </c>
      <c r="BC277" s="2934">
        <f t="shared" si="134"/>
        <v>0</v>
      </c>
      <c r="BD277" s="2934">
        <f t="shared" si="135"/>
        <v>0</v>
      </c>
      <c r="BE277" s="2934">
        <f t="shared" si="136"/>
        <v>0</v>
      </c>
      <c r="BF277" s="2934">
        <f t="shared" si="137"/>
        <v>0</v>
      </c>
      <c r="BG277" s="2934">
        <f t="shared" si="138"/>
        <v>0</v>
      </c>
      <c r="BH277" s="2934">
        <f t="shared" si="139"/>
        <v>0</v>
      </c>
      <c r="BI277" s="2934">
        <f t="shared" si="140"/>
        <v>0</v>
      </c>
      <c r="BJ277" s="2934">
        <f t="shared" si="141"/>
        <v>0</v>
      </c>
      <c r="BK277" s="2934">
        <f t="shared" si="142"/>
        <v>0</v>
      </c>
      <c r="BL277" s="2934">
        <f t="shared" si="143"/>
        <v>0</v>
      </c>
      <c r="BM277" s="2934">
        <f t="shared" si="144"/>
        <v>0</v>
      </c>
      <c r="BN277" s="2934">
        <f t="shared" si="145"/>
        <v>0</v>
      </c>
      <c r="BO277" s="2934">
        <f t="shared" si="146"/>
        <v>0</v>
      </c>
      <c r="BP277" s="2934">
        <f t="shared" si="147"/>
        <v>0</v>
      </c>
      <c r="BQ277" s="2934">
        <f t="shared" si="148"/>
        <v>0</v>
      </c>
      <c r="BR277" s="2934">
        <f t="shared" si="149"/>
        <v>0</v>
      </c>
      <c r="BS277" s="2934">
        <f t="shared" si="150"/>
        <v>0</v>
      </c>
      <c r="BT277" s="2982">
        <f t="shared" si="151"/>
        <v>0</v>
      </c>
    </row>
    <row r="278" spans="1:72">
      <c r="A278" s="874"/>
      <c r="B278" s="882"/>
      <c r="C278" s="882"/>
      <c r="D278" s="2933"/>
      <c r="E278" s="2934">
        <f t="shared" si="123"/>
        <v>0</v>
      </c>
      <c r="F278" s="2935"/>
      <c r="G278" s="2936">
        <f t="shared" si="124"/>
        <v>0</v>
      </c>
      <c r="H278" s="2937">
        <f t="shared" si="125"/>
        <v>0</v>
      </c>
      <c r="I278" s="2944"/>
      <c r="J278" s="2944"/>
      <c r="K278" s="2944"/>
      <c r="L278" s="2944"/>
      <c r="M278" s="2944"/>
      <c r="N278" s="2944"/>
      <c r="O278" s="2944"/>
      <c r="P278" s="2944"/>
      <c r="Q278" s="2944"/>
      <c r="R278" s="2944"/>
      <c r="S278" s="2944"/>
      <c r="T278" s="2944"/>
      <c r="U278" s="2944"/>
      <c r="V278" s="2944"/>
      <c r="W278" s="2944"/>
      <c r="X278" s="2944"/>
      <c r="Y278" s="2944"/>
      <c r="Z278" s="2944"/>
      <c r="AA278" s="2944"/>
      <c r="AB278" s="2944"/>
      <c r="AC278" s="2934">
        <f t="shared" si="126"/>
        <v>0</v>
      </c>
      <c r="AD278" s="2954"/>
      <c r="AE278" s="2954"/>
      <c r="AF278" s="2954"/>
      <c r="AG278" s="2954"/>
      <c r="AH278" s="2954"/>
      <c r="AI278" s="2954"/>
      <c r="AJ278" s="2954"/>
      <c r="AK278" s="2954"/>
      <c r="AL278" s="2954"/>
      <c r="AM278" s="2954"/>
      <c r="AN278" s="2954"/>
      <c r="AO278" s="2954"/>
      <c r="AP278" s="2954"/>
      <c r="AQ278" s="2954"/>
      <c r="AR278" s="2954"/>
      <c r="AS278" s="2954"/>
      <c r="AT278" s="2935"/>
      <c r="AU278" s="2964"/>
      <c r="AV278" s="857">
        <f t="shared" si="127"/>
        <v>0</v>
      </c>
      <c r="AW278" s="857">
        <f t="shared" si="128"/>
        <v>0</v>
      </c>
      <c r="AX278" s="857">
        <f t="shared" si="129"/>
        <v>0</v>
      </c>
      <c r="AY278" s="807">
        <f t="shared" si="130"/>
        <v>0</v>
      </c>
      <c r="AZ278" s="2934">
        <f t="shared" si="131"/>
        <v>0</v>
      </c>
      <c r="BA278" s="2934">
        <f t="shared" si="132"/>
        <v>0</v>
      </c>
      <c r="BB278" s="2934">
        <f t="shared" si="133"/>
        <v>0</v>
      </c>
      <c r="BC278" s="2934">
        <f t="shared" si="134"/>
        <v>0</v>
      </c>
      <c r="BD278" s="2934">
        <f t="shared" si="135"/>
        <v>0</v>
      </c>
      <c r="BE278" s="2934">
        <f t="shared" si="136"/>
        <v>0</v>
      </c>
      <c r="BF278" s="2934">
        <f t="shared" si="137"/>
        <v>0</v>
      </c>
      <c r="BG278" s="2934">
        <f t="shared" si="138"/>
        <v>0</v>
      </c>
      <c r="BH278" s="2934">
        <f t="shared" si="139"/>
        <v>0</v>
      </c>
      <c r="BI278" s="2934">
        <f t="shared" si="140"/>
        <v>0</v>
      </c>
      <c r="BJ278" s="2934">
        <f t="shared" si="141"/>
        <v>0</v>
      </c>
      <c r="BK278" s="2934">
        <f t="shared" si="142"/>
        <v>0</v>
      </c>
      <c r="BL278" s="2934">
        <f t="shared" si="143"/>
        <v>0</v>
      </c>
      <c r="BM278" s="2934">
        <f t="shared" si="144"/>
        <v>0</v>
      </c>
      <c r="BN278" s="2934">
        <f t="shared" si="145"/>
        <v>0</v>
      </c>
      <c r="BO278" s="2934">
        <f t="shared" si="146"/>
        <v>0</v>
      </c>
      <c r="BP278" s="2934">
        <f t="shared" si="147"/>
        <v>0</v>
      </c>
      <c r="BQ278" s="2934">
        <f t="shared" si="148"/>
        <v>0</v>
      </c>
      <c r="BR278" s="2934">
        <f t="shared" si="149"/>
        <v>0</v>
      </c>
      <c r="BS278" s="2934">
        <f t="shared" si="150"/>
        <v>0</v>
      </c>
      <c r="BT278" s="2982">
        <f t="shared" si="151"/>
        <v>0</v>
      </c>
    </row>
    <row r="279" spans="1:72">
      <c r="A279" s="874"/>
      <c r="B279" s="882"/>
      <c r="C279" s="882"/>
      <c r="D279" s="2933"/>
      <c r="E279" s="2934">
        <f t="shared" si="123"/>
        <v>0</v>
      </c>
      <c r="F279" s="2935"/>
      <c r="G279" s="2936">
        <f t="shared" si="124"/>
        <v>0</v>
      </c>
      <c r="H279" s="2937">
        <f t="shared" si="125"/>
        <v>0</v>
      </c>
      <c r="I279" s="2944"/>
      <c r="J279" s="2944"/>
      <c r="K279" s="2944"/>
      <c r="L279" s="2944"/>
      <c r="M279" s="2944"/>
      <c r="N279" s="2944"/>
      <c r="O279" s="2944"/>
      <c r="P279" s="2944"/>
      <c r="Q279" s="2944"/>
      <c r="R279" s="2944"/>
      <c r="S279" s="2944"/>
      <c r="T279" s="2944"/>
      <c r="U279" s="2944"/>
      <c r="V279" s="2944"/>
      <c r="W279" s="2944"/>
      <c r="X279" s="2944"/>
      <c r="Y279" s="2944"/>
      <c r="Z279" s="2944"/>
      <c r="AA279" s="2944"/>
      <c r="AB279" s="2944"/>
      <c r="AC279" s="2934">
        <f t="shared" si="126"/>
        <v>0</v>
      </c>
      <c r="AD279" s="2954"/>
      <c r="AE279" s="2954"/>
      <c r="AF279" s="2954"/>
      <c r="AG279" s="2954"/>
      <c r="AH279" s="2954"/>
      <c r="AI279" s="2954"/>
      <c r="AJ279" s="2954"/>
      <c r="AK279" s="2954"/>
      <c r="AL279" s="2954"/>
      <c r="AM279" s="2954"/>
      <c r="AN279" s="2954"/>
      <c r="AO279" s="2954"/>
      <c r="AP279" s="2954"/>
      <c r="AQ279" s="2954"/>
      <c r="AR279" s="2954"/>
      <c r="AS279" s="2954"/>
      <c r="AT279" s="2935"/>
      <c r="AU279" s="2964"/>
      <c r="AV279" s="857">
        <f t="shared" si="127"/>
        <v>0</v>
      </c>
      <c r="AW279" s="857">
        <f t="shared" si="128"/>
        <v>0</v>
      </c>
      <c r="AX279" s="857">
        <f t="shared" si="129"/>
        <v>0</v>
      </c>
      <c r="AY279" s="807">
        <f t="shared" si="130"/>
        <v>0</v>
      </c>
      <c r="AZ279" s="2934">
        <f t="shared" si="131"/>
        <v>0</v>
      </c>
      <c r="BA279" s="2934">
        <f t="shared" si="132"/>
        <v>0</v>
      </c>
      <c r="BB279" s="2934">
        <f t="shared" si="133"/>
        <v>0</v>
      </c>
      <c r="BC279" s="2934">
        <f t="shared" si="134"/>
        <v>0</v>
      </c>
      <c r="BD279" s="2934">
        <f t="shared" si="135"/>
        <v>0</v>
      </c>
      <c r="BE279" s="2934">
        <f t="shared" si="136"/>
        <v>0</v>
      </c>
      <c r="BF279" s="2934">
        <f t="shared" si="137"/>
        <v>0</v>
      </c>
      <c r="BG279" s="2934">
        <f t="shared" si="138"/>
        <v>0</v>
      </c>
      <c r="BH279" s="2934">
        <f t="shared" si="139"/>
        <v>0</v>
      </c>
      <c r="BI279" s="2934">
        <f t="shared" si="140"/>
        <v>0</v>
      </c>
      <c r="BJ279" s="2934">
        <f t="shared" si="141"/>
        <v>0</v>
      </c>
      <c r="BK279" s="2934">
        <f t="shared" si="142"/>
        <v>0</v>
      </c>
      <c r="BL279" s="2934">
        <f t="shared" si="143"/>
        <v>0</v>
      </c>
      <c r="BM279" s="2934">
        <f t="shared" si="144"/>
        <v>0</v>
      </c>
      <c r="BN279" s="2934">
        <f t="shared" si="145"/>
        <v>0</v>
      </c>
      <c r="BO279" s="2934">
        <f t="shared" si="146"/>
        <v>0</v>
      </c>
      <c r="BP279" s="2934">
        <f t="shared" si="147"/>
        <v>0</v>
      </c>
      <c r="BQ279" s="2934">
        <f t="shared" si="148"/>
        <v>0</v>
      </c>
      <c r="BR279" s="2934">
        <f t="shared" si="149"/>
        <v>0</v>
      </c>
      <c r="BS279" s="2934">
        <f t="shared" si="150"/>
        <v>0</v>
      </c>
      <c r="BT279" s="2982">
        <f t="shared" si="151"/>
        <v>0</v>
      </c>
    </row>
    <row r="280" spans="1:72">
      <c r="A280" s="874"/>
      <c r="B280" s="882"/>
      <c r="C280" s="882"/>
      <c r="D280" s="2933"/>
      <c r="E280" s="2934">
        <f t="shared" si="123"/>
        <v>0</v>
      </c>
      <c r="F280" s="2935"/>
      <c r="G280" s="2936">
        <f t="shared" si="124"/>
        <v>0</v>
      </c>
      <c r="H280" s="2937">
        <f t="shared" si="125"/>
        <v>0</v>
      </c>
      <c r="I280" s="2944"/>
      <c r="J280" s="2944"/>
      <c r="K280" s="2944"/>
      <c r="L280" s="2944"/>
      <c r="M280" s="2944"/>
      <c r="N280" s="2944"/>
      <c r="O280" s="2944"/>
      <c r="P280" s="2944"/>
      <c r="Q280" s="2944"/>
      <c r="R280" s="2944"/>
      <c r="S280" s="2944"/>
      <c r="T280" s="2944"/>
      <c r="U280" s="2944"/>
      <c r="V280" s="2944"/>
      <c r="W280" s="2944"/>
      <c r="X280" s="2944"/>
      <c r="Y280" s="2944"/>
      <c r="Z280" s="2944"/>
      <c r="AA280" s="2944"/>
      <c r="AB280" s="2944"/>
      <c r="AC280" s="2934">
        <f t="shared" si="126"/>
        <v>0</v>
      </c>
      <c r="AD280" s="2954"/>
      <c r="AE280" s="2954"/>
      <c r="AF280" s="2954"/>
      <c r="AG280" s="2954"/>
      <c r="AH280" s="2954"/>
      <c r="AI280" s="2954"/>
      <c r="AJ280" s="2954"/>
      <c r="AK280" s="2954"/>
      <c r="AL280" s="2954"/>
      <c r="AM280" s="2954"/>
      <c r="AN280" s="2954"/>
      <c r="AO280" s="2954"/>
      <c r="AP280" s="2954"/>
      <c r="AQ280" s="2954"/>
      <c r="AR280" s="2954"/>
      <c r="AS280" s="2954"/>
      <c r="AT280" s="2935"/>
      <c r="AU280" s="2964"/>
      <c r="AV280" s="857">
        <f t="shared" si="127"/>
        <v>0</v>
      </c>
      <c r="AW280" s="857">
        <f t="shared" si="128"/>
        <v>0</v>
      </c>
      <c r="AX280" s="857">
        <f t="shared" si="129"/>
        <v>0</v>
      </c>
      <c r="AY280" s="807">
        <f t="shared" si="130"/>
        <v>0</v>
      </c>
      <c r="AZ280" s="2934">
        <f t="shared" si="131"/>
        <v>0</v>
      </c>
      <c r="BA280" s="2934">
        <f t="shared" si="132"/>
        <v>0</v>
      </c>
      <c r="BB280" s="2934">
        <f t="shared" si="133"/>
        <v>0</v>
      </c>
      <c r="BC280" s="2934">
        <f t="shared" si="134"/>
        <v>0</v>
      </c>
      <c r="BD280" s="2934">
        <f t="shared" si="135"/>
        <v>0</v>
      </c>
      <c r="BE280" s="2934">
        <f t="shared" si="136"/>
        <v>0</v>
      </c>
      <c r="BF280" s="2934">
        <f t="shared" si="137"/>
        <v>0</v>
      </c>
      <c r="BG280" s="2934">
        <f t="shared" si="138"/>
        <v>0</v>
      </c>
      <c r="BH280" s="2934">
        <f t="shared" si="139"/>
        <v>0</v>
      </c>
      <c r="BI280" s="2934">
        <f t="shared" si="140"/>
        <v>0</v>
      </c>
      <c r="BJ280" s="2934">
        <f t="shared" si="141"/>
        <v>0</v>
      </c>
      <c r="BK280" s="2934">
        <f t="shared" si="142"/>
        <v>0</v>
      </c>
      <c r="BL280" s="2934">
        <f t="shared" si="143"/>
        <v>0</v>
      </c>
      <c r="BM280" s="2934">
        <f t="shared" si="144"/>
        <v>0</v>
      </c>
      <c r="BN280" s="2934">
        <f t="shared" si="145"/>
        <v>0</v>
      </c>
      <c r="BO280" s="2934">
        <f t="shared" si="146"/>
        <v>0</v>
      </c>
      <c r="BP280" s="2934">
        <f t="shared" si="147"/>
        <v>0</v>
      </c>
      <c r="BQ280" s="2934">
        <f t="shared" si="148"/>
        <v>0</v>
      </c>
      <c r="BR280" s="2934">
        <f t="shared" si="149"/>
        <v>0</v>
      </c>
      <c r="BS280" s="2934">
        <f t="shared" si="150"/>
        <v>0</v>
      </c>
      <c r="BT280" s="2982">
        <f t="shared" si="151"/>
        <v>0</v>
      </c>
    </row>
    <row r="281" spans="1:72">
      <c r="A281" s="874"/>
      <c r="B281" s="882"/>
      <c r="C281" s="882"/>
      <c r="D281" s="2933"/>
      <c r="E281" s="2934">
        <f t="shared" si="123"/>
        <v>0</v>
      </c>
      <c r="F281" s="2935"/>
      <c r="G281" s="2936">
        <f t="shared" si="124"/>
        <v>0</v>
      </c>
      <c r="H281" s="2937">
        <f t="shared" si="125"/>
        <v>0</v>
      </c>
      <c r="I281" s="2944"/>
      <c r="J281" s="2944"/>
      <c r="K281" s="2944"/>
      <c r="L281" s="2944"/>
      <c r="M281" s="2944"/>
      <c r="N281" s="2944"/>
      <c r="O281" s="2944"/>
      <c r="P281" s="2944"/>
      <c r="Q281" s="2944"/>
      <c r="R281" s="2944"/>
      <c r="S281" s="2944"/>
      <c r="T281" s="2944"/>
      <c r="U281" s="2944"/>
      <c r="V281" s="2944"/>
      <c r="W281" s="2944"/>
      <c r="X281" s="2944"/>
      <c r="Y281" s="2944"/>
      <c r="Z281" s="2944"/>
      <c r="AA281" s="2944"/>
      <c r="AB281" s="2944"/>
      <c r="AC281" s="2934">
        <f t="shared" si="126"/>
        <v>0</v>
      </c>
      <c r="AD281" s="2954"/>
      <c r="AE281" s="2954"/>
      <c r="AF281" s="2954"/>
      <c r="AG281" s="2954"/>
      <c r="AH281" s="2954"/>
      <c r="AI281" s="2954"/>
      <c r="AJ281" s="2954"/>
      <c r="AK281" s="2954"/>
      <c r="AL281" s="2954"/>
      <c r="AM281" s="2954"/>
      <c r="AN281" s="2954"/>
      <c r="AO281" s="2954"/>
      <c r="AP281" s="2954"/>
      <c r="AQ281" s="2954"/>
      <c r="AR281" s="2954"/>
      <c r="AS281" s="2954"/>
      <c r="AT281" s="2935"/>
      <c r="AU281" s="2964"/>
      <c r="AV281" s="857">
        <f t="shared" si="127"/>
        <v>0</v>
      </c>
      <c r="AW281" s="857">
        <f t="shared" si="128"/>
        <v>0</v>
      </c>
      <c r="AX281" s="857">
        <f t="shared" si="129"/>
        <v>0</v>
      </c>
      <c r="AY281" s="807">
        <f t="shared" si="130"/>
        <v>0</v>
      </c>
      <c r="AZ281" s="2934">
        <f t="shared" si="131"/>
        <v>0</v>
      </c>
      <c r="BA281" s="2934">
        <f t="shared" si="132"/>
        <v>0</v>
      </c>
      <c r="BB281" s="2934">
        <f t="shared" si="133"/>
        <v>0</v>
      </c>
      <c r="BC281" s="2934">
        <f t="shared" si="134"/>
        <v>0</v>
      </c>
      <c r="BD281" s="2934">
        <f t="shared" si="135"/>
        <v>0</v>
      </c>
      <c r="BE281" s="2934">
        <f t="shared" si="136"/>
        <v>0</v>
      </c>
      <c r="BF281" s="2934">
        <f t="shared" si="137"/>
        <v>0</v>
      </c>
      <c r="BG281" s="2934">
        <f t="shared" si="138"/>
        <v>0</v>
      </c>
      <c r="BH281" s="2934">
        <f t="shared" si="139"/>
        <v>0</v>
      </c>
      <c r="BI281" s="2934">
        <f t="shared" si="140"/>
        <v>0</v>
      </c>
      <c r="BJ281" s="2934">
        <f t="shared" si="141"/>
        <v>0</v>
      </c>
      <c r="BK281" s="2934">
        <f t="shared" si="142"/>
        <v>0</v>
      </c>
      <c r="BL281" s="2934">
        <f t="shared" si="143"/>
        <v>0</v>
      </c>
      <c r="BM281" s="2934">
        <f t="shared" si="144"/>
        <v>0</v>
      </c>
      <c r="BN281" s="2934">
        <f t="shared" si="145"/>
        <v>0</v>
      </c>
      <c r="BO281" s="2934">
        <f t="shared" si="146"/>
        <v>0</v>
      </c>
      <c r="BP281" s="2934">
        <f t="shared" si="147"/>
        <v>0</v>
      </c>
      <c r="BQ281" s="2934">
        <f t="shared" si="148"/>
        <v>0</v>
      </c>
      <c r="BR281" s="2934">
        <f t="shared" si="149"/>
        <v>0</v>
      </c>
      <c r="BS281" s="2934">
        <f t="shared" si="150"/>
        <v>0</v>
      </c>
      <c r="BT281" s="2982">
        <f t="shared" si="151"/>
        <v>0</v>
      </c>
    </row>
    <row r="282" spans="1:72">
      <c r="A282" s="874"/>
      <c r="B282" s="882"/>
      <c r="C282" s="882"/>
      <c r="D282" s="2933"/>
      <c r="E282" s="2934">
        <f t="shared" si="123"/>
        <v>0</v>
      </c>
      <c r="F282" s="2935"/>
      <c r="G282" s="2936">
        <f t="shared" si="124"/>
        <v>0</v>
      </c>
      <c r="H282" s="2937">
        <f t="shared" si="125"/>
        <v>0</v>
      </c>
      <c r="I282" s="2944"/>
      <c r="J282" s="2944"/>
      <c r="K282" s="2944"/>
      <c r="L282" s="2944"/>
      <c r="M282" s="2944"/>
      <c r="N282" s="2944"/>
      <c r="O282" s="2944"/>
      <c r="P282" s="2944"/>
      <c r="Q282" s="2944"/>
      <c r="R282" s="2944"/>
      <c r="S282" s="2944"/>
      <c r="T282" s="2944"/>
      <c r="U282" s="2944"/>
      <c r="V282" s="2944"/>
      <c r="W282" s="2944"/>
      <c r="X282" s="2944"/>
      <c r="Y282" s="2944"/>
      <c r="Z282" s="2944"/>
      <c r="AA282" s="2944"/>
      <c r="AB282" s="2944"/>
      <c r="AC282" s="2934">
        <f t="shared" si="126"/>
        <v>0</v>
      </c>
      <c r="AD282" s="2954"/>
      <c r="AE282" s="2954"/>
      <c r="AF282" s="2954"/>
      <c r="AG282" s="2954"/>
      <c r="AH282" s="2954"/>
      <c r="AI282" s="2954"/>
      <c r="AJ282" s="2954"/>
      <c r="AK282" s="2954"/>
      <c r="AL282" s="2954"/>
      <c r="AM282" s="2954"/>
      <c r="AN282" s="2954"/>
      <c r="AO282" s="2954"/>
      <c r="AP282" s="2954"/>
      <c r="AQ282" s="2954"/>
      <c r="AR282" s="2954"/>
      <c r="AS282" s="2954"/>
      <c r="AT282" s="2935"/>
      <c r="AU282" s="2964"/>
      <c r="AV282" s="857">
        <f t="shared" si="127"/>
        <v>0</v>
      </c>
      <c r="AW282" s="857">
        <f t="shared" si="128"/>
        <v>0</v>
      </c>
      <c r="AX282" s="857">
        <f t="shared" si="129"/>
        <v>0</v>
      </c>
      <c r="AY282" s="807">
        <f t="shared" si="130"/>
        <v>0</v>
      </c>
      <c r="AZ282" s="2934">
        <f t="shared" si="131"/>
        <v>0</v>
      </c>
      <c r="BA282" s="2934">
        <f t="shared" si="132"/>
        <v>0</v>
      </c>
      <c r="BB282" s="2934">
        <f t="shared" si="133"/>
        <v>0</v>
      </c>
      <c r="BC282" s="2934">
        <f t="shared" si="134"/>
        <v>0</v>
      </c>
      <c r="BD282" s="2934">
        <f t="shared" si="135"/>
        <v>0</v>
      </c>
      <c r="BE282" s="2934">
        <f t="shared" si="136"/>
        <v>0</v>
      </c>
      <c r="BF282" s="2934">
        <f t="shared" si="137"/>
        <v>0</v>
      </c>
      <c r="BG282" s="2934">
        <f t="shared" si="138"/>
        <v>0</v>
      </c>
      <c r="BH282" s="2934">
        <f t="shared" si="139"/>
        <v>0</v>
      </c>
      <c r="BI282" s="2934">
        <f t="shared" si="140"/>
        <v>0</v>
      </c>
      <c r="BJ282" s="2934">
        <f t="shared" si="141"/>
        <v>0</v>
      </c>
      <c r="BK282" s="2934">
        <f t="shared" si="142"/>
        <v>0</v>
      </c>
      <c r="BL282" s="2934">
        <f t="shared" si="143"/>
        <v>0</v>
      </c>
      <c r="BM282" s="2934">
        <f t="shared" si="144"/>
        <v>0</v>
      </c>
      <c r="BN282" s="2934">
        <f t="shared" si="145"/>
        <v>0</v>
      </c>
      <c r="BO282" s="2934">
        <f t="shared" si="146"/>
        <v>0</v>
      </c>
      <c r="BP282" s="2934">
        <f t="shared" si="147"/>
        <v>0</v>
      </c>
      <c r="BQ282" s="2934">
        <f t="shared" si="148"/>
        <v>0</v>
      </c>
      <c r="BR282" s="2934">
        <f t="shared" si="149"/>
        <v>0</v>
      </c>
      <c r="BS282" s="2934">
        <f t="shared" si="150"/>
        <v>0</v>
      </c>
      <c r="BT282" s="2982">
        <f t="shared" si="151"/>
        <v>0</v>
      </c>
    </row>
    <row r="283" spans="1:72">
      <c r="A283" s="874"/>
      <c r="B283" s="882"/>
      <c r="C283" s="882"/>
      <c r="D283" s="2933"/>
      <c r="E283" s="2934">
        <f t="shared" si="123"/>
        <v>0</v>
      </c>
      <c r="F283" s="2935"/>
      <c r="G283" s="2936">
        <f t="shared" si="124"/>
        <v>0</v>
      </c>
      <c r="H283" s="2937">
        <f t="shared" si="125"/>
        <v>0</v>
      </c>
      <c r="I283" s="2944"/>
      <c r="J283" s="2944"/>
      <c r="K283" s="2944"/>
      <c r="L283" s="2944"/>
      <c r="M283" s="2944"/>
      <c r="N283" s="2944"/>
      <c r="O283" s="2944"/>
      <c r="P283" s="2944"/>
      <c r="Q283" s="2944"/>
      <c r="R283" s="2944"/>
      <c r="S283" s="2944"/>
      <c r="T283" s="2944"/>
      <c r="U283" s="2944"/>
      <c r="V283" s="2944"/>
      <c r="W283" s="2944"/>
      <c r="X283" s="2944"/>
      <c r="Y283" s="2944"/>
      <c r="Z283" s="2944"/>
      <c r="AA283" s="2944"/>
      <c r="AB283" s="2944"/>
      <c r="AC283" s="2934">
        <f t="shared" si="126"/>
        <v>0</v>
      </c>
      <c r="AD283" s="2954"/>
      <c r="AE283" s="2954"/>
      <c r="AF283" s="2954"/>
      <c r="AG283" s="2954"/>
      <c r="AH283" s="2954"/>
      <c r="AI283" s="2954"/>
      <c r="AJ283" s="2954"/>
      <c r="AK283" s="2954"/>
      <c r="AL283" s="2954"/>
      <c r="AM283" s="2954"/>
      <c r="AN283" s="2954"/>
      <c r="AO283" s="2954"/>
      <c r="AP283" s="2954"/>
      <c r="AQ283" s="2954"/>
      <c r="AR283" s="2954"/>
      <c r="AS283" s="2954"/>
      <c r="AT283" s="2935"/>
      <c r="AU283" s="2964"/>
      <c r="AV283" s="857">
        <f t="shared" si="127"/>
        <v>0</v>
      </c>
      <c r="AW283" s="857">
        <f t="shared" si="128"/>
        <v>0</v>
      </c>
      <c r="AX283" s="857">
        <f t="shared" si="129"/>
        <v>0</v>
      </c>
      <c r="AY283" s="807">
        <f t="shared" si="130"/>
        <v>0</v>
      </c>
      <c r="AZ283" s="2934">
        <f t="shared" si="131"/>
        <v>0</v>
      </c>
      <c r="BA283" s="2934">
        <f t="shared" si="132"/>
        <v>0</v>
      </c>
      <c r="BB283" s="2934">
        <f t="shared" si="133"/>
        <v>0</v>
      </c>
      <c r="BC283" s="2934">
        <f t="shared" si="134"/>
        <v>0</v>
      </c>
      <c r="BD283" s="2934">
        <f t="shared" si="135"/>
        <v>0</v>
      </c>
      <c r="BE283" s="2934">
        <f t="shared" si="136"/>
        <v>0</v>
      </c>
      <c r="BF283" s="2934">
        <f t="shared" si="137"/>
        <v>0</v>
      </c>
      <c r="BG283" s="2934">
        <f t="shared" si="138"/>
        <v>0</v>
      </c>
      <c r="BH283" s="2934">
        <f t="shared" si="139"/>
        <v>0</v>
      </c>
      <c r="BI283" s="2934">
        <f t="shared" si="140"/>
        <v>0</v>
      </c>
      <c r="BJ283" s="2934">
        <f t="shared" si="141"/>
        <v>0</v>
      </c>
      <c r="BK283" s="2934">
        <f t="shared" si="142"/>
        <v>0</v>
      </c>
      <c r="BL283" s="2934">
        <f t="shared" si="143"/>
        <v>0</v>
      </c>
      <c r="BM283" s="2934">
        <f t="shared" si="144"/>
        <v>0</v>
      </c>
      <c r="BN283" s="2934">
        <f t="shared" si="145"/>
        <v>0</v>
      </c>
      <c r="BO283" s="2934">
        <f t="shared" si="146"/>
        <v>0</v>
      </c>
      <c r="BP283" s="2934">
        <f t="shared" si="147"/>
        <v>0</v>
      </c>
      <c r="BQ283" s="2934">
        <f t="shared" si="148"/>
        <v>0</v>
      </c>
      <c r="BR283" s="2934">
        <f t="shared" si="149"/>
        <v>0</v>
      </c>
      <c r="BS283" s="2934">
        <f t="shared" si="150"/>
        <v>0</v>
      </c>
      <c r="BT283" s="2982">
        <f t="shared" si="151"/>
        <v>0</v>
      </c>
    </row>
    <row r="284" spans="1:72">
      <c r="A284" s="874"/>
      <c r="B284" s="882"/>
      <c r="C284" s="882"/>
      <c r="D284" s="2933"/>
      <c r="E284" s="2934">
        <f t="shared" si="123"/>
        <v>0</v>
      </c>
      <c r="F284" s="2935"/>
      <c r="G284" s="2936">
        <f t="shared" si="124"/>
        <v>0</v>
      </c>
      <c r="H284" s="2937">
        <f t="shared" si="125"/>
        <v>0</v>
      </c>
      <c r="I284" s="2944"/>
      <c r="J284" s="2944"/>
      <c r="K284" s="2944"/>
      <c r="L284" s="2944"/>
      <c r="M284" s="2944"/>
      <c r="N284" s="2944"/>
      <c r="O284" s="2944"/>
      <c r="P284" s="2944"/>
      <c r="Q284" s="2944"/>
      <c r="R284" s="2944"/>
      <c r="S284" s="2944"/>
      <c r="T284" s="2944"/>
      <c r="U284" s="2944"/>
      <c r="V284" s="2944"/>
      <c r="W284" s="2944"/>
      <c r="X284" s="2944"/>
      <c r="Y284" s="2944"/>
      <c r="Z284" s="2944"/>
      <c r="AA284" s="2944"/>
      <c r="AB284" s="2944"/>
      <c r="AC284" s="2934">
        <f t="shared" si="126"/>
        <v>0</v>
      </c>
      <c r="AD284" s="2954"/>
      <c r="AE284" s="2954"/>
      <c r="AF284" s="2954"/>
      <c r="AG284" s="2954"/>
      <c r="AH284" s="2954"/>
      <c r="AI284" s="2954"/>
      <c r="AJ284" s="2954"/>
      <c r="AK284" s="2954"/>
      <c r="AL284" s="2954"/>
      <c r="AM284" s="2954"/>
      <c r="AN284" s="2954"/>
      <c r="AO284" s="2954"/>
      <c r="AP284" s="2954"/>
      <c r="AQ284" s="2954"/>
      <c r="AR284" s="2954"/>
      <c r="AS284" s="2954"/>
      <c r="AT284" s="2935"/>
      <c r="AU284" s="2964"/>
      <c r="AV284" s="857">
        <f t="shared" si="127"/>
        <v>0</v>
      </c>
      <c r="AW284" s="857">
        <f t="shared" si="128"/>
        <v>0</v>
      </c>
      <c r="AX284" s="857">
        <f t="shared" si="129"/>
        <v>0</v>
      </c>
      <c r="AY284" s="807">
        <f t="shared" si="130"/>
        <v>0</v>
      </c>
      <c r="AZ284" s="2934">
        <f t="shared" si="131"/>
        <v>0</v>
      </c>
      <c r="BA284" s="2934">
        <f t="shared" si="132"/>
        <v>0</v>
      </c>
      <c r="BB284" s="2934">
        <f t="shared" si="133"/>
        <v>0</v>
      </c>
      <c r="BC284" s="2934">
        <f t="shared" si="134"/>
        <v>0</v>
      </c>
      <c r="BD284" s="2934">
        <f t="shared" si="135"/>
        <v>0</v>
      </c>
      <c r="BE284" s="2934">
        <f t="shared" si="136"/>
        <v>0</v>
      </c>
      <c r="BF284" s="2934">
        <f t="shared" si="137"/>
        <v>0</v>
      </c>
      <c r="BG284" s="2934">
        <f t="shared" si="138"/>
        <v>0</v>
      </c>
      <c r="BH284" s="2934">
        <f t="shared" si="139"/>
        <v>0</v>
      </c>
      <c r="BI284" s="2934">
        <f t="shared" si="140"/>
        <v>0</v>
      </c>
      <c r="BJ284" s="2934">
        <f t="shared" si="141"/>
        <v>0</v>
      </c>
      <c r="BK284" s="2934">
        <f t="shared" si="142"/>
        <v>0</v>
      </c>
      <c r="BL284" s="2934">
        <f t="shared" si="143"/>
        <v>0</v>
      </c>
      <c r="BM284" s="2934">
        <f t="shared" si="144"/>
        <v>0</v>
      </c>
      <c r="BN284" s="2934">
        <f t="shared" si="145"/>
        <v>0</v>
      </c>
      <c r="BO284" s="2934">
        <f t="shared" si="146"/>
        <v>0</v>
      </c>
      <c r="BP284" s="2934">
        <f t="shared" si="147"/>
        <v>0</v>
      </c>
      <c r="BQ284" s="2934">
        <f t="shared" si="148"/>
        <v>0</v>
      </c>
      <c r="BR284" s="2934">
        <f t="shared" si="149"/>
        <v>0</v>
      </c>
      <c r="BS284" s="2934">
        <f t="shared" si="150"/>
        <v>0</v>
      </c>
      <c r="BT284" s="2982">
        <f t="shared" si="151"/>
        <v>0</v>
      </c>
    </row>
    <row r="285" spans="1:72">
      <c r="A285" s="874"/>
      <c r="B285" s="882"/>
      <c r="C285" s="882"/>
      <c r="D285" s="2933"/>
      <c r="E285" s="2934">
        <f t="shared" si="123"/>
        <v>0</v>
      </c>
      <c r="F285" s="2935"/>
      <c r="G285" s="2936">
        <f t="shared" si="124"/>
        <v>0</v>
      </c>
      <c r="H285" s="2937">
        <f t="shared" si="125"/>
        <v>0</v>
      </c>
      <c r="I285" s="2944"/>
      <c r="J285" s="2944"/>
      <c r="K285" s="2944"/>
      <c r="L285" s="2944"/>
      <c r="M285" s="2944"/>
      <c r="N285" s="2944"/>
      <c r="O285" s="2944"/>
      <c r="P285" s="2944"/>
      <c r="Q285" s="2944"/>
      <c r="R285" s="2944"/>
      <c r="S285" s="2944"/>
      <c r="T285" s="2944"/>
      <c r="U285" s="2944"/>
      <c r="V285" s="2944"/>
      <c r="W285" s="2944"/>
      <c r="X285" s="2944"/>
      <c r="Y285" s="2944"/>
      <c r="Z285" s="2944"/>
      <c r="AA285" s="2944"/>
      <c r="AB285" s="2944"/>
      <c r="AC285" s="2934">
        <f t="shared" si="126"/>
        <v>0</v>
      </c>
      <c r="AD285" s="2954"/>
      <c r="AE285" s="2954"/>
      <c r="AF285" s="2954"/>
      <c r="AG285" s="2954"/>
      <c r="AH285" s="2954"/>
      <c r="AI285" s="2954"/>
      <c r="AJ285" s="2954"/>
      <c r="AK285" s="2954"/>
      <c r="AL285" s="2954"/>
      <c r="AM285" s="2954"/>
      <c r="AN285" s="2954"/>
      <c r="AO285" s="2954"/>
      <c r="AP285" s="2954"/>
      <c r="AQ285" s="2954"/>
      <c r="AR285" s="2954"/>
      <c r="AS285" s="2954"/>
      <c r="AT285" s="2935"/>
      <c r="AU285" s="2964"/>
      <c r="AV285" s="857">
        <f t="shared" si="127"/>
        <v>0</v>
      </c>
      <c r="AW285" s="857">
        <f t="shared" si="128"/>
        <v>0</v>
      </c>
      <c r="AX285" s="857">
        <f t="shared" si="129"/>
        <v>0</v>
      </c>
      <c r="AY285" s="807">
        <f t="shared" si="130"/>
        <v>0</v>
      </c>
      <c r="AZ285" s="2934">
        <f t="shared" si="131"/>
        <v>0</v>
      </c>
      <c r="BA285" s="2934">
        <f t="shared" si="132"/>
        <v>0</v>
      </c>
      <c r="BB285" s="2934">
        <f t="shared" si="133"/>
        <v>0</v>
      </c>
      <c r="BC285" s="2934">
        <f t="shared" si="134"/>
        <v>0</v>
      </c>
      <c r="BD285" s="2934">
        <f t="shared" si="135"/>
        <v>0</v>
      </c>
      <c r="BE285" s="2934">
        <f t="shared" si="136"/>
        <v>0</v>
      </c>
      <c r="BF285" s="2934">
        <f t="shared" si="137"/>
        <v>0</v>
      </c>
      <c r="BG285" s="2934">
        <f t="shared" si="138"/>
        <v>0</v>
      </c>
      <c r="BH285" s="2934">
        <f t="shared" si="139"/>
        <v>0</v>
      </c>
      <c r="BI285" s="2934">
        <f t="shared" si="140"/>
        <v>0</v>
      </c>
      <c r="BJ285" s="2934">
        <f t="shared" si="141"/>
        <v>0</v>
      </c>
      <c r="BK285" s="2934">
        <f t="shared" si="142"/>
        <v>0</v>
      </c>
      <c r="BL285" s="2934">
        <f t="shared" si="143"/>
        <v>0</v>
      </c>
      <c r="BM285" s="2934">
        <f t="shared" si="144"/>
        <v>0</v>
      </c>
      <c r="BN285" s="2934">
        <f t="shared" si="145"/>
        <v>0</v>
      </c>
      <c r="BO285" s="2934">
        <f t="shared" si="146"/>
        <v>0</v>
      </c>
      <c r="BP285" s="2934">
        <f t="shared" si="147"/>
        <v>0</v>
      </c>
      <c r="BQ285" s="2934">
        <f t="shared" si="148"/>
        <v>0</v>
      </c>
      <c r="BR285" s="2934">
        <f t="shared" si="149"/>
        <v>0</v>
      </c>
      <c r="BS285" s="2934">
        <f t="shared" si="150"/>
        <v>0</v>
      </c>
      <c r="BT285" s="2982">
        <f t="shared" si="151"/>
        <v>0</v>
      </c>
    </row>
    <row r="286" spans="1:72">
      <c r="A286" s="874"/>
      <c r="B286" s="882"/>
      <c r="C286" s="882"/>
      <c r="D286" s="2933"/>
      <c r="E286" s="2934">
        <f t="shared" si="123"/>
        <v>0</v>
      </c>
      <c r="F286" s="2935"/>
      <c r="G286" s="2936">
        <f t="shared" si="124"/>
        <v>0</v>
      </c>
      <c r="H286" s="2937">
        <f t="shared" si="125"/>
        <v>0</v>
      </c>
      <c r="I286" s="2944"/>
      <c r="J286" s="2944"/>
      <c r="K286" s="2944"/>
      <c r="L286" s="2944"/>
      <c r="M286" s="2944"/>
      <c r="N286" s="2944"/>
      <c r="O286" s="2944"/>
      <c r="P286" s="2944"/>
      <c r="Q286" s="2944"/>
      <c r="R286" s="2944"/>
      <c r="S286" s="2944"/>
      <c r="T286" s="2944"/>
      <c r="U286" s="2944"/>
      <c r="V286" s="2944"/>
      <c r="W286" s="2944"/>
      <c r="X286" s="2944"/>
      <c r="Y286" s="2944"/>
      <c r="Z286" s="2944"/>
      <c r="AA286" s="2944"/>
      <c r="AB286" s="2944"/>
      <c r="AC286" s="2934">
        <f t="shared" si="126"/>
        <v>0</v>
      </c>
      <c r="AD286" s="2954"/>
      <c r="AE286" s="2954"/>
      <c r="AF286" s="2954"/>
      <c r="AG286" s="2954"/>
      <c r="AH286" s="2954"/>
      <c r="AI286" s="2954"/>
      <c r="AJ286" s="2954"/>
      <c r="AK286" s="2954"/>
      <c r="AL286" s="2954"/>
      <c r="AM286" s="2954"/>
      <c r="AN286" s="2954"/>
      <c r="AO286" s="2954"/>
      <c r="AP286" s="2954"/>
      <c r="AQ286" s="2954"/>
      <c r="AR286" s="2954"/>
      <c r="AS286" s="2954"/>
      <c r="AT286" s="2935"/>
      <c r="AU286" s="2964"/>
      <c r="AV286" s="857">
        <f t="shared" si="127"/>
        <v>0</v>
      </c>
      <c r="AW286" s="857">
        <f t="shared" si="128"/>
        <v>0</v>
      </c>
      <c r="AX286" s="857">
        <f t="shared" si="129"/>
        <v>0</v>
      </c>
      <c r="AY286" s="807">
        <f t="shared" si="130"/>
        <v>0</v>
      </c>
      <c r="AZ286" s="2934">
        <f t="shared" si="131"/>
        <v>0</v>
      </c>
      <c r="BA286" s="2934">
        <f t="shared" si="132"/>
        <v>0</v>
      </c>
      <c r="BB286" s="2934">
        <f t="shared" si="133"/>
        <v>0</v>
      </c>
      <c r="BC286" s="2934">
        <f t="shared" si="134"/>
        <v>0</v>
      </c>
      <c r="BD286" s="2934">
        <f t="shared" si="135"/>
        <v>0</v>
      </c>
      <c r="BE286" s="2934">
        <f t="shared" si="136"/>
        <v>0</v>
      </c>
      <c r="BF286" s="2934">
        <f t="shared" si="137"/>
        <v>0</v>
      </c>
      <c r="BG286" s="2934">
        <f t="shared" si="138"/>
        <v>0</v>
      </c>
      <c r="BH286" s="2934">
        <f t="shared" si="139"/>
        <v>0</v>
      </c>
      <c r="BI286" s="2934">
        <f t="shared" si="140"/>
        <v>0</v>
      </c>
      <c r="BJ286" s="2934">
        <f t="shared" si="141"/>
        <v>0</v>
      </c>
      <c r="BK286" s="2934">
        <f t="shared" si="142"/>
        <v>0</v>
      </c>
      <c r="BL286" s="2934">
        <f t="shared" si="143"/>
        <v>0</v>
      </c>
      <c r="BM286" s="2934">
        <f t="shared" si="144"/>
        <v>0</v>
      </c>
      <c r="BN286" s="2934">
        <f t="shared" si="145"/>
        <v>0</v>
      </c>
      <c r="BO286" s="2934">
        <f t="shared" si="146"/>
        <v>0</v>
      </c>
      <c r="BP286" s="2934">
        <f t="shared" si="147"/>
        <v>0</v>
      </c>
      <c r="BQ286" s="2934">
        <f t="shared" si="148"/>
        <v>0</v>
      </c>
      <c r="BR286" s="2934">
        <f t="shared" si="149"/>
        <v>0</v>
      </c>
      <c r="BS286" s="2934">
        <f t="shared" si="150"/>
        <v>0</v>
      </c>
      <c r="BT286" s="2982">
        <f t="shared" si="151"/>
        <v>0</v>
      </c>
    </row>
    <row r="287" spans="1:72">
      <c r="A287" s="874"/>
      <c r="B287" s="882"/>
      <c r="C287" s="882"/>
      <c r="D287" s="2933"/>
      <c r="E287" s="2934">
        <f t="shared" si="123"/>
        <v>0</v>
      </c>
      <c r="F287" s="2935"/>
      <c r="G287" s="2936">
        <f t="shared" si="124"/>
        <v>0</v>
      </c>
      <c r="H287" s="2937">
        <f t="shared" si="125"/>
        <v>0</v>
      </c>
      <c r="I287" s="2944"/>
      <c r="J287" s="2944"/>
      <c r="K287" s="2944"/>
      <c r="L287" s="2944"/>
      <c r="M287" s="2944"/>
      <c r="N287" s="2944"/>
      <c r="O287" s="2944"/>
      <c r="P287" s="2944"/>
      <c r="Q287" s="2944"/>
      <c r="R287" s="2944"/>
      <c r="S287" s="2944"/>
      <c r="T287" s="2944"/>
      <c r="U287" s="2944"/>
      <c r="V287" s="2944"/>
      <c r="W287" s="2944"/>
      <c r="X287" s="2944"/>
      <c r="Y287" s="2944"/>
      <c r="Z287" s="2944"/>
      <c r="AA287" s="2944"/>
      <c r="AB287" s="2944"/>
      <c r="AC287" s="2934">
        <f t="shared" si="126"/>
        <v>0</v>
      </c>
      <c r="AD287" s="2954"/>
      <c r="AE287" s="2954"/>
      <c r="AF287" s="2954"/>
      <c r="AG287" s="2954"/>
      <c r="AH287" s="2954"/>
      <c r="AI287" s="2954"/>
      <c r="AJ287" s="2954"/>
      <c r="AK287" s="2954"/>
      <c r="AL287" s="2954"/>
      <c r="AM287" s="2954"/>
      <c r="AN287" s="2954"/>
      <c r="AO287" s="2954"/>
      <c r="AP287" s="2954"/>
      <c r="AQ287" s="2954"/>
      <c r="AR287" s="2954"/>
      <c r="AS287" s="2954"/>
      <c r="AT287" s="2935"/>
      <c r="AU287" s="2964"/>
      <c r="AV287" s="857">
        <f t="shared" si="127"/>
        <v>0</v>
      </c>
      <c r="AW287" s="857">
        <f t="shared" si="128"/>
        <v>0</v>
      </c>
      <c r="AX287" s="857">
        <f t="shared" si="129"/>
        <v>0</v>
      </c>
      <c r="AY287" s="807">
        <f t="shared" si="130"/>
        <v>0</v>
      </c>
      <c r="AZ287" s="2934">
        <f t="shared" si="131"/>
        <v>0</v>
      </c>
      <c r="BA287" s="2934">
        <f t="shared" si="132"/>
        <v>0</v>
      </c>
      <c r="BB287" s="2934">
        <f t="shared" si="133"/>
        <v>0</v>
      </c>
      <c r="BC287" s="2934">
        <f t="shared" si="134"/>
        <v>0</v>
      </c>
      <c r="BD287" s="2934">
        <f t="shared" si="135"/>
        <v>0</v>
      </c>
      <c r="BE287" s="2934">
        <f t="shared" si="136"/>
        <v>0</v>
      </c>
      <c r="BF287" s="2934">
        <f t="shared" si="137"/>
        <v>0</v>
      </c>
      <c r="BG287" s="2934">
        <f t="shared" si="138"/>
        <v>0</v>
      </c>
      <c r="BH287" s="2934">
        <f t="shared" si="139"/>
        <v>0</v>
      </c>
      <c r="BI287" s="2934">
        <f t="shared" si="140"/>
        <v>0</v>
      </c>
      <c r="BJ287" s="2934">
        <f t="shared" si="141"/>
        <v>0</v>
      </c>
      <c r="BK287" s="2934">
        <f t="shared" si="142"/>
        <v>0</v>
      </c>
      <c r="BL287" s="2934">
        <f t="shared" si="143"/>
        <v>0</v>
      </c>
      <c r="BM287" s="2934">
        <f t="shared" si="144"/>
        <v>0</v>
      </c>
      <c r="BN287" s="2934">
        <f t="shared" si="145"/>
        <v>0</v>
      </c>
      <c r="BO287" s="2934">
        <f t="shared" si="146"/>
        <v>0</v>
      </c>
      <c r="BP287" s="2934">
        <f t="shared" si="147"/>
        <v>0</v>
      </c>
      <c r="BQ287" s="2934">
        <f t="shared" si="148"/>
        <v>0</v>
      </c>
      <c r="BR287" s="2934">
        <f t="shared" si="149"/>
        <v>0</v>
      </c>
      <c r="BS287" s="2934">
        <f t="shared" si="150"/>
        <v>0</v>
      </c>
      <c r="BT287" s="2982">
        <f t="shared" si="151"/>
        <v>0</v>
      </c>
    </row>
    <row r="288" spans="1:72">
      <c r="A288" s="874"/>
      <c r="B288" s="882"/>
      <c r="C288" s="882"/>
      <c r="D288" s="2933"/>
      <c r="E288" s="2934">
        <f t="shared" si="123"/>
        <v>0</v>
      </c>
      <c r="F288" s="2935"/>
      <c r="G288" s="2936">
        <f t="shared" si="124"/>
        <v>0</v>
      </c>
      <c r="H288" s="2937">
        <f t="shared" si="125"/>
        <v>0</v>
      </c>
      <c r="I288" s="2944"/>
      <c r="J288" s="2944"/>
      <c r="K288" s="2944"/>
      <c r="L288" s="2944"/>
      <c r="M288" s="2944"/>
      <c r="N288" s="2944"/>
      <c r="O288" s="2944"/>
      <c r="P288" s="2944"/>
      <c r="Q288" s="2944"/>
      <c r="R288" s="2944"/>
      <c r="S288" s="2944"/>
      <c r="T288" s="2944"/>
      <c r="U288" s="2944"/>
      <c r="V288" s="2944"/>
      <c r="W288" s="2944"/>
      <c r="X288" s="2944"/>
      <c r="Y288" s="2944"/>
      <c r="Z288" s="2944"/>
      <c r="AA288" s="2944"/>
      <c r="AB288" s="2944"/>
      <c r="AC288" s="2934">
        <f t="shared" si="126"/>
        <v>0</v>
      </c>
      <c r="AD288" s="2954"/>
      <c r="AE288" s="2954"/>
      <c r="AF288" s="2954"/>
      <c r="AG288" s="2954"/>
      <c r="AH288" s="2954"/>
      <c r="AI288" s="2954"/>
      <c r="AJ288" s="2954"/>
      <c r="AK288" s="2954"/>
      <c r="AL288" s="2954"/>
      <c r="AM288" s="2954"/>
      <c r="AN288" s="2954"/>
      <c r="AO288" s="2954"/>
      <c r="AP288" s="2954"/>
      <c r="AQ288" s="2954"/>
      <c r="AR288" s="2954"/>
      <c r="AS288" s="2954"/>
      <c r="AT288" s="2935"/>
      <c r="AU288" s="2964"/>
      <c r="AV288" s="857">
        <f t="shared" si="127"/>
        <v>0</v>
      </c>
      <c r="AW288" s="857">
        <f t="shared" si="128"/>
        <v>0</v>
      </c>
      <c r="AX288" s="857">
        <f t="shared" si="129"/>
        <v>0</v>
      </c>
      <c r="AY288" s="807">
        <f t="shared" si="130"/>
        <v>0</v>
      </c>
      <c r="AZ288" s="2934">
        <f t="shared" si="131"/>
        <v>0</v>
      </c>
      <c r="BA288" s="2934">
        <f t="shared" si="132"/>
        <v>0</v>
      </c>
      <c r="BB288" s="2934">
        <f t="shared" si="133"/>
        <v>0</v>
      </c>
      <c r="BC288" s="2934">
        <f t="shared" si="134"/>
        <v>0</v>
      </c>
      <c r="BD288" s="2934">
        <f t="shared" si="135"/>
        <v>0</v>
      </c>
      <c r="BE288" s="2934">
        <f t="shared" si="136"/>
        <v>0</v>
      </c>
      <c r="BF288" s="2934">
        <f t="shared" si="137"/>
        <v>0</v>
      </c>
      <c r="BG288" s="2934">
        <f t="shared" si="138"/>
        <v>0</v>
      </c>
      <c r="BH288" s="2934">
        <f t="shared" si="139"/>
        <v>0</v>
      </c>
      <c r="BI288" s="2934">
        <f t="shared" si="140"/>
        <v>0</v>
      </c>
      <c r="BJ288" s="2934">
        <f t="shared" si="141"/>
        <v>0</v>
      </c>
      <c r="BK288" s="2934">
        <f t="shared" si="142"/>
        <v>0</v>
      </c>
      <c r="BL288" s="2934">
        <f t="shared" si="143"/>
        <v>0</v>
      </c>
      <c r="BM288" s="2934">
        <f t="shared" si="144"/>
        <v>0</v>
      </c>
      <c r="BN288" s="2934">
        <f t="shared" si="145"/>
        <v>0</v>
      </c>
      <c r="BO288" s="2934">
        <f t="shared" si="146"/>
        <v>0</v>
      </c>
      <c r="BP288" s="2934">
        <f t="shared" si="147"/>
        <v>0</v>
      </c>
      <c r="BQ288" s="2934">
        <f t="shared" si="148"/>
        <v>0</v>
      </c>
      <c r="BR288" s="2934">
        <f t="shared" si="149"/>
        <v>0</v>
      </c>
      <c r="BS288" s="2934">
        <f t="shared" si="150"/>
        <v>0</v>
      </c>
      <c r="BT288" s="2982">
        <f t="shared" si="151"/>
        <v>0</v>
      </c>
    </row>
    <row r="289" spans="1:72">
      <c r="A289" s="874"/>
      <c r="B289" s="882"/>
      <c r="C289" s="882"/>
      <c r="D289" s="2933"/>
      <c r="E289" s="2934">
        <f t="shared" si="123"/>
        <v>0</v>
      </c>
      <c r="F289" s="2935"/>
      <c r="G289" s="2936">
        <f t="shared" si="124"/>
        <v>0</v>
      </c>
      <c r="H289" s="2937">
        <f t="shared" si="125"/>
        <v>0</v>
      </c>
      <c r="I289" s="2944"/>
      <c r="J289" s="2944"/>
      <c r="K289" s="2944"/>
      <c r="L289" s="2944"/>
      <c r="M289" s="2944"/>
      <c r="N289" s="2944"/>
      <c r="O289" s="2944"/>
      <c r="P289" s="2944"/>
      <c r="Q289" s="2944"/>
      <c r="R289" s="2944"/>
      <c r="S289" s="2944"/>
      <c r="T289" s="2944"/>
      <c r="U289" s="2944"/>
      <c r="V289" s="2944"/>
      <c r="W289" s="2944"/>
      <c r="X289" s="2944"/>
      <c r="Y289" s="2944"/>
      <c r="Z289" s="2944"/>
      <c r="AA289" s="2944"/>
      <c r="AB289" s="2944"/>
      <c r="AC289" s="2934">
        <f t="shared" si="126"/>
        <v>0</v>
      </c>
      <c r="AD289" s="2954"/>
      <c r="AE289" s="2954"/>
      <c r="AF289" s="2954"/>
      <c r="AG289" s="2954"/>
      <c r="AH289" s="2954"/>
      <c r="AI289" s="2954"/>
      <c r="AJ289" s="2954"/>
      <c r="AK289" s="2954"/>
      <c r="AL289" s="2954"/>
      <c r="AM289" s="2954"/>
      <c r="AN289" s="2954"/>
      <c r="AO289" s="2954"/>
      <c r="AP289" s="2954"/>
      <c r="AQ289" s="2954"/>
      <c r="AR289" s="2954"/>
      <c r="AS289" s="2954"/>
      <c r="AT289" s="2935"/>
      <c r="AU289" s="2964"/>
      <c r="AV289" s="857">
        <f t="shared" si="127"/>
        <v>0</v>
      </c>
      <c r="AW289" s="857">
        <f t="shared" si="128"/>
        <v>0</v>
      </c>
      <c r="AX289" s="857">
        <f t="shared" si="129"/>
        <v>0</v>
      </c>
      <c r="AY289" s="807">
        <f t="shared" si="130"/>
        <v>0</v>
      </c>
      <c r="AZ289" s="2934">
        <f t="shared" si="131"/>
        <v>0</v>
      </c>
      <c r="BA289" s="2934">
        <f t="shared" si="132"/>
        <v>0</v>
      </c>
      <c r="BB289" s="2934">
        <f t="shared" si="133"/>
        <v>0</v>
      </c>
      <c r="BC289" s="2934">
        <f t="shared" si="134"/>
        <v>0</v>
      </c>
      <c r="BD289" s="2934">
        <f t="shared" si="135"/>
        <v>0</v>
      </c>
      <c r="BE289" s="2934">
        <f t="shared" si="136"/>
        <v>0</v>
      </c>
      <c r="BF289" s="2934">
        <f t="shared" si="137"/>
        <v>0</v>
      </c>
      <c r="BG289" s="2934">
        <f t="shared" si="138"/>
        <v>0</v>
      </c>
      <c r="BH289" s="2934">
        <f t="shared" si="139"/>
        <v>0</v>
      </c>
      <c r="BI289" s="2934">
        <f t="shared" si="140"/>
        <v>0</v>
      </c>
      <c r="BJ289" s="2934">
        <f t="shared" si="141"/>
        <v>0</v>
      </c>
      <c r="BK289" s="2934">
        <f t="shared" si="142"/>
        <v>0</v>
      </c>
      <c r="BL289" s="2934">
        <f t="shared" si="143"/>
        <v>0</v>
      </c>
      <c r="BM289" s="2934">
        <f t="shared" si="144"/>
        <v>0</v>
      </c>
      <c r="BN289" s="2934">
        <f t="shared" si="145"/>
        <v>0</v>
      </c>
      <c r="BO289" s="2934">
        <f t="shared" si="146"/>
        <v>0</v>
      </c>
      <c r="BP289" s="2934">
        <f t="shared" si="147"/>
        <v>0</v>
      </c>
      <c r="BQ289" s="2934">
        <f t="shared" si="148"/>
        <v>0</v>
      </c>
      <c r="BR289" s="2934">
        <f t="shared" si="149"/>
        <v>0</v>
      </c>
      <c r="BS289" s="2934">
        <f t="shared" si="150"/>
        <v>0</v>
      </c>
      <c r="BT289" s="2982">
        <f t="shared" si="151"/>
        <v>0</v>
      </c>
    </row>
    <row r="290" spans="1:72">
      <c r="A290" s="874"/>
      <c r="B290" s="882"/>
      <c r="C290" s="882"/>
      <c r="D290" s="2933"/>
      <c r="E290" s="2934">
        <f t="shared" si="123"/>
        <v>0</v>
      </c>
      <c r="F290" s="2935"/>
      <c r="G290" s="2936">
        <f t="shared" si="124"/>
        <v>0</v>
      </c>
      <c r="H290" s="2937">
        <f t="shared" si="125"/>
        <v>0</v>
      </c>
      <c r="I290" s="2944"/>
      <c r="J290" s="2944"/>
      <c r="K290" s="2944"/>
      <c r="L290" s="2944"/>
      <c r="M290" s="2944"/>
      <c r="N290" s="2944"/>
      <c r="O290" s="2944"/>
      <c r="P290" s="2944"/>
      <c r="Q290" s="2944"/>
      <c r="R290" s="2944"/>
      <c r="S290" s="2944"/>
      <c r="T290" s="2944"/>
      <c r="U290" s="2944"/>
      <c r="V290" s="2944"/>
      <c r="W290" s="2944"/>
      <c r="X290" s="2944"/>
      <c r="Y290" s="2944"/>
      <c r="Z290" s="2944"/>
      <c r="AA290" s="2944"/>
      <c r="AB290" s="2944"/>
      <c r="AC290" s="2934">
        <f t="shared" si="126"/>
        <v>0</v>
      </c>
      <c r="AD290" s="2954"/>
      <c r="AE290" s="2954"/>
      <c r="AF290" s="2954"/>
      <c r="AG290" s="2954"/>
      <c r="AH290" s="2954"/>
      <c r="AI290" s="2954"/>
      <c r="AJ290" s="2954"/>
      <c r="AK290" s="2954"/>
      <c r="AL290" s="2954"/>
      <c r="AM290" s="2954"/>
      <c r="AN290" s="2954"/>
      <c r="AO290" s="2954"/>
      <c r="AP290" s="2954"/>
      <c r="AQ290" s="2954"/>
      <c r="AR290" s="2954"/>
      <c r="AS290" s="2954"/>
      <c r="AT290" s="2935"/>
      <c r="AU290" s="2964"/>
      <c r="AV290" s="857">
        <f t="shared" si="127"/>
        <v>0</v>
      </c>
      <c r="AW290" s="857">
        <f t="shared" si="128"/>
        <v>0</v>
      </c>
      <c r="AX290" s="857">
        <f t="shared" si="129"/>
        <v>0</v>
      </c>
      <c r="AY290" s="807">
        <f t="shared" si="130"/>
        <v>0</v>
      </c>
      <c r="AZ290" s="2934">
        <f t="shared" si="131"/>
        <v>0</v>
      </c>
      <c r="BA290" s="2934">
        <f t="shared" si="132"/>
        <v>0</v>
      </c>
      <c r="BB290" s="2934">
        <f t="shared" si="133"/>
        <v>0</v>
      </c>
      <c r="BC290" s="2934">
        <f t="shared" si="134"/>
        <v>0</v>
      </c>
      <c r="BD290" s="2934">
        <f t="shared" si="135"/>
        <v>0</v>
      </c>
      <c r="BE290" s="2934">
        <f t="shared" si="136"/>
        <v>0</v>
      </c>
      <c r="BF290" s="2934">
        <f t="shared" si="137"/>
        <v>0</v>
      </c>
      <c r="BG290" s="2934">
        <f t="shared" si="138"/>
        <v>0</v>
      </c>
      <c r="BH290" s="2934">
        <f t="shared" si="139"/>
        <v>0</v>
      </c>
      <c r="BI290" s="2934">
        <f t="shared" si="140"/>
        <v>0</v>
      </c>
      <c r="BJ290" s="2934">
        <f t="shared" si="141"/>
        <v>0</v>
      </c>
      <c r="BK290" s="2934">
        <f t="shared" si="142"/>
        <v>0</v>
      </c>
      <c r="BL290" s="2934">
        <f t="shared" si="143"/>
        <v>0</v>
      </c>
      <c r="BM290" s="2934">
        <f t="shared" si="144"/>
        <v>0</v>
      </c>
      <c r="BN290" s="2934">
        <f t="shared" si="145"/>
        <v>0</v>
      </c>
      <c r="BO290" s="2934">
        <f t="shared" si="146"/>
        <v>0</v>
      </c>
      <c r="BP290" s="2934">
        <f t="shared" si="147"/>
        <v>0</v>
      </c>
      <c r="BQ290" s="2934">
        <f t="shared" si="148"/>
        <v>0</v>
      </c>
      <c r="BR290" s="2934">
        <f t="shared" si="149"/>
        <v>0</v>
      </c>
      <c r="BS290" s="2934">
        <f t="shared" si="150"/>
        <v>0</v>
      </c>
      <c r="BT290" s="2982">
        <f t="shared" si="151"/>
        <v>0</v>
      </c>
    </row>
    <row r="291" spans="1:72">
      <c r="A291" s="874"/>
      <c r="B291" s="882"/>
      <c r="C291" s="882"/>
      <c r="D291" s="2933"/>
      <c r="E291" s="2934">
        <f t="shared" si="123"/>
        <v>0</v>
      </c>
      <c r="F291" s="2935"/>
      <c r="G291" s="2936">
        <f t="shared" si="124"/>
        <v>0</v>
      </c>
      <c r="H291" s="2937">
        <f t="shared" si="125"/>
        <v>0</v>
      </c>
      <c r="I291" s="2944"/>
      <c r="J291" s="2944"/>
      <c r="K291" s="2944"/>
      <c r="L291" s="2944"/>
      <c r="M291" s="2944"/>
      <c r="N291" s="2944"/>
      <c r="O291" s="2944"/>
      <c r="P291" s="2944"/>
      <c r="Q291" s="2944"/>
      <c r="R291" s="2944"/>
      <c r="S291" s="2944"/>
      <c r="T291" s="2944"/>
      <c r="U291" s="2944"/>
      <c r="V291" s="2944"/>
      <c r="W291" s="2944"/>
      <c r="X291" s="2944"/>
      <c r="Y291" s="2944"/>
      <c r="Z291" s="2944"/>
      <c r="AA291" s="2944"/>
      <c r="AB291" s="2944"/>
      <c r="AC291" s="2934">
        <f t="shared" si="126"/>
        <v>0</v>
      </c>
      <c r="AD291" s="2954"/>
      <c r="AE291" s="2954"/>
      <c r="AF291" s="2954"/>
      <c r="AG291" s="2954"/>
      <c r="AH291" s="2954"/>
      <c r="AI291" s="2954"/>
      <c r="AJ291" s="2954"/>
      <c r="AK291" s="2954"/>
      <c r="AL291" s="2954"/>
      <c r="AM291" s="2954"/>
      <c r="AN291" s="2954"/>
      <c r="AO291" s="2954"/>
      <c r="AP291" s="2954"/>
      <c r="AQ291" s="2954"/>
      <c r="AR291" s="2954"/>
      <c r="AS291" s="2954"/>
      <c r="AT291" s="2935"/>
      <c r="AU291" s="2964"/>
      <c r="AV291" s="857">
        <f t="shared" si="127"/>
        <v>0</v>
      </c>
      <c r="AW291" s="857">
        <f t="shared" si="128"/>
        <v>0</v>
      </c>
      <c r="AX291" s="857">
        <f t="shared" si="129"/>
        <v>0</v>
      </c>
      <c r="AY291" s="807">
        <f t="shared" si="130"/>
        <v>0</v>
      </c>
      <c r="AZ291" s="2934">
        <f t="shared" si="131"/>
        <v>0</v>
      </c>
      <c r="BA291" s="2934">
        <f t="shared" si="132"/>
        <v>0</v>
      </c>
      <c r="BB291" s="2934">
        <f t="shared" si="133"/>
        <v>0</v>
      </c>
      <c r="BC291" s="2934">
        <f t="shared" si="134"/>
        <v>0</v>
      </c>
      <c r="BD291" s="2934">
        <f t="shared" si="135"/>
        <v>0</v>
      </c>
      <c r="BE291" s="2934">
        <f t="shared" si="136"/>
        <v>0</v>
      </c>
      <c r="BF291" s="2934">
        <f t="shared" si="137"/>
        <v>0</v>
      </c>
      <c r="BG291" s="2934">
        <f t="shared" si="138"/>
        <v>0</v>
      </c>
      <c r="BH291" s="2934">
        <f t="shared" si="139"/>
        <v>0</v>
      </c>
      <c r="BI291" s="2934">
        <f t="shared" si="140"/>
        <v>0</v>
      </c>
      <c r="BJ291" s="2934">
        <f t="shared" si="141"/>
        <v>0</v>
      </c>
      <c r="BK291" s="2934">
        <f t="shared" si="142"/>
        <v>0</v>
      </c>
      <c r="BL291" s="2934">
        <f t="shared" si="143"/>
        <v>0</v>
      </c>
      <c r="BM291" s="2934">
        <f t="shared" si="144"/>
        <v>0</v>
      </c>
      <c r="BN291" s="2934">
        <f t="shared" si="145"/>
        <v>0</v>
      </c>
      <c r="BO291" s="2934">
        <f t="shared" si="146"/>
        <v>0</v>
      </c>
      <c r="BP291" s="2934">
        <f t="shared" si="147"/>
        <v>0</v>
      </c>
      <c r="BQ291" s="2934">
        <f t="shared" si="148"/>
        <v>0</v>
      </c>
      <c r="BR291" s="2934">
        <f t="shared" si="149"/>
        <v>0</v>
      </c>
      <c r="BS291" s="2934">
        <f t="shared" si="150"/>
        <v>0</v>
      </c>
      <c r="BT291" s="2982">
        <f t="shared" si="151"/>
        <v>0</v>
      </c>
    </row>
    <row r="292" spans="1:72">
      <c r="A292" s="874"/>
      <c r="B292" s="882"/>
      <c r="C292" s="882"/>
      <c r="D292" s="2933"/>
      <c r="E292" s="2934">
        <f t="shared" si="123"/>
        <v>0</v>
      </c>
      <c r="F292" s="2935"/>
      <c r="G292" s="2936">
        <f t="shared" si="124"/>
        <v>0</v>
      </c>
      <c r="H292" s="2937">
        <f t="shared" si="125"/>
        <v>0</v>
      </c>
      <c r="I292" s="2944"/>
      <c r="J292" s="2944"/>
      <c r="K292" s="2944"/>
      <c r="L292" s="2944"/>
      <c r="M292" s="2944"/>
      <c r="N292" s="2944"/>
      <c r="O292" s="2944"/>
      <c r="P292" s="2944"/>
      <c r="Q292" s="2944"/>
      <c r="R292" s="2944"/>
      <c r="S292" s="2944"/>
      <c r="T292" s="2944"/>
      <c r="U292" s="2944"/>
      <c r="V292" s="2944"/>
      <c r="W292" s="2944"/>
      <c r="X292" s="2944"/>
      <c r="Y292" s="2944"/>
      <c r="Z292" s="2944"/>
      <c r="AA292" s="2944"/>
      <c r="AB292" s="2944"/>
      <c r="AC292" s="2934">
        <f t="shared" si="126"/>
        <v>0</v>
      </c>
      <c r="AD292" s="2954"/>
      <c r="AE292" s="2954"/>
      <c r="AF292" s="2954"/>
      <c r="AG292" s="2954"/>
      <c r="AH292" s="2954"/>
      <c r="AI292" s="2954"/>
      <c r="AJ292" s="2954"/>
      <c r="AK292" s="2954"/>
      <c r="AL292" s="2954"/>
      <c r="AM292" s="2954"/>
      <c r="AN292" s="2954"/>
      <c r="AO292" s="2954"/>
      <c r="AP292" s="2954"/>
      <c r="AQ292" s="2954"/>
      <c r="AR292" s="2954"/>
      <c r="AS292" s="2954"/>
      <c r="AT292" s="2935"/>
      <c r="AU292" s="2964"/>
      <c r="AV292" s="857">
        <f t="shared" si="127"/>
        <v>0</v>
      </c>
      <c r="AW292" s="857">
        <f t="shared" si="128"/>
        <v>0</v>
      </c>
      <c r="AX292" s="857">
        <f t="shared" si="129"/>
        <v>0</v>
      </c>
      <c r="AY292" s="807">
        <f t="shared" si="130"/>
        <v>0</v>
      </c>
      <c r="AZ292" s="2934">
        <f t="shared" si="131"/>
        <v>0</v>
      </c>
      <c r="BA292" s="2934">
        <f t="shared" si="132"/>
        <v>0</v>
      </c>
      <c r="BB292" s="2934">
        <f t="shared" si="133"/>
        <v>0</v>
      </c>
      <c r="BC292" s="2934">
        <f t="shared" si="134"/>
        <v>0</v>
      </c>
      <c r="BD292" s="2934">
        <f t="shared" si="135"/>
        <v>0</v>
      </c>
      <c r="BE292" s="2934">
        <f t="shared" si="136"/>
        <v>0</v>
      </c>
      <c r="BF292" s="2934">
        <f t="shared" si="137"/>
        <v>0</v>
      </c>
      <c r="BG292" s="2934">
        <f t="shared" si="138"/>
        <v>0</v>
      </c>
      <c r="BH292" s="2934">
        <f t="shared" si="139"/>
        <v>0</v>
      </c>
      <c r="BI292" s="2934">
        <f t="shared" si="140"/>
        <v>0</v>
      </c>
      <c r="BJ292" s="2934">
        <f t="shared" si="141"/>
        <v>0</v>
      </c>
      <c r="BK292" s="2934">
        <f t="shared" si="142"/>
        <v>0</v>
      </c>
      <c r="BL292" s="2934">
        <f t="shared" si="143"/>
        <v>0</v>
      </c>
      <c r="BM292" s="2934">
        <f t="shared" si="144"/>
        <v>0</v>
      </c>
      <c r="BN292" s="2934">
        <f t="shared" si="145"/>
        <v>0</v>
      </c>
      <c r="BO292" s="2934">
        <f t="shared" si="146"/>
        <v>0</v>
      </c>
      <c r="BP292" s="2934">
        <f t="shared" si="147"/>
        <v>0</v>
      </c>
      <c r="BQ292" s="2934">
        <f t="shared" si="148"/>
        <v>0</v>
      </c>
      <c r="BR292" s="2934">
        <f t="shared" si="149"/>
        <v>0</v>
      </c>
      <c r="BS292" s="2934">
        <f t="shared" si="150"/>
        <v>0</v>
      </c>
      <c r="BT292" s="2982">
        <f t="shared" si="151"/>
        <v>0</v>
      </c>
    </row>
    <row r="293" spans="1:72">
      <c r="A293" s="874"/>
      <c r="B293" s="882"/>
      <c r="C293" s="882"/>
      <c r="D293" s="2933"/>
      <c r="E293" s="2934">
        <f t="shared" si="123"/>
        <v>0</v>
      </c>
      <c r="F293" s="2935"/>
      <c r="G293" s="2936">
        <f t="shared" si="124"/>
        <v>0</v>
      </c>
      <c r="H293" s="2937">
        <f t="shared" si="125"/>
        <v>0</v>
      </c>
      <c r="I293" s="2944"/>
      <c r="J293" s="2944"/>
      <c r="K293" s="2944"/>
      <c r="L293" s="2944"/>
      <c r="M293" s="2944"/>
      <c r="N293" s="2944"/>
      <c r="O293" s="2944"/>
      <c r="P293" s="2944"/>
      <c r="Q293" s="2944"/>
      <c r="R293" s="2944"/>
      <c r="S293" s="2944"/>
      <c r="T293" s="2944"/>
      <c r="U293" s="2944"/>
      <c r="V293" s="2944"/>
      <c r="W293" s="2944"/>
      <c r="X293" s="2944"/>
      <c r="Y293" s="2944"/>
      <c r="Z293" s="2944"/>
      <c r="AA293" s="2944"/>
      <c r="AB293" s="2944"/>
      <c r="AC293" s="2934">
        <f t="shared" si="126"/>
        <v>0</v>
      </c>
      <c r="AD293" s="2954"/>
      <c r="AE293" s="2954"/>
      <c r="AF293" s="2954"/>
      <c r="AG293" s="2954"/>
      <c r="AH293" s="2954"/>
      <c r="AI293" s="2954"/>
      <c r="AJ293" s="2954"/>
      <c r="AK293" s="2954"/>
      <c r="AL293" s="2954"/>
      <c r="AM293" s="2954"/>
      <c r="AN293" s="2954"/>
      <c r="AO293" s="2954"/>
      <c r="AP293" s="2954"/>
      <c r="AQ293" s="2954"/>
      <c r="AR293" s="2954"/>
      <c r="AS293" s="2954"/>
      <c r="AT293" s="2935"/>
      <c r="AU293" s="2964"/>
      <c r="AV293" s="857">
        <f t="shared" si="127"/>
        <v>0</v>
      </c>
      <c r="AW293" s="857">
        <f t="shared" si="128"/>
        <v>0</v>
      </c>
      <c r="AX293" s="857">
        <f t="shared" si="129"/>
        <v>0</v>
      </c>
      <c r="AY293" s="807">
        <f t="shared" si="130"/>
        <v>0</v>
      </c>
      <c r="AZ293" s="2934">
        <f t="shared" si="131"/>
        <v>0</v>
      </c>
      <c r="BA293" s="2934">
        <f t="shared" si="132"/>
        <v>0</v>
      </c>
      <c r="BB293" s="2934">
        <f t="shared" si="133"/>
        <v>0</v>
      </c>
      <c r="BC293" s="2934">
        <f t="shared" si="134"/>
        <v>0</v>
      </c>
      <c r="BD293" s="2934">
        <f t="shared" si="135"/>
        <v>0</v>
      </c>
      <c r="BE293" s="2934">
        <f t="shared" si="136"/>
        <v>0</v>
      </c>
      <c r="BF293" s="2934">
        <f t="shared" si="137"/>
        <v>0</v>
      </c>
      <c r="BG293" s="2934">
        <f t="shared" si="138"/>
        <v>0</v>
      </c>
      <c r="BH293" s="2934">
        <f t="shared" si="139"/>
        <v>0</v>
      </c>
      <c r="BI293" s="2934">
        <f t="shared" si="140"/>
        <v>0</v>
      </c>
      <c r="BJ293" s="2934">
        <f t="shared" si="141"/>
        <v>0</v>
      </c>
      <c r="BK293" s="2934">
        <f t="shared" si="142"/>
        <v>0</v>
      </c>
      <c r="BL293" s="2934">
        <f t="shared" si="143"/>
        <v>0</v>
      </c>
      <c r="BM293" s="2934">
        <f t="shared" si="144"/>
        <v>0</v>
      </c>
      <c r="BN293" s="2934">
        <f t="shared" si="145"/>
        <v>0</v>
      </c>
      <c r="BO293" s="2934">
        <f t="shared" si="146"/>
        <v>0</v>
      </c>
      <c r="BP293" s="2934">
        <f t="shared" si="147"/>
        <v>0</v>
      </c>
      <c r="BQ293" s="2934">
        <f t="shared" si="148"/>
        <v>0</v>
      </c>
      <c r="BR293" s="2934">
        <f t="shared" si="149"/>
        <v>0</v>
      </c>
      <c r="BS293" s="2934">
        <f t="shared" si="150"/>
        <v>0</v>
      </c>
      <c r="BT293" s="2982">
        <f t="shared" si="151"/>
        <v>0</v>
      </c>
    </row>
    <row r="294" spans="1:72">
      <c r="A294" s="874"/>
      <c r="B294" s="882"/>
      <c r="C294" s="882"/>
      <c r="D294" s="2933"/>
      <c r="E294" s="2934">
        <f t="shared" si="123"/>
        <v>0</v>
      </c>
      <c r="F294" s="2935"/>
      <c r="G294" s="2936">
        <f t="shared" si="124"/>
        <v>0</v>
      </c>
      <c r="H294" s="2937">
        <f t="shared" si="125"/>
        <v>0</v>
      </c>
      <c r="I294" s="2944"/>
      <c r="J294" s="2944"/>
      <c r="K294" s="2944"/>
      <c r="L294" s="2944"/>
      <c r="M294" s="2944"/>
      <c r="N294" s="2944"/>
      <c r="O294" s="2944"/>
      <c r="P294" s="2944"/>
      <c r="Q294" s="2944"/>
      <c r="R294" s="2944"/>
      <c r="S294" s="2944"/>
      <c r="T294" s="2944"/>
      <c r="U294" s="2944"/>
      <c r="V294" s="2944"/>
      <c r="W294" s="2944"/>
      <c r="X294" s="2944"/>
      <c r="Y294" s="2944"/>
      <c r="Z294" s="2944"/>
      <c r="AA294" s="2944"/>
      <c r="AB294" s="2944"/>
      <c r="AC294" s="2934">
        <f t="shared" si="126"/>
        <v>0</v>
      </c>
      <c r="AD294" s="2954"/>
      <c r="AE294" s="2954"/>
      <c r="AF294" s="2954"/>
      <c r="AG294" s="2954"/>
      <c r="AH294" s="2954"/>
      <c r="AI294" s="2954"/>
      <c r="AJ294" s="2954"/>
      <c r="AK294" s="2954"/>
      <c r="AL294" s="2954"/>
      <c r="AM294" s="2954"/>
      <c r="AN294" s="2954"/>
      <c r="AO294" s="2954"/>
      <c r="AP294" s="2954"/>
      <c r="AQ294" s="2954"/>
      <c r="AR294" s="2954"/>
      <c r="AS294" s="2954"/>
      <c r="AT294" s="2935"/>
      <c r="AU294" s="2964"/>
      <c r="AV294" s="857">
        <f t="shared" si="127"/>
        <v>0</v>
      </c>
      <c r="AW294" s="857">
        <f t="shared" si="128"/>
        <v>0</v>
      </c>
      <c r="AX294" s="857">
        <f t="shared" si="129"/>
        <v>0</v>
      </c>
      <c r="AY294" s="807">
        <f t="shared" si="130"/>
        <v>0</v>
      </c>
      <c r="AZ294" s="2934">
        <f t="shared" si="131"/>
        <v>0</v>
      </c>
      <c r="BA294" s="2934">
        <f t="shared" si="132"/>
        <v>0</v>
      </c>
      <c r="BB294" s="2934">
        <f t="shared" si="133"/>
        <v>0</v>
      </c>
      <c r="BC294" s="2934">
        <f t="shared" si="134"/>
        <v>0</v>
      </c>
      <c r="BD294" s="2934">
        <f t="shared" si="135"/>
        <v>0</v>
      </c>
      <c r="BE294" s="2934">
        <f t="shared" si="136"/>
        <v>0</v>
      </c>
      <c r="BF294" s="2934">
        <f t="shared" si="137"/>
        <v>0</v>
      </c>
      <c r="BG294" s="2934">
        <f t="shared" si="138"/>
        <v>0</v>
      </c>
      <c r="BH294" s="2934">
        <f t="shared" si="139"/>
        <v>0</v>
      </c>
      <c r="BI294" s="2934">
        <f t="shared" si="140"/>
        <v>0</v>
      </c>
      <c r="BJ294" s="2934">
        <f t="shared" si="141"/>
        <v>0</v>
      </c>
      <c r="BK294" s="2934">
        <f t="shared" si="142"/>
        <v>0</v>
      </c>
      <c r="BL294" s="2934">
        <f t="shared" si="143"/>
        <v>0</v>
      </c>
      <c r="BM294" s="2934">
        <f t="shared" si="144"/>
        <v>0</v>
      </c>
      <c r="BN294" s="2934">
        <f t="shared" si="145"/>
        <v>0</v>
      </c>
      <c r="BO294" s="2934">
        <f t="shared" si="146"/>
        <v>0</v>
      </c>
      <c r="BP294" s="2934">
        <f t="shared" si="147"/>
        <v>0</v>
      </c>
      <c r="BQ294" s="2934">
        <f t="shared" si="148"/>
        <v>0</v>
      </c>
      <c r="BR294" s="2934">
        <f t="shared" si="149"/>
        <v>0</v>
      </c>
      <c r="BS294" s="2934">
        <f t="shared" si="150"/>
        <v>0</v>
      </c>
      <c r="BT294" s="2982">
        <f t="shared" si="151"/>
        <v>0</v>
      </c>
    </row>
    <row r="295" spans="1:72">
      <c r="A295" s="874"/>
      <c r="B295" s="882"/>
      <c r="C295" s="882"/>
      <c r="D295" s="2933"/>
      <c r="E295" s="2934">
        <f t="shared" si="123"/>
        <v>0</v>
      </c>
      <c r="F295" s="2935"/>
      <c r="G295" s="2936">
        <f t="shared" si="124"/>
        <v>0</v>
      </c>
      <c r="H295" s="2937">
        <f t="shared" si="125"/>
        <v>0</v>
      </c>
      <c r="I295" s="2944"/>
      <c r="J295" s="2944"/>
      <c r="K295" s="2944"/>
      <c r="L295" s="2944"/>
      <c r="M295" s="2944"/>
      <c r="N295" s="2944"/>
      <c r="O295" s="2944"/>
      <c r="P295" s="2944"/>
      <c r="Q295" s="2944"/>
      <c r="R295" s="2944"/>
      <c r="S295" s="2944"/>
      <c r="T295" s="2944"/>
      <c r="U295" s="2944"/>
      <c r="V295" s="2944"/>
      <c r="W295" s="2944"/>
      <c r="X295" s="2944"/>
      <c r="Y295" s="2944"/>
      <c r="Z295" s="2944"/>
      <c r="AA295" s="2944"/>
      <c r="AB295" s="2944"/>
      <c r="AC295" s="2934">
        <f t="shared" si="126"/>
        <v>0</v>
      </c>
      <c r="AD295" s="2954"/>
      <c r="AE295" s="2954"/>
      <c r="AF295" s="2954"/>
      <c r="AG295" s="2954"/>
      <c r="AH295" s="2954"/>
      <c r="AI295" s="2954"/>
      <c r="AJ295" s="2954"/>
      <c r="AK295" s="2954"/>
      <c r="AL295" s="2954"/>
      <c r="AM295" s="2954"/>
      <c r="AN295" s="2954"/>
      <c r="AO295" s="2954"/>
      <c r="AP295" s="2954"/>
      <c r="AQ295" s="2954"/>
      <c r="AR295" s="2954"/>
      <c r="AS295" s="2954"/>
      <c r="AT295" s="2935"/>
      <c r="AU295" s="2964"/>
      <c r="AV295" s="857">
        <f t="shared" si="127"/>
        <v>0</v>
      </c>
      <c r="AW295" s="857">
        <f t="shared" si="128"/>
        <v>0</v>
      </c>
      <c r="AX295" s="857">
        <f t="shared" si="129"/>
        <v>0</v>
      </c>
      <c r="AY295" s="807">
        <f t="shared" si="130"/>
        <v>0</v>
      </c>
      <c r="AZ295" s="2934">
        <f t="shared" si="131"/>
        <v>0</v>
      </c>
      <c r="BA295" s="2934">
        <f t="shared" si="132"/>
        <v>0</v>
      </c>
      <c r="BB295" s="2934">
        <f t="shared" si="133"/>
        <v>0</v>
      </c>
      <c r="BC295" s="2934">
        <f t="shared" si="134"/>
        <v>0</v>
      </c>
      <c r="BD295" s="2934">
        <f t="shared" si="135"/>
        <v>0</v>
      </c>
      <c r="BE295" s="2934">
        <f t="shared" si="136"/>
        <v>0</v>
      </c>
      <c r="BF295" s="2934">
        <f t="shared" si="137"/>
        <v>0</v>
      </c>
      <c r="BG295" s="2934">
        <f t="shared" si="138"/>
        <v>0</v>
      </c>
      <c r="BH295" s="2934">
        <f t="shared" si="139"/>
        <v>0</v>
      </c>
      <c r="BI295" s="2934">
        <f t="shared" si="140"/>
        <v>0</v>
      </c>
      <c r="BJ295" s="2934">
        <f t="shared" si="141"/>
        <v>0</v>
      </c>
      <c r="BK295" s="2934">
        <f t="shared" si="142"/>
        <v>0</v>
      </c>
      <c r="BL295" s="2934">
        <f t="shared" si="143"/>
        <v>0</v>
      </c>
      <c r="BM295" s="2934">
        <f t="shared" si="144"/>
        <v>0</v>
      </c>
      <c r="BN295" s="2934">
        <f t="shared" si="145"/>
        <v>0</v>
      </c>
      <c r="BO295" s="2934">
        <f t="shared" si="146"/>
        <v>0</v>
      </c>
      <c r="BP295" s="2934">
        <f t="shared" si="147"/>
        <v>0</v>
      </c>
      <c r="BQ295" s="2934">
        <f t="shared" si="148"/>
        <v>0</v>
      </c>
      <c r="BR295" s="2934">
        <f t="shared" si="149"/>
        <v>0</v>
      </c>
      <c r="BS295" s="2934">
        <f t="shared" si="150"/>
        <v>0</v>
      </c>
      <c r="BT295" s="2982">
        <f t="shared" si="151"/>
        <v>0</v>
      </c>
    </row>
    <row r="296" spans="1:72">
      <c r="A296" s="874"/>
      <c r="B296" s="882"/>
      <c r="C296" s="882"/>
      <c r="D296" s="2933"/>
      <c r="E296" s="2934">
        <f t="shared" si="123"/>
        <v>0</v>
      </c>
      <c r="F296" s="2935"/>
      <c r="G296" s="2936">
        <f t="shared" si="124"/>
        <v>0</v>
      </c>
      <c r="H296" s="2937">
        <f t="shared" si="125"/>
        <v>0</v>
      </c>
      <c r="I296" s="2944"/>
      <c r="J296" s="2944"/>
      <c r="K296" s="2944"/>
      <c r="L296" s="2944"/>
      <c r="M296" s="2944"/>
      <c r="N296" s="2944"/>
      <c r="O296" s="2944"/>
      <c r="P296" s="2944"/>
      <c r="Q296" s="2944"/>
      <c r="R296" s="2944"/>
      <c r="S296" s="2944"/>
      <c r="T296" s="2944"/>
      <c r="U296" s="2944"/>
      <c r="V296" s="2944"/>
      <c r="W296" s="2944"/>
      <c r="X296" s="2944"/>
      <c r="Y296" s="2944"/>
      <c r="Z296" s="2944"/>
      <c r="AA296" s="2944"/>
      <c r="AB296" s="2944"/>
      <c r="AC296" s="2934">
        <f t="shared" si="126"/>
        <v>0</v>
      </c>
      <c r="AD296" s="2954"/>
      <c r="AE296" s="2954"/>
      <c r="AF296" s="2954"/>
      <c r="AG296" s="2954"/>
      <c r="AH296" s="2954"/>
      <c r="AI296" s="2954"/>
      <c r="AJ296" s="2954"/>
      <c r="AK296" s="2954"/>
      <c r="AL296" s="2954"/>
      <c r="AM296" s="2954"/>
      <c r="AN296" s="2954"/>
      <c r="AO296" s="2954"/>
      <c r="AP296" s="2954"/>
      <c r="AQ296" s="2954"/>
      <c r="AR296" s="2954"/>
      <c r="AS296" s="2954"/>
      <c r="AT296" s="2935"/>
      <c r="AU296" s="2964"/>
      <c r="AV296" s="857">
        <f t="shared" si="127"/>
        <v>0</v>
      </c>
      <c r="AW296" s="857">
        <f t="shared" si="128"/>
        <v>0</v>
      </c>
      <c r="AX296" s="857">
        <f t="shared" si="129"/>
        <v>0</v>
      </c>
      <c r="AY296" s="807">
        <f t="shared" si="130"/>
        <v>0</v>
      </c>
      <c r="AZ296" s="2934">
        <f t="shared" si="131"/>
        <v>0</v>
      </c>
      <c r="BA296" s="2934">
        <f t="shared" si="132"/>
        <v>0</v>
      </c>
      <c r="BB296" s="2934">
        <f t="shared" si="133"/>
        <v>0</v>
      </c>
      <c r="BC296" s="2934">
        <f t="shared" si="134"/>
        <v>0</v>
      </c>
      <c r="BD296" s="2934">
        <f t="shared" si="135"/>
        <v>0</v>
      </c>
      <c r="BE296" s="2934">
        <f t="shared" si="136"/>
        <v>0</v>
      </c>
      <c r="BF296" s="2934">
        <f t="shared" si="137"/>
        <v>0</v>
      </c>
      <c r="BG296" s="2934">
        <f t="shared" si="138"/>
        <v>0</v>
      </c>
      <c r="BH296" s="2934">
        <f t="shared" si="139"/>
        <v>0</v>
      </c>
      <c r="BI296" s="2934">
        <f t="shared" si="140"/>
        <v>0</v>
      </c>
      <c r="BJ296" s="2934">
        <f t="shared" si="141"/>
        <v>0</v>
      </c>
      <c r="BK296" s="2934">
        <f t="shared" si="142"/>
        <v>0</v>
      </c>
      <c r="BL296" s="2934">
        <f t="shared" si="143"/>
        <v>0</v>
      </c>
      <c r="BM296" s="2934">
        <f t="shared" si="144"/>
        <v>0</v>
      </c>
      <c r="BN296" s="2934">
        <f t="shared" si="145"/>
        <v>0</v>
      </c>
      <c r="BO296" s="2934">
        <f t="shared" si="146"/>
        <v>0</v>
      </c>
      <c r="BP296" s="2934">
        <f t="shared" si="147"/>
        <v>0</v>
      </c>
      <c r="BQ296" s="2934">
        <f t="shared" si="148"/>
        <v>0</v>
      </c>
      <c r="BR296" s="2934">
        <f t="shared" si="149"/>
        <v>0</v>
      </c>
      <c r="BS296" s="2934">
        <f t="shared" si="150"/>
        <v>0</v>
      </c>
      <c r="BT296" s="2982">
        <f t="shared" si="151"/>
        <v>0</v>
      </c>
    </row>
    <row r="297" spans="1:72">
      <c r="A297" s="874"/>
      <c r="B297" s="882"/>
      <c r="C297" s="882"/>
      <c r="D297" s="2933"/>
      <c r="E297" s="2934">
        <f t="shared" si="123"/>
        <v>0</v>
      </c>
      <c r="F297" s="2935"/>
      <c r="G297" s="2936">
        <f t="shared" si="124"/>
        <v>0</v>
      </c>
      <c r="H297" s="2937">
        <f t="shared" si="125"/>
        <v>0</v>
      </c>
      <c r="I297" s="2944"/>
      <c r="J297" s="2944"/>
      <c r="K297" s="2944"/>
      <c r="L297" s="2944"/>
      <c r="M297" s="2944"/>
      <c r="N297" s="2944"/>
      <c r="O297" s="2944"/>
      <c r="P297" s="2944"/>
      <c r="Q297" s="2944"/>
      <c r="R297" s="2944"/>
      <c r="S297" s="2944"/>
      <c r="T297" s="2944"/>
      <c r="U297" s="2944"/>
      <c r="V297" s="2944"/>
      <c r="W297" s="2944"/>
      <c r="X297" s="2944"/>
      <c r="Y297" s="2944"/>
      <c r="Z297" s="2944"/>
      <c r="AA297" s="2944"/>
      <c r="AB297" s="2944"/>
      <c r="AC297" s="2934">
        <f t="shared" si="126"/>
        <v>0</v>
      </c>
      <c r="AD297" s="2954"/>
      <c r="AE297" s="2954"/>
      <c r="AF297" s="2954"/>
      <c r="AG297" s="2954"/>
      <c r="AH297" s="2954"/>
      <c r="AI297" s="2954"/>
      <c r="AJ297" s="2954"/>
      <c r="AK297" s="2954"/>
      <c r="AL297" s="2954"/>
      <c r="AM297" s="2954"/>
      <c r="AN297" s="2954"/>
      <c r="AO297" s="2954"/>
      <c r="AP297" s="2954"/>
      <c r="AQ297" s="2954"/>
      <c r="AR297" s="2954"/>
      <c r="AS297" s="2954"/>
      <c r="AT297" s="2935"/>
      <c r="AU297" s="2964"/>
      <c r="AV297" s="857">
        <f t="shared" si="127"/>
        <v>0</v>
      </c>
      <c r="AW297" s="857">
        <f t="shared" si="128"/>
        <v>0</v>
      </c>
      <c r="AX297" s="857">
        <f t="shared" si="129"/>
        <v>0</v>
      </c>
      <c r="AY297" s="807">
        <f t="shared" si="130"/>
        <v>0</v>
      </c>
      <c r="AZ297" s="2934">
        <f t="shared" si="131"/>
        <v>0</v>
      </c>
      <c r="BA297" s="2934">
        <f t="shared" si="132"/>
        <v>0</v>
      </c>
      <c r="BB297" s="2934">
        <f t="shared" si="133"/>
        <v>0</v>
      </c>
      <c r="BC297" s="2934">
        <f t="shared" si="134"/>
        <v>0</v>
      </c>
      <c r="BD297" s="2934">
        <f t="shared" si="135"/>
        <v>0</v>
      </c>
      <c r="BE297" s="2934">
        <f t="shared" si="136"/>
        <v>0</v>
      </c>
      <c r="BF297" s="2934">
        <f t="shared" si="137"/>
        <v>0</v>
      </c>
      <c r="BG297" s="2934">
        <f t="shared" si="138"/>
        <v>0</v>
      </c>
      <c r="BH297" s="2934">
        <f t="shared" si="139"/>
        <v>0</v>
      </c>
      <c r="BI297" s="2934">
        <f t="shared" si="140"/>
        <v>0</v>
      </c>
      <c r="BJ297" s="2934">
        <f t="shared" si="141"/>
        <v>0</v>
      </c>
      <c r="BK297" s="2934">
        <f t="shared" si="142"/>
        <v>0</v>
      </c>
      <c r="BL297" s="2934">
        <f t="shared" si="143"/>
        <v>0</v>
      </c>
      <c r="BM297" s="2934">
        <f t="shared" si="144"/>
        <v>0</v>
      </c>
      <c r="BN297" s="2934">
        <f t="shared" si="145"/>
        <v>0</v>
      </c>
      <c r="BO297" s="2934">
        <f t="shared" si="146"/>
        <v>0</v>
      </c>
      <c r="BP297" s="2934">
        <f t="shared" si="147"/>
        <v>0</v>
      </c>
      <c r="BQ297" s="2934">
        <f t="shared" si="148"/>
        <v>0</v>
      </c>
      <c r="BR297" s="2934">
        <f t="shared" si="149"/>
        <v>0</v>
      </c>
      <c r="BS297" s="2934">
        <f t="shared" si="150"/>
        <v>0</v>
      </c>
      <c r="BT297" s="2982">
        <f t="shared" si="151"/>
        <v>0</v>
      </c>
    </row>
    <row r="298" spans="1:72">
      <c r="A298" s="874"/>
      <c r="B298" s="882"/>
      <c r="C298" s="882"/>
      <c r="D298" s="2933"/>
      <c r="E298" s="2934">
        <f t="shared" si="123"/>
        <v>0</v>
      </c>
      <c r="F298" s="2935"/>
      <c r="G298" s="2936">
        <f t="shared" si="124"/>
        <v>0</v>
      </c>
      <c r="H298" s="2937">
        <f t="shared" si="125"/>
        <v>0</v>
      </c>
      <c r="I298" s="2944"/>
      <c r="J298" s="2944"/>
      <c r="K298" s="2944"/>
      <c r="L298" s="2944"/>
      <c r="M298" s="2944"/>
      <c r="N298" s="2944"/>
      <c r="O298" s="2944"/>
      <c r="P298" s="2944"/>
      <c r="Q298" s="2944"/>
      <c r="R298" s="2944"/>
      <c r="S298" s="2944"/>
      <c r="T298" s="2944"/>
      <c r="U298" s="2944"/>
      <c r="V298" s="2944"/>
      <c r="W298" s="2944"/>
      <c r="X298" s="2944"/>
      <c r="Y298" s="2944"/>
      <c r="Z298" s="2944"/>
      <c r="AA298" s="2944"/>
      <c r="AB298" s="2944"/>
      <c r="AC298" s="2934">
        <f t="shared" si="126"/>
        <v>0</v>
      </c>
      <c r="AD298" s="2954"/>
      <c r="AE298" s="2954"/>
      <c r="AF298" s="2954"/>
      <c r="AG298" s="2954"/>
      <c r="AH298" s="2954"/>
      <c r="AI298" s="2954"/>
      <c r="AJ298" s="2954"/>
      <c r="AK298" s="2954"/>
      <c r="AL298" s="2954"/>
      <c r="AM298" s="2954"/>
      <c r="AN298" s="2954"/>
      <c r="AO298" s="2954"/>
      <c r="AP298" s="2954"/>
      <c r="AQ298" s="2954"/>
      <c r="AR298" s="2954"/>
      <c r="AS298" s="2954"/>
      <c r="AT298" s="2935"/>
      <c r="AU298" s="2964"/>
      <c r="AV298" s="857">
        <f t="shared" si="127"/>
        <v>0</v>
      </c>
      <c r="AW298" s="857">
        <f t="shared" si="128"/>
        <v>0</v>
      </c>
      <c r="AX298" s="857">
        <f t="shared" si="129"/>
        <v>0</v>
      </c>
      <c r="AY298" s="807">
        <f t="shared" si="130"/>
        <v>0</v>
      </c>
      <c r="AZ298" s="2934">
        <f t="shared" si="131"/>
        <v>0</v>
      </c>
      <c r="BA298" s="2934">
        <f t="shared" si="132"/>
        <v>0</v>
      </c>
      <c r="BB298" s="2934">
        <f t="shared" si="133"/>
        <v>0</v>
      </c>
      <c r="BC298" s="2934">
        <f t="shared" si="134"/>
        <v>0</v>
      </c>
      <c r="BD298" s="2934">
        <f t="shared" si="135"/>
        <v>0</v>
      </c>
      <c r="BE298" s="2934">
        <f t="shared" si="136"/>
        <v>0</v>
      </c>
      <c r="BF298" s="2934">
        <f t="shared" si="137"/>
        <v>0</v>
      </c>
      <c r="BG298" s="2934">
        <f t="shared" si="138"/>
        <v>0</v>
      </c>
      <c r="BH298" s="2934">
        <f t="shared" si="139"/>
        <v>0</v>
      </c>
      <c r="BI298" s="2934">
        <f t="shared" si="140"/>
        <v>0</v>
      </c>
      <c r="BJ298" s="2934">
        <f t="shared" si="141"/>
        <v>0</v>
      </c>
      <c r="BK298" s="2934">
        <f t="shared" si="142"/>
        <v>0</v>
      </c>
      <c r="BL298" s="2934">
        <f t="shared" si="143"/>
        <v>0</v>
      </c>
      <c r="BM298" s="2934">
        <f t="shared" si="144"/>
        <v>0</v>
      </c>
      <c r="BN298" s="2934">
        <f t="shared" si="145"/>
        <v>0</v>
      </c>
      <c r="BO298" s="2934">
        <f t="shared" si="146"/>
        <v>0</v>
      </c>
      <c r="BP298" s="2934">
        <f t="shared" si="147"/>
        <v>0</v>
      </c>
      <c r="BQ298" s="2934">
        <f t="shared" si="148"/>
        <v>0</v>
      </c>
      <c r="BR298" s="2934">
        <f t="shared" si="149"/>
        <v>0</v>
      </c>
      <c r="BS298" s="2934">
        <f t="shared" si="150"/>
        <v>0</v>
      </c>
      <c r="BT298" s="2982">
        <f t="shared" si="151"/>
        <v>0</v>
      </c>
    </row>
    <row r="299" spans="1:72">
      <c r="A299" s="874"/>
      <c r="B299" s="882"/>
      <c r="C299" s="882"/>
      <c r="D299" s="2933"/>
      <c r="E299" s="2934">
        <f t="shared" si="123"/>
        <v>0</v>
      </c>
      <c r="F299" s="2935"/>
      <c r="G299" s="2936">
        <f t="shared" si="124"/>
        <v>0</v>
      </c>
      <c r="H299" s="2937">
        <f t="shared" si="125"/>
        <v>0</v>
      </c>
      <c r="I299" s="2944"/>
      <c r="J299" s="2944"/>
      <c r="K299" s="2944"/>
      <c r="L299" s="2944"/>
      <c r="M299" s="2944"/>
      <c r="N299" s="2944"/>
      <c r="O299" s="2944"/>
      <c r="P299" s="2944"/>
      <c r="Q299" s="2944"/>
      <c r="R299" s="2944"/>
      <c r="S299" s="2944"/>
      <c r="T299" s="2944"/>
      <c r="U299" s="2944"/>
      <c r="V299" s="2944"/>
      <c r="W299" s="2944"/>
      <c r="X299" s="2944"/>
      <c r="Y299" s="2944"/>
      <c r="Z299" s="2944"/>
      <c r="AA299" s="2944"/>
      <c r="AB299" s="2944"/>
      <c r="AC299" s="2934">
        <f t="shared" si="126"/>
        <v>0</v>
      </c>
      <c r="AD299" s="2954"/>
      <c r="AE299" s="2954"/>
      <c r="AF299" s="2954"/>
      <c r="AG299" s="2954"/>
      <c r="AH299" s="2954"/>
      <c r="AI299" s="2954"/>
      <c r="AJ299" s="2954"/>
      <c r="AK299" s="2954"/>
      <c r="AL299" s="2954"/>
      <c r="AM299" s="2954"/>
      <c r="AN299" s="2954"/>
      <c r="AO299" s="2954"/>
      <c r="AP299" s="2954"/>
      <c r="AQ299" s="2954"/>
      <c r="AR299" s="2954"/>
      <c r="AS299" s="2954"/>
      <c r="AT299" s="2935"/>
      <c r="AU299" s="2964"/>
      <c r="AV299" s="857">
        <f t="shared" si="127"/>
        <v>0</v>
      </c>
      <c r="AW299" s="857">
        <f t="shared" si="128"/>
        <v>0</v>
      </c>
      <c r="AX299" s="857">
        <f t="shared" si="129"/>
        <v>0</v>
      </c>
      <c r="AY299" s="807">
        <f t="shared" si="130"/>
        <v>0</v>
      </c>
      <c r="AZ299" s="2934">
        <f t="shared" si="131"/>
        <v>0</v>
      </c>
      <c r="BA299" s="2934">
        <f t="shared" si="132"/>
        <v>0</v>
      </c>
      <c r="BB299" s="2934">
        <f t="shared" si="133"/>
        <v>0</v>
      </c>
      <c r="BC299" s="2934">
        <f t="shared" si="134"/>
        <v>0</v>
      </c>
      <c r="BD299" s="2934">
        <f t="shared" si="135"/>
        <v>0</v>
      </c>
      <c r="BE299" s="2934">
        <f t="shared" si="136"/>
        <v>0</v>
      </c>
      <c r="BF299" s="2934">
        <f t="shared" si="137"/>
        <v>0</v>
      </c>
      <c r="BG299" s="2934">
        <f t="shared" si="138"/>
        <v>0</v>
      </c>
      <c r="BH299" s="2934">
        <f t="shared" si="139"/>
        <v>0</v>
      </c>
      <c r="BI299" s="2934">
        <f t="shared" si="140"/>
        <v>0</v>
      </c>
      <c r="BJ299" s="2934">
        <f t="shared" si="141"/>
        <v>0</v>
      </c>
      <c r="BK299" s="2934">
        <f t="shared" si="142"/>
        <v>0</v>
      </c>
      <c r="BL299" s="2934">
        <f t="shared" si="143"/>
        <v>0</v>
      </c>
      <c r="BM299" s="2934">
        <f t="shared" si="144"/>
        <v>0</v>
      </c>
      <c r="BN299" s="2934">
        <f t="shared" si="145"/>
        <v>0</v>
      </c>
      <c r="BO299" s="2934">
        <f t="shared" si="146"/>
        <v>0</v>
      </c>
      <c r="BP299" s="2934">
        <f t="shared" si="147"/>
        <v>0</v>
      </c>
      <c r="BQ299" s="2934">
        <f t="shared" si="148"/>
        <v>0</v>
      </c>
      <c r="BR299" s="2934">
        <f t="shared" si="149"/>
        <v>0</v>
      </c>
      <c r="BS299" s="2934">
        <f t="shared" si="150"/>
        <v>0</v>
      </c>
      <c r="BT299" s="2982">
        <f t="shared" si="151"/>
        <v>0</v>
      </c>
    </row>
    <row r="300" spans="1:72">
      <c r="A300" s="874"/>
      <c r="B300" s="874"/>
      <c r="C300" s="874"/>
      <c r="D300" s="2933"/>
      <c r="E300" s="2934">
        <f t="shared" si="123"/>
        <v>0</v>
      </c>
      <c r="F300" s="2954"/>
      <c r="G300" s="2936">
        <f t="shared" ref="G300:G331" si="152">H300+AC300+AT300</f>
        <v>0</v>
      </c>
      <c r="H300" s="2937">
        <f t="shared" ref="H300:H331" si="153">SUMIF(I$12:AB$12,"总值",I300:AB300)</f>
        <v>0</v>
      </c>
      <c r="I300" s="2983"/>
      <c r="J300" s="2983"/>
      <c r="K300" s="2944"/>
      <c r="L300" s="2944"/>
      <c r="M300" s="2944"/>
      <c r="N300" s="2944"/>
      <c r="O300" s="2944"/>
      <c r="P300" s="2944"/>
      <c r="Q300" s="2944"/>
      <c r="R300" s="2944"/>
      <c r="S300" s="2944"/>
      <c r="T300" s="2944"/>
      <c r="U300" s="2944"/>
      <c r="V300" s="2944"/>
      <c r="W300" s="2944"/>
      <c r="X300" s="2944"/>
      <c r="Y300" s="2944"/>
      <c r="Z300" s="2944"/>
      <c r="AA300" s="2944"/>
      <c r="AB300" s="2944"/>
      <c r="AC300" s="2934">
        <f t="shared" ref="AC300:AC331" si="154">SUMIF(AD$12:AS$12,"总值",AD300:AS300)</f>
        <v>0</v>
      </c>
      <c r="AD300" s="2954"/>
      <c r="AE300" s="2954"/>
      <c r="AF300" s="2954"/>
      <c r="AG300" s="2954"/>
      <c r="AH300" s="2954"/>
      <c r="AI300" s="2954"/>
      <c r="AJ300" s="2954"/>
      <c r="AK300" s="2954"/>
      <c r="AL300" s="2954"/>
      <c r="AM300" s="2954"/>
      <c r="AN300" s="2954"/>
      <c r="AO300" s="2954"/>
      <c r="AP300" s="2954"/>
      <c r="AQ300" s="2954"/>
      <c r="AR300" s="2954"/>
      <c r="AS300" s="2954"/>
      <c r="AT300" s="2954"/>
      <c r="AU300" s="917"/>
      <c r="AV300" s="857">
        <f t="shared" si="127"/>
        <v>0</v>
      </c>
      <c r="AW300" s="857">
        <f t="shared" si="128"/>
        <v>0</v>
      </c>
      <c r="AX300" s="857">
        <f t="shared" si="129"/>
        <v>0</v>
      </c>
      <c r="AY300" s="807">
        <f t="shared" ref="AY300:AY331" si="155">ROUND($AY$6*AZ300/$AZ$5,2)</f>
        <v>0</v>
      </c>
      <c r="AZ300" s="2934">
        <f t="shared" ref="AZ300:AZ331" si="156">BA300+BL300</f>
        <v>0</v>
      </c>
      <c r="BA300" s="2934">
        <f t="shared" ref="BA300:BA331" si="157">SUM(BB300:BK300)</f>
        <v>0</v>
      </c>
      <c r="BB300" s="2934">
        <f t="shared" ref="BB300:BB331" si="158">IF($D300="是",I300-J300,0)</f>
        <v>0</v>
      </c>
      <c r="BC300" s="2934">
        <f t="shared" ref="BC300:BC331" si="159">IF($D300="是",K300-L300,0)</f>
        <v>0</v>
      </c>
      <c r="BD300" s="2934">
        <f t="shared" ref="BD300:BD331" si="160">IF($D300="是",M300-N300,0)</f>
        <v>0</v>
      </c>
      <c r="BE300" s="2934">
        <f t="shared" ref="BE300:BE331" si="161">IF($D300="是",O300-P300,0)</f>
        <v>0</v>
      </c>
      <c r="BF300" s="2934">
        <f t="shared" ref="BF300:BF331" si="162">IF($D300="是",Q300-R300,0)</f>
        <v>0</v>
      </c>
      <c r="BG300" s="2934">
        <f t="shared" ref="BG300:BG331" si="163">IF($D300="是",S300-T300,0)</f>
        <v>0</v>
      </c>
      <c r="BH300" s="2934">
        <f t="shared" ref="BH300:BH331" si="164">IF($D300="是",U300-V300,0)</f>
        <v>0</v>
      </c>
      <c r="BI300" s="2934">
        <f t="shared" ref="BI300:BI331" si="165">IF($D300="是",W300-X300,0)</f>
        <v>0</v>
      </c>
      <c r="BJ300" s="2934">
        <f t="shared" ref="BJ300:BJ331" si="166">IF($D300="是",Y300-Z300,0)</f>
        <v>0</v>
      </c>
      <c r="BK300" s="2934">
        <f t="shared" ref="BK300:BK331" si="167">IF($D300="是",AA300-AB300,0)</f>
        <v>0</v>
      </c>
      <c r="BL300" s="2934">
        <f t="shared" ref="BL300:BL331" si="168">SUM(BM300:BT300)</f>
        <v>0</v>
      </c>
      <c r="BM300" s="2934">
        <f t="shared" ref="BM300:BM331" si="169">IF($D300="是",AD300-AE300,0)</f>
        <v>0</v>
      </c>
      <c r="BN300" s="2934">
        <f t="shared" ref="BN300:BN331" si="170">IF($D300="是",AF300-AG300,0)</f>
        <v>0</v>
      </c>
      <c r="BO300" s="2934">
        <f t="shared" ref="BO300:BO331" si="171">IF($D300="是",AH300-AI300,0)</f>
        <v>0</v>
      </c>
      <c r="BP300" s="2934">
        <f t="shared" ref="BP300:BP331" si="172">IF($D300="是",AJ300-AK300,0)</f>
        <v>0</v>
      </c>
      <c r="BQ300" s="2934">
        <f t="shared" ref="BQ300:BQ331" si="173">IF($D300="是",AL300-AM300,0)</f>
        <v>0</v>
      </c>
      <c r="BR300" s="2934">
        <f t="shared" ref="BR300:BR331" si="174">IF($D300="是",AN300-AO300,0)</f>
        <v>0</v>
      </c>
      <c r="BS300" s="2934">
        <f t="shared" ref="BS300:BS331" si="175">IF($D300="是",AP300-AQ300,0)</f>
        <v>0</v>
      </c>
      <c r="BT300" s="2982">
        <f t="shared" ref="BT300:BT331" si="176">IF($D300="是",AR300-AS300,0)</f>
        <v>0</v>
      </c>
    </row>
    <row r="301" spans="1:72">
      <c r="A301" s="874"/>
      <c r="B301" s="874"/>
      <c r="C301" s="874"/>
      <c r="D301" s="2933"/>
      <c r="E301" s="2934">
        <f t="shared" si="123"/>
        <v>0</v>
      </c>
      <c r="F301" s="2954"/>
      <c r="G301" s="2936">
        <f t="shared" si="152"/>
        <v>0</v>
      </c>
      <c r="H301" s="2937">
        <f t="shared" si="153"/>
        <v>0</v>
      </c>
      <c r="I301" s="2944"/>
      <c r="J301" s="2944"/>
      <c r="K301" s="2944"/>
      <c r="L301" s="2944"/>
      <c r="M301" s="2944"/>
      <c r="N301" s="2944"/>
      <c r="O301" s="2944"/>
      <c r="P301" s="2944"/>
      <c r="Q301" s="2944"/>
      <c r="R301" s="2944"/>
      <c r="S301" s="2944"/>
      <c r="T301" s="2944"/>
      <c r="U301" s="2944"/>
      <c r="V301" s="2944"/>
      <c r="W301" s="2944"/>
      <c r="X301" s="2944"/>
      <c r="Y301" s="2944"/>
      <c r="Z301" s="2944"/>
      <c r="AA301" s="2944"/>
      <c r="AB301" s="2944"/>
      <c r="AC301" s="2934">
        <f t="shared" si="154"/>
        <v>0</v>
      </c>
      <c r="AD301" s="2954"/>
      <c r="AE301" s="2954"/>
      <c r="AF301" s="2954"/>
      <c r="AG301" s="2954"/>
      <c r="AH301" s="2954"/>
      <c r="AI301" s="2954"/>
      <c r="AJ301" s="2954"/>
      <c r="AK301" s="2954"/>
      <c r="AL301" s="2954"/>
      <c r="AM301" s="2954"/>
      <c r="AN301" s="2954"/>
      <c r="AO301" s="2954"/>
      <c r="AP301" s="2954"/>
      <c r="AQ301" s="2954"/>
      <c r="AR301" s="2954"/>
      <c r="AS301" s="2954"/>
      <c r="AT301" s="2954"/>
      <c r="AU301" s="917"/>
      <c r="AV301" s="857">
        <f t="shared" si="127"/>
        <v>0</v>
      </c>
      <c r="AW301" s="857">
        <f t="shared" si="128"/>
        <v>0</v>
      </c>
      <c r="AX301" s="857">
        <f t="shared" si="129"/>
        <v>0</v>
      </c>
      <c r="AY301" s="807">
        <f t="shared" si="155"/>
        <v>0</v>
      </c>
      <c r="AZ301" s="2934">
        <f t="shared" si="156"/>
        <v>0</v>
      </c>
      <c r="BA301" s="2934">
        <f t="shared" si="157"/>
        <v>0</v>
      </c>
      <c r="BB301" s="2934">
        <f t="shared" si="158"/>
        <v>0</v>
      </c>
      <c r="BC301" s="2934">
        <f t="shared" si="159"/>
        <v>0</v>
      </c>
      <c r="BD301" s="2934">
        <f t="shared" si="160"/>
        <v>0</v>
      </c>
      <c r="BE301" s="2934">
        <f t="shared" si="161"/>
        <v>0</v>
      </c>
      <c r="BF301" s="2934">
        <f t="shared" si="162"/>
        <v>0</v>
      </c>
      <c r="BG301" s="2934">
        <f t="shared" si="163"/>
        <v>0</v>
      </c>
      <c r="BH301" s="2934">
        <f t="shared" si="164"/>
        <v>0</v>
      </c>
      <c r="BI301" s="2934">
        <f t="shared" si="165"/>
        <v>0</v>
      </c>
      <c r="BJ301" s="2934">
        <f t="shared" si="166"/>
        <v>0</v>
      </c>
      <c r="BK301" s="2934">
        <f t="shared" si="167"/>
        <v>0</v>
      </c>
      <c r="BL301" s="2934">
        <f t="shared" si="168"/>
        <v>0</v>
      </c>
      <c r="BM301" s="2934">
        <f t="shared" si="169"/>
        <v>0</v>
      </c>
      <c r="BN301" s="2934">
        <f t="shared" si="170"/>
        <v>0</v>
      </c>
      <c r="BO301" s="2934">
        <f t="shared" si="171"/>
        <v>0</v>
      </c>
      <c r="BP301" s="2934">
        <f t="shared" si="172"/>
        <v>0</v>
      </c>
      <c r="BQ301" s="2934">
        <f t="shared" si="173"/>
        <v>0</v>
      </c>
      <c r="BR301" s="2934">
        <f t="shared" si="174"/>
        <v>0</v>
      </c>
      <c r="BS301" s="2934">
        <f t="shared" si="175"/>
        <v>0</v>
      </c>
      <c r="BT301" s="2982">
        <f t="shared" si="176"/>
        <v>0</v>
      </c>
    </row>
    <row r="302" spans="1:72">
      <c r="A302" s="874"/>
      <c r="B302" s="874"/>
      <c r="C302" s="874"/>
      <c r="D302" s="2933"/>
      <c r="E302" s="2934">
        <f t="shared" si="123"/>
        <v>0</v>
      </c>
      <c r="F302" s="2954"/>
      <c r="G302" s="2936">
        <f t="shared" si="152"/>
        <v>0</v>
      </c>
      <c r="H302" s="2937">
        <f t="shared" si="153"/>
        <v>0</v>
      </c>
      <c r="I302" s="2944"/>
      <c r="J302" s="2944"/>
      <c r="K302" s="2944"/>
      <c r="L302" s="2944"/>
      <c r="M302" s="2944"/>
      <c r="N302" s="2944"/>
      <c r="O302" s="2944"/>
      <c r="P302" s="2944"/>
      <c r="Q302" s="2944"/>
      <c r="R302" s="2944"/>
      <c r="S302" s="2944"/>
      <c r="T302" s="2944"/>
      <c r="U302" s="2944"/>
      <c r="V302" s="2944"/>
      <c r="W302" s="2944"/>
      <c r="X302" s="2944"/>
      <c r="Y302" s="2944"/>
      <c r="Z302" s="2944"/>
      <c r="AA302" s="2944"/>
      <c r="AB302" s="2944"/>
      <c r="AC302" s="2934">
        <f t="shared" si="154"/>
        <v>0</v>
      </c>
      <c r="AD302" s="2954"/>
      <c r="AE302" s="2954"/>
      <c r="AF302" s="2954"/>
      <c r="AG302" s="2954"/>
      <c r="AH302" s="2954"/>
      <c r="AI302" s="2954"/>
      <c r="AJ302" s="2954"/>
      <c r="AK302" s="2954"/>
      <c r="AL302" s="2954"/>
      <c r="AM302" s="2954"/>
      <c r="AN302" s="2954"/>
      <c r="AO302" s="2954"/>
      <c r="AP302" s="2954"/>
      <c r="AQ302" s="2954"/>
      <c r="AR302" s="2954"/>
      <c r="AS302" s="2954"/>
      <c r="AT302" s="2954"/>
      <c r="AU302" s="917"/>
      <c r="AV302" s="857">
        <f t="shared" si="127"/>
        <v>0</v>
      </c>
      <c r="AW302" s="857">
        <f t="shared" si="128"/>
        <v>0</v>
      </c>
      <c r="AX302" s="857">
        <f t="shared" si="129"/>
        <v>0</v>
      </c>
      <c r="AY302" s="807">
        <f t="shared" si="155"/>
        <v>0</v>
      </c>
      <c r="AZ302" s="2934">
        <f t="shared" si="156"/>
        <v>0</v>
      </c>
      <c r="BA302" s="2934">
        <f t="shared" si="157"/>
        <v>0</v>
      </c>
      <c r="BB302" s="2934">
        <f t="shared" si="158"/>
        <v>0</v>
      </c>
      <c r="BC302" s="2934">
        <f t="shared" si="159"/>
        <v>0</v>
      </c>
      <c r="BD302" s="2934">
        <f t="shared" si="160"/>
        <v>0</v>
      </c>
      <c r="BE302" s="2934">
        <f t="shared" si="161"/>
        <v>0</v>
      </c>
      <c r="BF302" s="2934">
        <f t="shared" si="162"/>
        <v>0</v>
      </c>
      <c r="BG302" s="2934">
        <f t="shared" si="163"/>
        <v>0</v>
      </c>
      <c r="BH302" s="2934">
        <f t="shared" si="164"/>
        <v>0</v>
      </c>
      <c r="BI302" s="2934">
        <f t="shared" si="165"/>
        <v>0</v>
      </c>
      <c r="BJ302" s="2934">
        <f t="shared" si="166"/>
        <v>0</v>
      </c>
      <c r="BK302" s="2934">
        <f t="shared" si="167"/>
        <v>0</v>
      </c>
      <c r="BL302" s="2934">
        <f t="shared" si="168"/>
        <v>0</v>
      </c>
      <c r="BM302" s="2934">
        <f t="shared" si="169"/>
        <v>0</v>
      </c>
      <c r="BN302" s="2934">
        <f t="shared" si="170"/>
        <v>0</v>
      </c>
      <c r="BO302" s="2934">
        <f t="shared" si="171"/>
        <v>0</v>
      </c>
      <c r="BP302" s="2934">
        <f t="shared" si="172"/>
        <v>0</v>
      </c>
      <c r="BQ302" s="2934">
        <f t="shared" si="173"/>
        <v>0</v>
      </c>
      <c r="BR302" s="2934">
        <f t="shared" si="174"/>
        <v>0</v>
      </c>
      <c r="BS302" s="2934">
        <f t="shared" si="175"/>
        <v>0</v>
      </c>
      <c r="BT302" s="2982">
        <f t="shared" si="176"/>
        <v>0</v>
      </c>
    </row>
    <row r="303" spans="1:72">
      <c r="A303" s="874"/>
      <c r="B303" s="882"/>
      <c r="C303" s="882"/>
      <c r="D303" s="2933"/>
      <c r="E303" s="2934">
        <f t="shared" ref="E303:E334" si="177">IF($C$3="是",ROUND($A$3*G303/$B$3,2),ROUND($A$3*(G303-AT303)/$B$3,2))</f>
        <v>0</v>
      </c>
      <c r="F303" s="2935"/>
      <c r="G303" s="2936">
        <f t="shared" si="152"/>
        <v>0</v>
      </c>
      <c r="H303" s="2937">
        <f t="shared" si="153"/>
        <v>0</v>
      </c>
      <c r="I303" s="2944"/>
      <c r="J303" s="2944"/>
      <c r="K303" s="2944"/>
      <c r="L303" s="2944"/>
      <c r="M303" s="2944"/>
      <c r="N303" s="2944"/>
      <c r="O303" s="2944"/>
      <c r="P303" s="2944"/>
      <c r="Q303" s="2944"/>
      <c r="R303" s="2944"/>
      <c r="S303" s="2944"/>
      <c r="T303" s="2944"/>
      <c r="U303" s="2944"/>
      <c r="V303" s="2944"/>
      <c r="W303" s="2944"/>
      <c r="X303" s="2944"/>
      <c r="Y303" s="2944"/>
      <c r="Z303" s="2944"/>
      <c r="AA303" s="2944"/>
      <c r="AB303" s="2944"/>
      <c r="AC303" s="2934">
        <f t="shared" si="154"/>
        <v>0</v>
      </c>
      <c r="AD303" s="2954"/>
      <c r="AE303" s="2954"/>
      <c r="AF303" s="2954"/>
      <c r="AG303" s="2954"/>
      <c r="AH303" s="2954"/>
      <c r="AI303" s="2954"/>
      <c r="AJ303" s="2954"/>
      <c r="AK303" s="2954"/>
      <c r="AL303" s="2954"/>
      <c r="AM303" s="2954"/>
      <c r="AN303" s="2954"/>
      <c r="AO303" s="2954"/>
      <c r="AP303" s="2954"/>
      <c r="AQ303" s="2954"/>
      <c r="AR303" s="2954"/>
      <c r="AS303" s="2954"/>
      <c r="AT303" s="2935"/>
      <c r="AU303" s="2964"/>
      <c r="AV303" s="857">
        <f t="shared" ref="AV303:AV334" si="178">A303</f>
        <v>0</v>
      </c>
      <c r="AW303" s="857">
        <f t="shared" ref="AW303:AW334" si="179">B303</f>
        <v>0</v>
      </c>
      <c r="AX303" s="857">
        <f t="shared" ref="AX303:AX334" si="180">C303</f>
        <v>0</v>
      </c>
      <c r="AY303" s="807">
        <f t="shared" si="155"/>
        <v>0</v>
      </c>
      <c r="AZ303" s="2934">
        <f t="shared" si="156"/>
        <v>0</v>
      </c>
      <c r="BA303" s="2934">
        <f t="shared" si="157"/>
        <v>0</v>
      </c>
      <c r="BB303" s="2934">
        <f t="shared" si="158"/>
        <v>0</v>
      </c>
      <c r="BC303" s="2934">
        <f t="shared" si="159"/>
        <v>0</v>
      </c>
      <c r="BD303" s="2934">
        <f t="shared" si="160"/>
        <v>0</v>
      </c>
      <c r="BE303" s="2934">
        <f t="shared" si="161"/>
        <v>0</v>
      </c>
      <c r="BF303" s="2934">
        <f t="shared" si="162"/>
        <v>0</v>
      </c>
      <c r="BG303" s="2934">
        <f t="shared" si="163"/>
        <v>0</v>
      </c>
      <c r="BH303" s="2934">
        <f t="shared" si="164"/>
        <v>0</v>
      </c>
      <c r="BI303" s="2934">
        <f t="shared" si="165"/>
        <v>0</v>
      </c>
      <c r="BJ303" s="2934">
        <f t="shared" si="166"/>
        <v>0</v>
      </c>
      <c r="BK303" s="2934">
        <f t="shared" si="167"/>
        <v>0</v>
      </c>
      <c r="BL303" s="2934">
        <f t="shared" si="168"/>
        <v>0</v>
      </c>
      <c r="BM303" s="2934">
        <f t="shared" si="169"/>
        <v>0</v>
      </c>
      <c r="BN303" s="2934">
        <f t="shared" si="170"/>
        <v>0</v>
      </c>
      <c r="BO303" s="2934">
        <f t="shared" si="171"/>
        <v>0</v>
      </c>
      <c r="BP303" s="2934">
        <f t="shared" si="172"/>
        <v>0</v>
      </c>
      <c r="BQ303" s="2934">
        <f t="shared" si="173"/>
        <v>0</v>
      </c>
      <c r="BR303" s="2934">
        <f t="shared" si="174"/>
        <v>0</v>
      </c>
      <c r="BS303" s="2934">
        <f t="shared" si="175"/>
        <v>0</v>
      </c>
      <c r="BT303" s="2982">
        <f t="shared" si="176"/>
        <v>0</v>
      </c>
    </row>
    <row r="304" spans="1:72">
      <c r="A304" s="874"/>
      <c r="B304" s="882"/>
      <c r="C304" s="882"/>
      <c r="D304" s="2933"/>
      <c r="E304" s="2934">
        <f t="shared" si="177"/>
        <v>0</v>
      </c>
      <c r="F304" s="2935"/>
      <c r="G304" s="2936">
        <f t="shared" si="152"/>
        <v>0</v>
      </c>
      <c r="H304" s="2937">
        <f t="shared" si="153"/>
        <v>0</v>
      </c>
      <c r="I304" s="2944"/>
      <c r="J304" s="2944"/>
      <c r="K304" s="2944"/>
      <c r="L304" s="2944"/>
      <c r="M304" s="2944"/>
      <c r="N304" s="2944"/>
      <c r="O304" s="2944"/>
      <c r="P304" s="2944"/>
      <c r="Q304" s="2944"/>
      <c r="R304" s="2944"/>
      <c r="S304" s="2944"/>
      <c r="T304" s="2944"/>
      <c r="U304" s="2944"/>
      <c r="V304" s="2944"/>
      <c r="W304" s="2944"/>
      <c r="X304" s="2944"/>
      <c r="Y304" s="2944"/>
      <c r="Z304" s="2944"/>
      <c r="AA304" s="2944"/>
      <c r="AB304" s="2944"/>
      <c r="AC304" s="2934">
        <f t="shared" si="154"/>
        <v>0</v>
      </c>
      <c r="AD304" s="2954"/>
      <c r="AE304" s="2954"/>
      <c r="AF304" s="2954"/>
      <c r="AG304" s="2954"/>
      <c r="AH304" s="2954"/>
      <c r="AI304" s="2954"/>
      <c r="AJ304" s="2954"/>
      <c r="AK304" s="2954"/>
      <c r="AL304" s="2954"/>
      <c r="AM304" s="2954"/>
      <c r="AN304" s="2954"/>
      <c r="AO304" s="2954"/>
      <c r="AP304" s="2954"/>
      <c r="AQ304" s="2954"/>
      <c r="AR304" s="2954"/>
      <c r="AS304" s="2954"/>
      <c r="AT304" s="2935"/>
      <c r="AU304" s="2964"/>
      <c r="AV304" s="857">
        <f t="shared" si="178"/>
        <v>0</v>
      </c>
      <c r="AW304" s="857">
        <f t="shared" si="179"/>
        <v>0</v>
      </c>
      <c r="AX304" s="857">
        <f t="shared" si="180"/>
        <v>0</v>
      </c>
      <c r="AY304" s="807">
        <f t="shared" si="155"/>
        <v>0</v>
      </c>
      <c r="AZ304" s="2934">
        <f t="shared" si="156"/>
        <v>0</v>
      </c>
      <c r="BA304" s="2934">
        <f t="shared" si="157"/>
        <v>0</v>
      </c>
      <c r="BB304" s="2934">
        <f t="shared" si="158"/>
        <v>0</v>
      </c>
      <c r="BC304" s="2934">
        <f t="shared" si="159"/>
        <v>0</v>
      </c>
      <c r="BD304" s="2934">
        <f t="shared" si="160"/>
        <v>0</v>
      </c>
      <c r="BE304" s="2934">
        <f t="shared" si="161"/>
        <v>0</v>
      </c>
      <c r="BF304" s="2934">
        <f t="shared" si="162"/>
        <v>0</v>
      </c>
      <c r="BG304" s="2934">
        <f t="shared" si="163"/>
        <v>0</v>
      </c>
      <c r="BH304" s="2934">
        <f t="shared" si="164"/>
        <v>0</v>
      </c>
      <c r="BI304" s="2934">
        <f t="shared" si="165"/>
        <v>0</v>
      </c>
      <c r="BJ304" s="2934">
        <f t="shared" si="166"/>
        <v>0</v>
      </c>
      <c r="BK304" s="2934">
        <f t="shared" si="167"/>
        <v>0</v>
      </c>
      <c r="BL304" s="2934">
        <f t="shared" si="168"/>
        <v>0</v>
      </c>
      <c r="BM304" s="2934">
        <f t="shared" si="169"/>
        <v>0</v>
      </c>
      <c r="BN304" s="2934">
        <f t="shared" si="170"/>
        <v>0</v>
      </c>
      <c r="BO304" s="2934">
        <f t="shared" si="171"/>
        <v>0</v>
      </c>
      <c r="BP304" s="2934">
        <f t="shared" si="172"/>
        <v>0</v>
      </c>
      <c r="BQ304" s="2934">
        <f t="shared" si="173"/>
        <v>0</v>
      </c>
      <c r="BR304" s="2934">
        <f t="shared" si="174"/>
        <v>0</v>
      </c>
      <c r="BS304" s="2934">
        <f t="shared" si="175"/>
        <v>0</v>
      </c>
      <c r="BT304" s="2982">
        <f t="shared" si="176"/>
        <v>0</v>
      </c>
    </row>
    <row r="305" spans="1:72">
      <c r="A305" s="874"/>
      <c r="B305" s="882"/>
      <c r="C305" s="882"/>
      <c r="D305" s="2933"/>
      <c r="E305" s="2934">
        <f t="shared" si="177"/>
        <v>0</v>
      </c>
      <c r="F305" s="2935"/>
      <c r="G305" s="2936">
        <f t="shared" si="152"/>
        <v>0</v>
      </c>
      <c r="H305" s="2937">
        <f t="shared" si="153"/>
        <v>0</v>
      </c>
      <c r="I305" s="2944"/>
      <c r="J305" s="2944"/>
      <c r="K305" s="2944"/>
      <c r="L305" s="2944"/>
      <c r="M305" s="2944"/>
      <c r="N305" s="2944"/>
      <c r="O305" s="2944"/>
      <c r="P305" s="2944"/>
      <c r="Q305" s="2944"/>
      <c r="R305" s="2944"/>
      <c r="S305" s="2944"/>
      <c r="T305" s="2944"/>
      <c r="U305" s="2944"/>
      <c r="V305" s="2944"/>
      <c r="W305" s="2944"/>
      <c r="X305" s="2944"/>
      <c r="Y305" s="2944"/>
      <c r="Z305" s="2944"/>
      <c r="AA305" s="2944"/>
      <c r="AB305" s="2944"/>
      <c r="AC305" s="2934">
        <f t="shared" si="154"/>
        <v>0</v>
      </c>
      <c r="AD305" s="2954"/>
      <c r="AE305" s="2954"/>
      <c r="AF305" s="2954"/>
      <c r="AG305" s="2954"/>
      <c r="AH305" s="2954"/>
      <c r="AI305" s="2954"/>
      <c r="AJ305" s="2954"/>
      <c r="AK305" s="2954"/>
      <c r="AL305" s="2954"/>
      <c r="AM305" s="2954"/>
      <c r="AN305" s="2954"/>
      <c r="AO305" s="2954"/>
      <c r="AP305" s="2954"/>
      <c r="AQ305" s="2954"/>
      <c r="AR305" s="2954"/>
      <c r="AS305" s="2954"/>
      <c r="AT305" s="2935"/>
      <c r="AU305" s="2964"/>
      <c r="AV305" s="857">
        <f t="shared" si="178"/>
        <v>0</v>
      </c>
      <c r="AW305" s="857">
        <f t="shared" si="179"/>
        <v>0</v>
      </c>
      <c r="AX305" s="857">
        <f t="shared" si="180"/>
        <v>0</v>
      </c>
      <c r="AY305" s="807">
        <f t="shared" si="155"/>
        <v>0</v>
      </c>
      <c r="AZ305" s="2934">
        <f t="shared" si="156"/>
        <v>0</v>
      </c>
      <c r="BA305" s="2934">
        <f t="shared" si="157"/>
        <v>0</v>
      </c>
      <c r="BB305" s="2934">
        <f t="shared" si="158"/>
        <v>0</v>
      </c>
      <c r="BC305" s="2934">
        <f t="shared" si="159"/>
        <v>0</v>
      </c>
      <c r="BD305" s="2934">
        <f t="shared" si="160"/>
        <v>0</v>
      </c>
      <c r="BE305" s="2934">
        <f t="shared" si="161"/>
        <v>0</v>
      </c>
      <c r="BF305" s="2934">
        <f t="shared" si="162"/>
        <v>0</v>
      </c>
      <c r="BG305" s="2934">
        <f t="shared" si="163"/>
        <v>0</v>
      </c>
      <c r="BH305" s="2934">
        <f t="shared" si="164"/>
        <v>0</v>
      </c>
      <c r="BI305" s="2934">
        <f t="shared" si="165"/>
        <v>0</v>
      </c>
      <c r="BJ305" s="2934">
        <f t="shared" si="166"/>
        <v>0</v>
      </c>
      <c r="BK305" s="2934">
        <f t="shared" si="167"/>
        <v>0</v>
      </c>
      <c r="BL305" s="2934">
        <f t="shared" si="168"/>
        <v>0</v>
      </c>
      <c r="BM305" s="2934">
        <f t="shared" si="169"/>
        <v>0</v>
      </c>
      <c r="BN305" s="2934">
        <f t="shared" si="170"/>
        <v>0</v>
      </c>
      <c r="BO305" s="2934">
        <f t="shared" si="171"/>
        <v>0</v>
      </c>
      <c r="BP305" s="2934">
        <f t="shared" si="172"/>
        <v>0</v>
      </c>
      <c r="BQ305" s="2934">
        <f t="shared" si="173"/>
        <v>0</v>
      </c>
      <c r="BR305" s="2934">
        <f t="shared" si="174"/>
        <v>0</v>
      </c>
      <c r="BS305" s="2934">
        <f t="shared" si="175"/>
        <v>0</v>
      </c>
      <c r="BT305" s="2982">
        <f t="shared" si="176"/>
        <v>0</v>
      </c>
    </row>
    <row r="306" spans="1:72">
      <c r="A306" s="874"/>
      <c r="B306" s="882"/>
      <c r="C306" s="882"/>
      <c r="D306" s="2933"/>
      <c r="E306" s="2934">
        <f t="shared" si="177"/>
        <v>0</v>
      </c>
      <c r="F306" s="2935"/>
      <c r="G306" s="2936">
        <f t="shared" si="152"/>
        <v>0</v>
      </c>
      <c r="H306" s="2937">
        <f t="shared" si="153"/>
        <v>0</v>
      </c>
      <c r="I306" s="2944"/>
      <c r="J306" s="2944"/>
      <c r="K306" s="2944"/>
      <c r="L306" s="2944"/>
      <c r="M306" s="2944"/>
      <c r="N306" s="2944"/>
      <c r="O306" s="2944"/>
      <c r="P306" s="2944"/>
      <c r="Q306" s="2944"/>
      <c r="R306" s="2944"/>
      <c r="S306" s="2944"/>
      <c r="T306" s="2944"/>
      <c r="U306" s="2944"/>
      <c r="V306" s="2944"/>
      <c r="W306" s="2944"/>
      <c r="X306" s="2944"/>
      <c r="Y306" s="2944"/>
      <c r="Z306" s="2944"/>
      <c r="AA306" s="2944"/>
      <c r="AB306" s="2944"/>
      <c r="AC306" s="2934">
        <f t="shared" si="154"/>
        <v>0</v>
      </c>
      <c r="AD306" s="2954"/>
      <c r="AE306" s="2954"/>
      <c r="AF306" s="2954"/>
      <c r="AG306" s="2954"/>
      <c r="AH306" s="2954"/>
      <c r="AI306" s="2954"/>
      <c r="AJ306" s="2954"/>
      <c r="AK306" s="2954"/>
      <c r="AL306" s="2954"/>
      <c r="AM306" s="2954"/>
      <c r="AN306" s="2954"/>
      <c r="AO306" s="2954"/>
      <c r="AP306" s="2954"/>
      <c r="AQ306" s="2954"/>
      <c r="AR306" s="2954"/>
      <c r="AS306" s="2954"/>
      <c r="AT306" s="2935"/>
      <c r="AU306" s="2964"/>
      <c r="AV306" s="857">
        <f t="shared" si="178"/>
        <v>0</v>
      </c>
      <c r="AW306" s="857">
        <f t="shared" si="179"/>
        <v>0</v>
      </c>
      <c r="AX306" s="857">
        <f t="shared" si="180"/>
        <v>0</v>
      </c>
      <c r="AY306" s="807">
        <f t="shared" si="155"/>
        <v>0</v>
      </c>
      <c r="AZ306" s="2934">
        <f t="shared" si="156"/>
        <v>0</v>
      </c>
      <c r="BA306" s="2934">
        <f t="shared" si="157"/>
        <v>0</v>
      </c>
      <c r="BB306" s="2934">
        <f t="shared" si="158"/>
        <v>0</v>
      </c>
      <c r="BC306" s="2934">
        <f t="shared" si="159"/>
        <v>0</v>
      </c>
      <c r="BD306" s="2934">
        <f t="shared" si="160"/>
        <v>0</v>
      </c>
      <c r="BE306" s="2934">
        <f t="shared" si="161"/>
        <v>0</v>
      </c>
      <c r="BF306" s="2934">
        <f t="shared" si="162"/>
        <v>0</v>
      </c>
      <c r="BG306" s="2934">
        <f t="shared" si="163"/>
        <v>0</v>
      </c>
      <c r="BH306" s="2934">
        <f t="shared" si="164"/>
        <v>0</v>
      </c>
      <c r="BI306" s="2934">
        <f t="shared" si="165"/>
        <v>0</v>
      </c>
      <c r="BJ306" s="2934">
        <f t="shared" si="166"/>
        <v>0</v>
      </c>
      <c r="BK306" s="2934">
        <f t="shared" si="167"/>
        <v>0</v>
      </c>
      <c r="BL306" s="2934">
        <f t="shared" si="168"/>
        <v>0</v>
      </c>
      <c r="BM306" s="2934">
        <f t="shared" si="169"/>
        <v>0</v>
      </c>
      <c r="BN306" s="2934">
        <f t="shared" si="170"/>
        <v>0</v>
      </c>
      <c r="BO306" s="2934">
        <f t="shared" si="171"/>
        <v>0</v>
      </c>
      <c r="BP306" s="2934">
        <f t="shared" si="172"/>
        <v>0</v>
      </c>
      <c r="BQ306" s="2934">
        <f t="shared" si="173"/>
        <v>0</v>
      </c>
      <c r="BR306" s="2934">
        <f t="shared" si="174"/>
        <v>0</v>
      </c>
      <c r="BS306" s="2934">
        <f t="shared" si="175"/>
        <v>0</v>
      </c>
      <c r="BT306" s="2982">
        <f t="shared" si="176"/>
        <v>0</v>
      </c>
    </row>
    <row r="307" spans="1:72">
      <c r="A307" s="874"/>
      <c r="B307" s="882"/>
      <c r="C307" s="882"/>
      <c r="D307" s="2933"/>
      <c r="E307" s="2934">
        <f t="shared" si="177"/>
        <v>0</v>
      </c>
      <c r="F307" s="2935"/>
      <c r="G307" s="2936">
        <f t="shared" si="152"/>
        <v>0</v>
      </c>
      <c r="H307" s="2937">
        <f t="shared" si="153"/>
        <v>0</v>
      </c>
      <c r="I307" s="2944"/>
      <c r="J307" s="2944"/>
      <c r="K307" s="2944"/>
      <c r="L307" s="2944"/>
      <c r="M307" s="2944"/>
      <c r="N307" s="2944"/>
      <c r="O307" s="2944"/>
      <c r="P307" s="2944"/>
      <c r="Q307" s="2944"/>
      <c r="R307" s="2944"/>
      <c r="S307" s="2944"/>
      <c r="T307" s="2944"/>
      <c r="U307" s="2944"/>
      <c r="V307" s="2944"/>
      <c r="W307" s="2944"/>
      <c r="X307" s="2944"/>
      <c r="Y307" s="2944"/>
      <c r="Z307" s="2944"/>
      <c r="AA307" s="2944"/>
      <c r="AB307" s="2944"/>
      <c r="AC307" s="2934">
        <f t="shared" si="154"/>
        <v>0</v>
      </c>
      <c r="AD307" s="2954"/>
      <c r="AE307" s="2954"/>
      <c r="AF307" s="2954"/>
      <c r="AG307" s="2954"/>
      <c r="AH307" s="2954"/>
      <c r="AI307" s="2954"/>
      <c r="AJ307" s="2954"/>
      <c r="AK307" s="2954"/>
      <c r="AL307" s="2954"/>
      <c r="AM307" s="2954"/>
      <c r="AN307" s="2954"/>
      <c r="AO307" s="2954"/>
      <c r="AP307" s="2954"/>
      <c r="AQ307" s="2954"/>
      <c r="AR307" s="2954"/>
      <c r="AS307" s="2954"/>
      <c r="AT307" s="2935"/>
      <c r="AU307" s="2964"/>
      <c r="AV307" s="857">
        <f t="shared" si="178"/>
        <v>0</v>
      </c>
      <c r="AW307" s="857">
        <f t="shared" si="179"/>
        <v>0</v>
      </c>
      <c r="AX307" s="857">
        <f t="shared" si="180"/>
        <v>0</v>
      </c>
      <c r="AY307" s="807">
        <f t="shared" si="155"/>
        <v>0</v>
      </c>
      <c r="AZ307" s="2934">
        <f t="shared" si="156"/>
        <v>0</v>
      </c>
      <c r="BA307" s="2934">
        <f t="shared" si="157"/>
        <v>0</v>
      </c>
      <c r="BB307" s="2934">
        <f t="shared" si="158"/>
        <v>0</v>
      </c>
      <c r="BC307" s="2934">
        <f t="shared" si="159"/>
        <v>0</v>
      </c>
      <c r="BD307" s="2934">
        <f t="shared" si="160"/>
        <v>0</v>
      </c>
      <c r="BE307" s="2934">
        <f t="shared" si="161"/>
        <v>0</v>
      </c>
      <c r="BF307" s="2934">
        <f t="shared" si="162"/>
        <v>0</v>
      </c>
      <c r="BG307" s="2934">
        <f t="shared" si="163"/>
        <v>0</v>
      </c>
      <c r="BH307" s="2934">
        <f t="shared" si="164"/>
        <v>0</v>
      </c>
      <c r="BI307" s="2934">
        <f t="shared" si="165"/>
        <v>0</v>
      </c>
      <c r="BJ307" s="2934">
        <f t="shared" si="166"/>
        <v>0</v>
      </c>
      <c r="BK307" s="2934">
        <f t="shared" si="167"/>
        <v>0</v>
      </c>
      <c r="BL307" s="2934">
        <f t="shared" si="168"/>
        <v>0</v>
      </c>
      <c r="BM307" s="2934">
        <f t="shared" si="169"/>
        <v>0</v>
      </c>
      <c r="BN307" s="2934">
        <f t="shared" si="170"/>
        <v>0</v>
      </c>
      <c r="BO307" s="2934">
        <f t="shared" si="171"/>
        <v>0</v>
      </c>
      <c r="BP307" s="2934">
        <f t="shared" si="172"/>
        <v>0</v>
      </c>
      <c r="BQ307" s="2934">
        <f t="shared" si="173"/>
        <v>0</v>
      </c>
      <c r="BR307" s="2934">
        <f t="shared" si="174"/>
        <v>0</v>
      </c>
      <c r="BS307" s="2934">
        <f t="shared" si="175"/>
        <v>0</v>
      </c>
      <c r="BT307" s="2982">
        <f t="shared" si="176"/>
        <v>0</v>
      </c>
    </row>
    <row r="308" spans="1:72">
      <c r="A308" s="874"/>
      <c r="B308" s="882"/>
      <c r="C308" s="882"/>
      <c r="D308" s="2933"/>
      <c r="E308" s="2934">
        <f t="shared" si="177"/>
        <v>0</v>
      </c>
      <c r="F308" s="2935"/>
      <c r="G308" s="2936">
        <f t="shared" si="152"/>
        <v>0</v>
      </c>
      <c r="H308" s="2937">
        <f t="shared" si="153"/>
        <v>0</v>
      </c>
      <c r="I308" s="2944"/>
      <c r="J308" s="2944"/>
      <c r="K308" s="2944"/>
      <c r="L308" s="2944"/>
      <c r="M308" s="2944"/>
      <c r="N308" s="2944"/>
      <c r="O308" s="2944"/>
      <c r="P308" s="2944"/>
      <c r="Q308" s="2944"/>
      <c r="R308" s="2944"/>
      <c r="S308" s="2944"/>
      <c r="T308" s="2944"/>
      <c r="U308" s="2944"/>
      <c r="V308" s="2944"/>
      <c r="W308" s="2944"/>
      <c r="X308" s="2944"/>
      <c r="Y308" s="2944"/>
      <c r="Z308" s="2944"/>
      <c r="AA308" s="2944"/>
      <c r="AB308" s="2944"/>
      <c r="AC308" s="2934">
        <f t="shared" si="154"/>
        <v>0</v>
      </c>
      <c r="AD308" s="2954"/>
      <c r="AE308" s="2954"/>
      <c r="AF308" s="2954"/>
      <c r="AG308" s="2954"/>
      <c r="AH308" s="2954"/>
      <c r="AI308" s="2954"/>
      <c r="AJ308" s="2954"/>
      <c r="AK308" s="2954"/>
      <c r="AL308" s="2954"/>
      <c r="AM308" s="2954"/>
      <c r="AN308" s="2954"/>
      <c r="AO308" s="2954"/>
      <c r="AP308" s="2954"/>
      <c r="AQ308" s="2954"/>
      <c r="AR308" s="2954"/>
      <c r="AS308" s="2954"/>
      <c r="AT308" s="2935"/>
      <c r="AU308" s="2964"/>
      <c r="AV308" s="857">
        <f t="shared" si="178"/>
        <v>0</v>
      </c>
      <c r="AW308" s="857">
        <f t="shared" si="179"/>
        <v>0</v>
      </c>
      <c r="AX308" s="857">
        <f t="shared" si="180"/>
        <v>0</v>
      </c>
      <c r="AY308" s="807">
        <f t="shared" si="155"/>
        <v>0</v>
      </c>
      <c r="AZ308" s="2934">
        <f t="shared" si="156"/>
        <v>0</v>
      </c>
      <c r="BA308" s="2934">
        <f t="shared" si="157"/>
        <v>0</v>
      </c>
      <c r="BB308" s="2934">
        <f t="shared" si="158"/>
        <v>0</v>
      </c>
      <c r="BC308" s="2934">
        <f t="shared" si="159"/>
        <v>0</v>
      </c>
      <c r="BD308" s="2934">
        <f t="shared" si="160"/>
        <v>0</v>
      </c>
      <c r="BE308" s="2934">
        <f t="shared" si="161"/>
        <v>0</v>
      </c>
      <c r="BF308" s="2934">
        <f t="shared" si="162"/>
        <v>0</v>
      </c>
      <c r="BG308" s="2934">
        <f t="shared" si="163"/>
        <v>0</v>
      </c>
      <c r="BH308" s="2934">
        <f t="shared" si="164"/>
        <v>0</v>
      </c>
      <c r="BI308" s="2934">
        <f t="shared" si="165"/>
        <v>0</v>
      </c>
      <c r="BJ308" s="2934">
        <f t="shared" si="166"/>
        <v>0</v>
      </c>
      <c r="BK308" s="2934">
        <f t="shared" si="167"/>
        <v>0</v>
      </c>
      <c r="BL308" s="2934">
        <f t="shared" si="168"/>
        <v>0</v>
      </c>
      <c r="BM308" s="2934">
        <f t="shared" si="169"/>
        <v>0</v>
      </c>
      <c r="BN308" s="2934">
        <f t="shared" si="170"/>
        <v>0</v>
      </c>
      <c r="BO308" s="2934">
        <f t="shared" si="171"/>
        <v>0</v>
      </c>
      <c r="BP308" s="2934">
        <f t="shared" si="172"/>
        <v>0</v>
      </c>
      <c r="BQ308" s="2934">
        <f t="shared" si="173"/>
        <v>0</v>
      </c>
      <c r="BR308" s="2934">
        <f t="shared" si="174"/>
        <v>0</v>
      </c>
      <c r="BS308" s="2934">
        <f t="shared" si="175"/>
        <v>0</v>
      </c>
      <c r="BT308" s="2982">
        <f t="shared" si="176"/>
        <v>0</v>
      </c>
    </row>
    <row r="309" spans="1:72">
      <c r="A309" s="874"/>
      <c r="B309" s="882"/>
      <c r="C309" s="882"/>
      <c r="D309" s="2933"/>
      <c r="E309" s="2934">
        <f t="shared" si="177"/>
        <v>0</v>
      </c>
      <c r="F309" s="2935"/>
      <c r="G309" s="2936">
        <f t="shared" si="152"/>
        <v>0</v>
      </c>
      <c r="H309" s="2937">
        <f t="shared" si="153"/>
        <v>0</v>
      </c>
      <c r="I309" s="2944"/>
      <c r="J309" s="2944"/>
      <c r="K309" s="2944"/>
      <c r="L309" s="2944"/>
      <c r="M309" s="2944"/>
      <c r="N309" s="2944"/>
      <c r="O309" s="2944"/>
      <c r="P309" s="2944"/>
      <c r="Q309" s="2944"/>
      <c r="R309" s="2944"/>
      <c r="S309" s="2944"/>
      <c r="T309" s="2944"/>
      <c r="U309" s="2944"/>
      <c r="V309" s="2944"/>
      <c r="W309" s="2944"/>
      <c r="X309" s="2944"/>
      <c r="Y309" s="2944"/>
      <c r="Z309" s="2944"/>
      <c r="AA309" s="2944"/>
      <c r="AB309" s="2944"/>
      <c r="AC309" s="2934">
        <f t="shared" si="154"/>
        <v>0</v>
      </c>
      <c r="AD309" s="2954"/>
      <c r="AE309" s="2954"/>
      <c r="AF309" s="2954"/>
      <c r="AG309" s="2954"/>
      <c r="AH309" s="2954"/>
      <c r="AI309" s="2954"/>
      <c r="AJ309" s="2954"/>
      <c r="AK309" s="2954"/>
      <c r="AL309" s="2954"/>
      <c r="AM309" s="2954"/>
      <c r="AN309" s="2954"/>
      <c r="AO309" s="2954"/>
      <c r="AP309" s="2954"/>
      <c r="AQ309" s="2954"/>
      <c r="AR309" s="2954"/>
      <c r="AS309" s="2954"/>
      <c r="AT309" s="2935"/>
      <c r="AU309" s="2964"/>
      <c r="AV309" s="857">
        <f t="shared" si="178"/>
        <v>0</v>
      </c>
      <c r="AW309" s="857">
        <f t="shared" si="179"/>
        <v>0</v>
      </c>
      <c r="AX309" s="857">
        <f t="shared" si="180"/>
        <v>0</v>
      </c>
      <c r="AY309" s="807">
        <f t="shared" si="155"/>
        <v>0</v>
      </c>
      <c r="AZ309" s="2934">
        <f t="shared" si="156"/>
        <v>0</v>
      </c>
      <c r="BA309" s="2934">
        <f t="shared" si="157"/>
        <v>0</v>
      </c>
      <c r="BB309" s="2934">
        <f t="shared" si="158"/>
        <v>0</v>
      </c>
      <c r="BC309" s="2934">
        <f t="shared" si="159"/>
        <v>0</v>
      </c>
      <c r="BD309" s="2934">
        <f t="shared" si="160"/>
        <v>0</v>
      </c>
      <c r="BE309" s="2934">
        <f t="shared" si="161"/>
        <v>0</v>
      </c>
      <c r="BF309" s="2934">
        <f t="shared" si="162"/>
        <v>0</v>
      </c>
      <c r="BG309" s="2934">
        <f t="shared" si="163"/>
        <v>0</v>
      </c>
      <c r="BH309" s="2934">
        <f t="shared" si="164"/>
        <v>0</v>
      </c>
      <c r="BI309" s="2934">
        <f t="shared" si="165"/>
        <v>0</v>
      </c>
      <c r="BJ309" s="2934">
        <f t="shared" si="166"/>
        <v>0</v>
      </c>
      <c r="BK309" s="2934">
        <f t="shared" si="167"/>
        <v>0</v>
      </c>
      <c r="BL309" s="2934">
        <f t="shared" si="168"/>
        <v>0</v>
      </c>
      <c r="BM309" s="2934">
        <f t="shared" si="169"/>
        <v>0</v>
      </c>
      <c r="BN309" s="2934">
        <f t="shared" si="170"/>
        <v>0</v>
      </c>
      <c r="BO309" s="2934">
        <f t="shared" si="171"/>
        <v>0</v>
      </c>
      <c r="BP309" s="2934">
        <f t="shared" si="172"/>
        <v>0</v>
      </c>
      <c r="BQ309" s="2934">
        <f t="shared" si="173"/>
        <v>0</v>
      </c>
      <c r="BR309" s="2934">
        <f t="shared" si="174"/>
        <v>0</v>
      </c>
      <c r="BS309" s="2934">
        <f t="shared" si="175"/>
        <v>0</v>
      </c>
      <c r="BT309" s="2982">
        <f t="shared" si="176"/>
        <v>0</v>
      </c>
    </row>
    <row r="310" spans="1:72">
      <c r="A310" s="874"/>
      <c r="B310" s="882"/>
      <c r="C310" s="882"/>
      <c r="D310" s="2933"/>
      <c r="E310" s="2934">
        <f t="shared" si="177"/>
        <v>0</v>
      </c>
      <c r="F310" s="2935"/>
      <c r="G310" s="2936">
        <f t="shared" si="152"/>
        <v>0</v>
      </c>
      <c r="H310" s="2937">
        <f t="shared" si="153"/>
        <v>0</v>
      </c>
      <c r="I310" s="2944"/>
      <c r="J310" s="2944"/>
      <c r="K310" s="2944"/>
      <c r="L310" s="2944"/>
      <c r="M310" s="2944"/>
      <c r="N310" s="2944"/>
      <c r="O310" s="2944"/>
      <c r="P310" s="2944"/>
      <c r="Q310" s="2944"/>
      <c r="R310" s="2944"/>
      <c r="S310" s="2944"/>
      <c r="T310" s="2944"/>
      <c r="U310" s="2944"/>
      <c r="V310" s="2944"/>
      <c r="W310" s="2944"/>
      <c r="X310" s="2944"/>
      <c r="Y310" s="2944"/>
      <c r="Z310" s="2944"/>
      <c r="AA310" s="2944"/>
      <c r="AB310" s="2944"/>
      <c r="AC310" s="2934">
        <f t="shared" si="154"/>
        <v>0</v>
      </c>
      <c r="AD310" s="2954"/>
      <c r="AE310" s="2954"/>
      <c r="AF310" s="2954"/>
      <c r="AG310" s="2954"/>
      <c r="AH310" s="2954"/>
      <c r="AI310" s="2954"/>
      <c r="AJ310" s="2954"/>
      <c r="AK310" s="2954"/>
      <c r="AL310" s="2954"/>
      <c r="AM310" s="2954"/>
      <c r="AN310" s="2954"/>
      <c r="AO310" s="2954"/>
      <c r="AP310" s="2954"/>
      <c r="AQ310" s="2954"/>
      <c r="AR310" s="2954"/>
      <c r="AS310" s="2954"/>
      <c r="AT310" s="2935"/>
      <c r="AU310" s="2964"/>
      <c r="AV310" s="857">
        <f t="shared" si="178"/>
        <v>0</v>
      </c>
      <c r="AW310" s="857">
        <f t="shared" si="179"/>
        <v>0</v>
      </c>
      <c r="AX310" s="857">
        <f t="shared" si="180"/>
        <v>0</v>
      </c>
      <c r="AY310" s="807">
        <f t="shared" si="155"/>
        <v>0</v>
      </c>
      <c r="AZ310" s="2934">
        <f t="shared" si="156"/>
        <v>0</v>
      </c>
      <c r="BA310" s="2934">
        <f t="shared" si="157"/>
        <v>0</v>
      </c>
      <c r="BB310" s="2934">
        <f t="shared" si="158"/>
        <v>0</v>
      </c>
      <c r="BC310" s="2934">
        <f t="shared" si="159"/>
        <v>0</v>
      </c>
      <c r="BD310" s="2934">
        <f t="shared" si="160"/>
        <v>0</v>
      </c>
      <c r="BE310" s="2934">
        <f t="shared" si="161"/>
        <v>0</v>
      </c>
      <c r="BF310" s="2934">
        <f t="shared" si="162"/>
        <v>0</v>
      </c>
      <c r="BG310" s="2934">
        <f t="shared" si="163"/>
        <v>0</v>
      </c>
      <c r="BH310" s="2934">
        <f t="shared" si="164"/>
        <v>0</v>
      </c>
      <c r="BI310" s="2934">
        <f t="shared" si="165"/>
        <v>0</v>
      </c>
      <c r="BJ310" s="2934">
        <f t="shared" si="166"/>
        <v>0</v>
      </c>
      <c r="BK310" s="2934">
        <f t="shared" si="167"/>
        <v>0</v>
      </c>
      <c r="BL310" s="2934">
        <f t="shared" si="168"/>
        <v>0</v>
      </c>
      <c r="BM310" s="2934">
        <f t="shared" si="169"/>
        <v>0</v>
      </c>
      <c r="BN310" s="2934">
        <f t="shared" si="170"/>
        <v>0</v>
      </c>
      <c r="BO310" s="2934">
        <f t="shared" si="171"/>
        <v>0</v>
      </c>
      <c r="BP310" s="2934">
        <f t="shared" si="172"/>
        <v>0</v>
      </c>
      <c r="BQ310" s="2934">
        <f t="shared" si="173"/>
        <v>0</v>
      </c>
      <c r="BR310" s="2934">
        <f t="shared" si="174"/>
        <v>0</v>
      </c>
      <c r="BS310" s="2934">
        <f t="shared" si="175"/>
        <v>0</v>
      </c>
      <c r="BT310" s="2982">
        <f t="shared" si="176"/>
        <v>0</v>
      </c>
    </row>
    <row r="311" spans="1:72">
      <c r="A311" s="874"/>
      <c r="B311" s="882"/>
      <c r="C311" s="882"/>
      <c r="D311" s="2933"/>
      <c r="E311" s="2934">
        <f t="shared" si="177"/>
        <v>0</v>
      </c>
      <c r="F311" s="2935"/>
      <c r="G311" s="2936">
        <f t="shared" si="152"/>
        <v>0</v>
      </c>
      <c r="H311" s="2937">
        <f t="shared" si="153"/>
        <v>0</v>
      </c>
      <c r="I311" s="2944"/>
      <c r="J311" s="2944"/>
      <c r="K311" s="2944"/>
      <c r="L311" s="2944"/>
      <c r="M311" s="2944"/>
      <c r="N311" s="2944"/>
      <c r="O311" s="2944"/>
      <c r="P311" s="2944"/>
      <c r="Q311" s="2944"/>
      <c r="R311" s="2944"/>
      <c r="S311" s="2944"/>
      <c r="T311" s="2944"/>
      <c r="U311" s="2944"/>
      <c r="V311" s="2944"/>
      <c r="W311" s="2944"/>
      <c r="X311" s="2944"/>
      <c r="Y311" s="2944"/>
      <c r="Z311" s="2944"/>
      <c r="AA311" s="2944"/>
      <c r="AB311" s="2944"/>
      <c r="AC311" s="2934">
        <f t="shared" si="154"/>
        <v>0</v>
      </c>
      <c r="AD311" s="2954"/>
      <c r="AE311" s="2954"/>
      <c r="AF311" s="2954"/>
      <c r="AG311" s="2954"/>
      <c r="AH311" s="2954"/>
      <c r="AI311" s="2954"/>
      <c r="AJ311" s="2954"/>
      <c r="AK311" s="2954"/>
      <c r="AL311" s="2954"/>
      <c r="AM311" s="2954"/>
      <c r="AN311" s="2954"/>
      <c r="AO311" s="2954"/>
      <c r="AP311" s="2954"/>
      <c r="AQ311" s="2954"/>
      <c r="AR311" s="2954"/>
      <c r="AS311" s="2954"/>
      <c r="AT311" s="2935"/>
      <c r="AU311" s="2964"/>
      <c r="AV311" s="857">
        <f t="shared" si="178"/>
        <v>0</v>
      </c>
      <c r="AW311" s="857">
        <f t="shared" si="179"/>
        <v>0</v>
      </c>
      <c r="AX311" s="857">
        <f t="shared" si="180"/>
        <v>0</v>
      </c>
      <c r="AY311" s="807">
        <f t="shared" si="155"/>
        <v>0</v>
      </c>
      <c r="AZ311" s="2934">
        <f t="shared" si="156"/>
        <v>0</v>
      </c>
      <c r="BA311" s="2934">
        <f t="shared" si="157"/>
        <v>0</v>
      </c>
      <c r="BB311" s="2934">
        <f t="shared" si="158"/>
        <v>0</v>
      </c>
      <c r="BC311" s="2934">
        <f t="shared" si="159"/>
        <v>0</v>
      </c>
      <c r="BD311" s="2934">
        <f t="shared" si="160"/>
        <v>0</v>
      </c>
      <c r="BE311" s="2934">
        <f t="shared" si="161"/>
        <v>0</v>
      </c>
      <c r="BF311" s="2934">
        <f t="shared" si="162"/>
        <v>0</v>
      </c>
      <c r="BG311" s="2934">
        <f t="shared" si="163"/>
        <v>0</v>
      </c>
      <c r="BH311" s="2934">
        <f t="shared" si="164"/>
        <v>0</v>
      </c>
      <c r="BI311" s="2934">
        <f t="shared" si="165"/>
        <v>0</v>
      </c>
      <c r="BJ311" s="2934">
        <f t="shared" si="166"/>
        <v>0</v>
      </c>
      <c r="BK311" s="2934">
        <f t="shared" si="167"/>
        <v>0</v>
      </c>
      <c r="BL311" s="2934">
        <f t="shared" si="168"/>
        <v>0</v>
      </c>
      <c r="BM311" s="2934">
        <f t="shared" si="169"/>
        <v>0</v>
      </c>
      <c r="BN311" s="2934">
        <f t="shared" si="170"/>
        <v>0</v>
      </c>
      <c r="BO311" s="2934">
        <f t="shared" si="171"/>
        <v>0</v>
      </c>
      <c r="BP311" s="2934">
        <f t="shared" si="172"/>
        <v>0</v>
      </c>
      <c r="BQ311" s="2934">
        <f t="shared" si="173"/>
        <v>0</v>
      </c>
      <c r="BR311" s="2934">
        <f t="shared" si="174"/>
        <v>0</v>
      </c>
      <c r="BS311" s="2934">
        <f t="shared" si="175"/>
        <v>0</v>
      </c>
      <c r="BT311" s="2982">
        <f t="shared" si="176"/>
        <v>0</v>
      </c>
    </row>
    <row r="312" spans="1:72">
      <c r="A312" s="874"/>
      <c r="B312" s="882"/>
      <c r="C312" s="882"/>
      <c r="D312" s="2933"/>
      <c r="E312" s="2934">
        <f t="shared" si="177"/>
        <v>0</v>
      </c>
      <c r="F312" s="2935"/>
      <c r="G312" s="2936">
        <f t="shared" si="152"/>
        <v>0</v>
      </c>
      <c r="H312" s="2937">
        <f t="shared" si="153"/>
        <v>0</v>
      </c>
      <c r="I312" s="2944"/>
      <c r="J312" s="2944"/>
      <c r="K312" s="2944"/>
      <c r="L312" s="2944"/>
      <c r="M312" s="2944"/>
      <c r="N312" s="2944"/>
      <c r="O312" s="2944"/>
      <c r="P312" s="2944"/>
      <c r="Q312" s="2944"/>
      <c r="R312" s="2944"/>
      <c r="S312" s="2944"/>
      <c r="T312" s="2944"/>
      <c r="U312" s="2944"/>
      <c r="V312" s="2944"/>
      <c r="W312" s="2944"/>
      <c r="X312" s="2944"/>
      <c r="Y312" s="2944"/>
      <c r="Z312" s="2944"/>
      <c r="AA312" s="2944"/>
      <c r="AB312" s="2944"/>
      <c r="AC312" s="2934">
        <f t="shared" si="154"/>
        <v>0</v>
      </c>
      <c r="AD312" s="2954"/>
      <c r="AE312" s="2954"/>
      <c r="AF312" s="2954"/>
      <c r="AG312" s="2954"/>
      <c r="AH312" s="2954"/>
      <c r="AI312" s="2954"/>
      <c r="AJ312" s="2954"/>
      <c r="AK312" s="2954"/>
      <c r="AL312" s="2954"/>
      <c r="AM312" s="2954"/>
      <c r="AN312" s="2954"/>
      <c r="AO312" s="2954"/>
      <c r="AP312" s="2954"/>
      <c r="AQ312" s="2954"/>
      <c r="AR312" s="2954"/>
      <c r="AS312" s="2954"/>
      <c r="AT312" s="2935"/>
      <c r="AU312" s="2964"/>
      <c r="AV312" s="857">
        <f t="shared" si="178"/>
        <v>0</v>
      </c>
      <c r="AW312" s="857">
        <f t="shared" si="179"/>
        <v>0</v>
      </c>
      <c r="AX312" s="857">
        <f t="shared" si="180"/>
        <v>0</v>
      </c>
      <c r="AY312" s="807">
        <f t="shared" si="155"/>
        <v>0</v>
      </c>
      <c r="AZ312" s="2934">
        <f t="shared" si="156"/>
        <v>0</v>
      </c>
      <c r="BA312" s="2934">
        <f t="shared" si="157"/>
        <v>0</v>
      </c>
      <c r="BB312" s="2934">
        <f t="shared" si="158"/>
        <v>0</v>
      </c>
      <c r="BC312" s="2934">
        <f t="shared" si="159"/>
        <v>0</v>
      </c>
      <c r="BD312" s="2934">
        <f t="shared" si="160"/>
        <v>0</v>
      </c>
      <c r="BE312" s="2934">
        <f t="shared" si="161"/>
        <v>0</v>
      </c>
      <c r="BF312" s="2934">
        <f t="shared" si="162"/>
        <v>0</v>
      </c>
      <c r="BG312" s="2934">
        <f t="shared" si="163"/>
        <v>0</v>
      </c>
      <c r="BH312" s="2934">
        <f t="shared" si="164"/>
        <v>0</v>
      </c>
      <c r="BI312" s="2934">
        <f t="shared" si="165"/>
        <v>0</v>
      </c>
      <c r="BJ312" s="2934">
        <f t="shared" si="166"/>
        <v>0</v>
      </c>
      <c r="BK312" s="2934">
        <f t="shared" si="167"/>
        <v>0</v>
      </c>
      <c r="BL312" s="2934">
        <f t="shared" si="168"/>
        <v>0</v>
      </c>
      <c r="BM312" s="2934">
        <f t="shared" si="169"/>
        <v>0</v>
      </c>
      <c r="BN312" s="2934">
        <f t="shared" si="170"/>
        <v>0</v>
      </c>
      <c r="BO312" s="2934">
        <f t="shared" si="171"/>
        <v>0</v>
      </c>
      <c r="BP312" s="2934">
        <f t="shared" si="172"/>
        <v>0</v>
      </c>
      <c r="BQ312" s="2934">
        <f t="shared" si="173"/>
        <v>0</v>
      </c>
      <c r="BR312" s="2934">
        <f t="shared" si="174"/>
        <v>0</v>
      </c>
      <c r="BS312" s="2934">
        <f t="shared" si="175"/>
        <v>0</v>
      </c>
      <c r="BT312" s="2982">
        <f t="shared" si="176"/>
        <v>0</v>
      </c>
    </row>
    <row r="313" spans="1:72">
      <c r="A313" s="874"/>
      <c r="B313" s="882"/>
      <c r="C313" s="882"/>
      <c r="D313" s="2933"/>
      <c r="E313" s="2934">
        <f t="shared" si="177"/>
        <v>0</v>
      </c>
      <c r="F313" s="2935"/>
      <c r="G313" s="2936">
        <f t="shared" si="152"/>
        <v>0</v>
      </c>
      <c r="H313" s="2937">
        <f t="shared" si="153"/>
        <v>0</v>
      </c>
      <c r="I313" s="2944"/>
      <c r="J313" s="2944"/>
      <c r="K313" s="2944"/>
      <c r="L313" s="2944"/>
      <c r="M313" s="2944"/>
      <c r="N313" s="2944"/>
      <c r="O313" s="2944"/>
      <c r="P313" s="2944"/>
      <c r="Q313" s="2944"/>
      <c r="R313" s="2944"/>
      <c r="S313" s="2944"/>
      <c r="T313" s="2944"/>
      <c r="U313" s="2944"/>
      <c r="V313" s="2944"/>
      <c r="W313" s="2944"/>
      <c r="X313" s="2944"/>
      <c r="Y313" s="2944"/>
      <c r="Z313" s="2944"/>
      <c r="AA313" s="2944"/>
      <c r="AB313" s="2944"/>
      <c r="AC313" s="2934">
        <f t="shared" si="154"/>
        <v>0</v>
      </c>
      <c r="AD313" s="2954"/>
      <c r="AE313" s="2954"/>
      <c r="AF313" s="2954"/>
      <c r="AG313" s="2954"/>
      <c r="AH313" s="2954"/>
      <c r="AI313" s="2954"/>
      <c r="AJ313" s="2954"/>
      <c r="AK313" s="2954"/>
      <c r="AL313" s="2954"/>
      <c r="AM313" s="2954"/>
      <c r="AN313" s="2954"/>
      <c r="AO313" s="2954"/>
      <c r="AP313" s="2954"/>
      <c r="AQ313" s="2954"/>
      <c r="AR313" s="2954"/>
      <c r="AS313" s="2954"/>
      <c r="AT313" s="2935"/>
      <c r="AU313" s="2964"/>
      <c r="AV313" s="857">
        <f t="shared" si="178"/>
        <v>0</v>
      </c>
      <c r="AW313" s="857">
        <f t="shared" si="179"/>
        <v>0</v>
      </c>
      <c r="AX313" s="857">
        <f t="shared" si="180"/>
        <v>0</v>
      </c>
      <c r="AY313" s="807">
        <f t="shared" si="155"/>
        <v>0</v>
      </c>
      <c r="AZ313" s="2934">
        <f t="shared" si="156"/>
        <v>0</v>
      </c>
      <c r="BA313" s="2934">
        <f t="shared" si="157"/>
        <v>0</v>
      </c>
      <c r="BB313" s="2934">
        <f t="shared" si="158"/>
        <v>0</v>
      </c>
      <c r="BC313" s="2934">
        <f t="shared" si="159"/>
        <v>0</v>
      </c>
      <c r="BD313" s="2934">
        <f t="shared" si="160"/>
        <v>0</v>
      </c>
      <c r="BE313" s="2934">
        <f t="shared" si="161"/>
        <v>0</v>
      </c>
      <c r="BF313" s="2934">
        <f t="shared" si="162"/>
        <v>0</v>
      </c>
      <c r="BG313" s="2934">
        <f t="shared" si="163"/>
        <v>0</v>
      </c>
      <c r="BH313" s="2934">
        <f t="shared" si="164"/>
        <v>0</v>
      </c>
      <c r="BI313" s="2934">
        <f t="shared" si="165"/>
        <v>0</v>
      </c>
      <c r="BJ313" s="2934">
        <f t="shared" si="166"/>
        <v>0</v>
      </c>
      <c r="BK313" s="2934">
        <f t="shared" si="167"/>
        <v>0</v>
      </c>
      <c r="BL313" s="2934">
        <f t="shared" si="168"/>
        <v>0</v>
      </c>
      <c r="BM313" s="2934">
        <f t="shared" si="169"/>
        <v>0</v>
      </c>
      <c r="BN313" s="2934">
        <f t="shared" si="170"/>
        <v>0</v>
      </c>
      <c r="BO313" s="2934">
        <f t="shared" si="171"/>
        <v>0</v>
      </c>
      <c r="BP313" s="2934">
        <f t="shared" si="172"/>
        <v>0</v>
      </c>
      <c r="BQ313" s="2934">
        <f t="shared" si="173"/>
        <v>0</v>
      </c>
      <c r="BR313" s="2934">
        <f t="shared" si="174"/>
        <v>0</v>
      </c>
      <c r="BS313" s="2934">
        <f t="shared" si="175"/>
        <v>0</v>
      </c>
      <c r="BT313" s="2982">
        <f t="shared" si="176"/>
        <v>0</v>
      </c>
    </row>
    <row r="314" spans="1:72">
      <c r="A314" s="874"/>
      <c r="B314" s="882"/>
      <c r="C314" s="882"/>
      <c r="D314" s="2933"/>
      <c r="E314" s="2934">
        <f t="shared" si="177"/>
        <v>0</v>
      </c>
      <c r="F314" s="2935"/>
      <c r="G314" s="2936">
        <f t="shared" si="152"/>
        <v>0</v>
      </c>
      <c r="H314" s="2937">
        <f t="shared" si="153"/>
        <v>0</v>
      </c>
      <c r="I314" s="2944"/>
      <c r="J314" s="2944"/>
      <c r="K314" s="2944"/>
      <c r="L314" s="2944"/>
      <c r="M314" s="2944"/>
      <c r="N314" s="2944"/>
      <c r="O314" s="2944"/>
      <c r="P314" s="2944"/>
      <c r="Q314" s="2944"/>
      <c r="R314" s="2944"/>
      <c r="S314" s="2944"/>
      <c r="T314" s="2944"/>
      <c r="U314" s="2944"/>
      <c r="V314" s="2944"/>
      <c r="W314" s="2944"/>
      <c r="X314" s="2944"/>
      <c r="Y314" s="2944"/>
      <c r="Z314" s="2944"/>
      <c r="AA314" s="2944"/>
      <c r="AB314" s="2944"/>
      <c r="AC314" s="2934">
        <f t="shared" si="154"/>
        <v>0</v>
      </c>
      <c r="AD314" s="2954"/>
      <c r="AE314" s="2954"/>
      <c r="AF314" s="2954"/>
      <c r="AG314" s="2954"/>
      <c r="AH314" s="2954"/>
      <c r="AI314" s="2954"/>
      <c r="AJ314" s="2954"/>
      <c r="AK314" s="2954"/>
      <c r="AL314" s="2954"/>
      <c r="AM314" s="2954"/>
      <c r="AN314" s="2954"/>
      <c r="AO314" s="2954"/>
      <c r="AP314" s="2954"/>
      <c r="AQ314" s="2954"/>
      <c r="AR314" s="2954"/>
      <c r="AS314" s="2954"/>
      <c r="AT314" s="2935"/>
      <c r="AU314" s="2964"/>
      <c r="AV314" s="857">
        <f t="shared" si="178"/>
        <v>0</v>
      </c>
      <c r="AW314" s="857">
        <f t="shared" si="179"/>
        <v>0</v>
      </c>
      <c r="AX314" s="857">
        <f t="shared" si="180"/>
        <v>0</v>
      </c>
      <c r="AY314" s="807">
        <f t="shared" si="155"/>
        <v>0</v>
      </c>
      <c r="AZ314" s="2934">
        <f t="shared" si="156"/>
        <v>0</v>
      </c>
      <c r="BA314" s="2934">
        <f t="shared" si="157"/>
        <v>0</v>
      </c>
      <c r="BB314" s="2934">
        <f t="shared" si="158"/>
        <v>0</v>
      </c>
      <c r="BC314" s="2934">
        <f t="shared" si="159"/>
        <v>0</v>
      </c>
      <c r="BD314" s="2934">
        <f t="shared" si="160"/>
        <v>0</v>
      </c>
      <c r="BE314" s="2934">
        <f t="shared" si="161"/>
        <v>0</v>
      </c>
      <c r="BF314" s="2934">
        <f t="shared" si="162"/>
        <v>0</v>
      </c>
      <c r="BG314" s="2934">
        <f t="shared" si="163"/>
        <v>0</v>
      </c>
      <c r="BH314" s="2934">
        <f t="shared" si="164"/>
        <v>0</v>
      </c>
      <c r="BI314" s="2934">
        <f t="shared" si="165"/>
        <v>0</v>
      </c>
      <c r="BJ314" s="2934">
        <f t="shared" si="166"/>
        <v>0</v>
      </c>
      <c r="BK314" s="2934">
        <f t="shared" si="167"/>
        <v>0</v>
      </c>
      <c r="BL314" s="2934">
        <f t="shared" si="168"/>
        <v>0</v>
      </c>
      <c r="BM314" s="2934">
        <f t="shared" si="169"/>
        <v>0</v>
      </c>
      <c r="BN314" s="2934">
        <f t="shared" si="170"/>
        <v>0</v>
      </c>
      <c r="BO314" s="2934">
        <f t="shared" si="171"/>
        <v>0</v>
      </c>
      <c r="BP314" s="2934">
        <f t="shared" si="172"/>
        <v>0</v>
      </c>
      <c r="BQ314" s="2934">
        <f t="shared" si="173"/>
        <v>0</v>
      </c>
      <c r="BR314" s="2934">
        <f t="shared" si="174"/>
        <v>0</v>
      </c>
      <c r="BS314" s="2934">
        <f t="shared" si="175"/>
        <v>0</v>
      </c>
      <c r="BT314" s="2982">
        <f t="shared" si="176"/>
        <v>0</v>
      </c>
    </row>
    <row r="315" spans="1:72">
      <c r="A315" s="874"/>
      <c r="B315" s="882"/>
      <c r="C315" s="882"/>
      <c r="D315" s="2933"/>
      <c r="E315" s="2934">
        <f t="shared" si="177"/>
        <v>0</v>
      </c>
      <c r="F315" s="2935"/>
      <c r="G315" s="2936">
        <f t="shared" si="152"/>
        <v>0</v>
      </c>
      <c r="H315" s="2937">
        <f t="shared" si="153"/>
        <v>0</v>
      </c>
      <c r="I315" s="2944"/>
      <c r="J315" s="2944"/>
      <c r="K315" s="2944"/>
      <c r="L315" s="2944"/>
      <c r="M315" s="2944"/>
      <c r="N315" s="2944"/>
      <c r="O315" s="2944"/>
      <c r="P315" s="2944"/>
      <c r="Q315" s="2944"/>
      <c r="R315" s="2944"/>
      <c r="S315" s="2944"/>
      <c r="T315" s="2944"/>
      <c r="U315" s="2944"/>
      <c r="V315" s="2944"/>
      <c r="W315" s="2944"/>
      <c r="X315" s="2944"/>
      <c r="Y315" s="2944"/>
      <c r="Z315" s="2944"/>
      <c r="AA315" s="2944"/>
      <c r="AB315" s="2944"/>
      <c r="AC315" s="2934">
        <f t="shared" si="154"/>
        <v>0</v>
      </c>
      <c r="AD315" s="2954"/>
      <c r="AE315" s="2954"/>
      <c r="AF315" s="2954"/>
      <c r="AG315" s="2954"/>
      <c r="AH315" s="2954"/>
      <c r="AI315" s="2954"/>
      <c r="AJ315" s="2954"/>
      <c r="AK315" s="2954"/>
      <c r="AL315" s="2954"/>
      <c r="AM315" s="2954"/>
      <c r="AN315" s="2954"/>
      <c r="AO315" s="2954"/>
      <c r="AP315" s="2954"/>
      <c r="AQ315" s="2954"/>
      <c r="AR315" s="2954"/>
      <c r="AS315" s="2954"/>
      <c r="AT315" s="2935"/>
      <c r="AU315" s="2964"/>
      <c r="AV315" s="857">
        <f t="shared" si="178"/>
        <v>0</v>
      </c>
      <c r="AW315" s="857">
        <f t="shared" si="179"/>
        <v>0</v>
      </c>
      <c r="AX315" s="857">
        <f t="shared" si="180"/>
        <v>0</v>
      </c>
      <c r="AY315" s="807">
        <f t="shared" si="155"/>
        <v>0</v>
      </c>
      <c r="AZ315" s="2934">
        <f t="shared" si="156"/>
        <v>0</v>
      </c>
      <c r="BA315" s="2934">
        <f t="shared" si="157"/>
        <v>0</v>
      </c>
      <c r="BB315" s="2934">
        <f t="shared" si="158"/>
        <v>0</v>
      </c>
      <c r="BC315" s="2934">
        <f t="shared" si="159"/>
        <v>0</v>
      </c>
      <c r="BD315" s="2934">
        <f t="shared" si="160"/>
        <v>0</v>
      </c>
      <c r="BE315" s="2934">
        <f t="shared" si="161"/>
        <v>0</v>
      </c>
      <c r="BF315" s="2934">
        <f t="shared" si="162"/>
        <v>0</v>
      </c>
      <c r="BG315" s="2934">
        <f t="shared" si="163"/>
        <v>0</v>
      </c>
      <c r="BH315" s="2934">
        <f t="shared" si="164"/>
        <v>0</v>
      </c>
      <c r="BI315" s="2934">
        <f t="shared" si="165"/>
        <v>0</v>
      </c>
      <c r="BJ315" s="2934">
        <f t="shared" si="166"/>
        <v>0</v>
      </c>
      <c r="BK315" s="2934">
        <f t="shared" si="167"/>
        <v>0</v>
      </c>
      <c r="BL315" s="2934">
        <f t="shared" si="168"/>
        <v>0</v>
      </c>
      <c r="BM315" s="2934">
        <f t="shared" si="169"/>
        <v>0</v>
      </c>
      <c r="BN315" s="2934">
        <f t="shared" si="170"/>
        <v>0</v>
      </c>
      <c r="BO315" s="2934">
        <f t="shared" si="171"/>
        <v>0</v>
      </c>
      <c r="BP315" s="2934">
        <f t="shared" si="172"/>
        <v>0</v>
      </c>
      <c r="BQ315" s="2934">
        <f t="shared" si="173"/>
        <v>0</v>
      </c>
      <c r="BR315" s="2934">
        <f t="shared" si="174"/>
        <v>0</v>
      </c>
      <c r="BS315" s="2934">
        <f t="shared" si="175"/>
        <v>0</v>
      </c>
      <c r="BT315" s="2982">
        <f t="shared" si="176"/>
        <v>0</v>
      </c>
    </row>
    <row r="316" spans="1:72">
      <c r="A316" s="874"/>
      <c r="B316" s="882"/>
      <c r="C316" s="882"/>
      <c r="D316" s="2933"/>
      <c r="E316" s="2934">
        <f t="shared" si="177"/>
        <v>0</v>
      </c>
      <c r="F316" s="2935"/>
      <c r="G316" s="2936">
        <f t="shared" si="152"/>
        <v>0</v>
      </c>
      <c r="H316" s="2937">
        <f t="shared" si="153"/>
        <v>0</v>
      </c>
      <c r="I316" s="2944"/>
      <c r="J316" s="2944"/>
      <c r="K316" s="2944"/>
      <c r="L316" s="2944"/>
      <c r="M316" s="2944"/>
      <c r="N316" s="2944"/>
      <c r="O316" s="2944"/>
      <c r="P316" s="2944"/>
      <c r="Q316" s="2944"/>
      <c r="R316" s="2944"/>
      <c r="S316" s="2944"/>
      <c r="T316" s="2944"/>
      <c r="U316" s="2944"/>
      <c r="V316" s="2944"/>
      <c r="W316" s="2944"/>
      <c r="X316" s="2944"/>
      <c r="Y316" s="2944"/>
      <c r="Z316" s="2944"/>
      <c r="AA316" s="2944"/>
      <c r="AB316" s="2944"/>
      <c r="AC316" s="2934">
        <f t="shared" si="154"/>
        <v>0</v>
      </c>
      <c r="AD316" s="2954"/>
      <c r="AE316" s="2954"/>
      <c r="AF316" s="2954"/>
      <c r="AG316" s="2954"/>
      <c r="AH316" s="2954"/>
      <c r="AI316" s="2954"/>
      <c r="AJ316" s="2954"/>
      <c r="AK316" s="2954"/>
      <c r="AL316" s="2954"/>
      <c r="AM316" s="2954"/>
      <c r="AN316" s="2954"/>
      <c r="AO316" s="2954"/>
      <c r="AP316" s="2954"/>
      <c r="AQ316" s="2954"/>
      <c r="AR316" s="2954"/>
      <c r="AS316" s="2954"/>
      <c r="AT316" s="2935"/>
      <c r="AU316" s="2964"/>
      <c r="AV316" s="857">
        <f t="shared" si="178"/>
        <v>0</v>
      </c>
      <c r="AW316" s="857">
        <f t="shared" si="179"/>
        <v>0</v>
      </c>
      <c r="AX316" s="857">
        <f t="shared" si="180"/>
        <v>0</v>
      </c>
      <c r="AY316" s="807">
        <f t="shared" si="155"/>
        <v>0</v>
      </c>
      <c r="AZ316" s="2934">
        <f t="shared" si="156"/>
        <v>0</v>
      </c>
      <c r="BA316" s="2934">
        <f t="shared" si="157"/>
        <v>0</v>
      </c>
      <c r="BB316" s="2934">
        <f t="shared" si="158"/>
        <v>0</v>
      </c>
      <c r="BC316" s="2934">
        <f t="shared" si="159"/>
        <v>0</v>
      </c>
      <c r="BD316" s="2934">
        <f t="shared" si="160"/>
        <v>0</v>
      </c>
      <c r="BE316" s="2934">
        <f t="shared" si="161"/>
        <v>0</v>
      </c>
      <c r="BF316" s="2934">
        <f t="shared" si="162"/>
        <v>0</v>
      </c>
      <c r="BG316" s="2934">
        <f t="shared" si="163"/>
        <v>0</v>
      </c>
      <c r="BH316" s="2934">
        <f t="shared" si="164"/>
        <v>0</v>
      </c>
      <c r="BI316" s="2934">
        <f t="shared" si="165"/>
        <v>0</v>
      </c>
      <c r="BJ316" s="2934">
        <f t="shared" si="166"/>
        <v>0</v>
      </c>
      <c r="BK316" s="2934">
        <f t="shared" si="167"/>
        <v>0</v>
      </c>
      <c r="BL316" s="2934">
        <f t="shared" si="168"/>
        <v>0</v>
      </c>
      <c r="BM316" s="2934">
        <f t="shared" si="169"/>
        <v>0</v>
      </c>
      <c r="BN316" s="2934">
        <f t="shared" si="170"/>
        <v>0</v>
      </c>
      <c r="BO316" s="2934">
        <f t="shared" si="171"/>
        <v>0</v>
      </c>
      <c r="BP316" s="2934">
        <f t="shared" si="172"/>
        <v>0</v>
      </c>
      <c r="BQ316" s="2934">
        <f t="shared" si="173"/>
        <v>0</v>
      </c>
      <c r="BR316" s="2934">
        <f t="shared" si="174"/>
        <v>0</v>
      </c>
      <c r="BS316" s="2934">
        <f t="shared" si="175"/>
        <v>0</v>
      </c>
      <c r="BT316" s="2982">
        <f t="shared" si="176"/>
        <v>0</v>
      </c>
    </row>
    <row r="317" spans="1:72">
      <c r="A317" s="874"/>
      <c r="B317" s="882"/>
      <c r="C317" s="882"/>
      <c r="D317" s="2933"/>
      <c r="E317" s="2934">
        <f t="shared" si="177"/>
        <v>0</v>
      </c>
      <c r="F317" s="2935"/>
      <c r="G317" s="2936">
        <f t="shared" si="152"/>
        <v>0</v>
      </c>
      <c r="H317" s="2937">
        <f t="shared" si="153"/>
        <v>0</v>
      </c>
      <c r="I317" s="2944"/>
      <c r="J317" s="2944"/>
      <c r="K317" s="2944"/>
      <c r="L317" s="2944"/>
      <c r="M317" s="2944"/>
      <c r="N317" s="2944"/>
      <c r="O317" s="2944"/>
      <c r="P317" s="2944"/>
      <c r="Q317" s="2944"/>
      <c r="R317" s="2944"/>
      <c r="S317" s="2944"/>
      <c r="T317" s="2944"/>
      <c r="U317" s="2944"/>
      <c r="V317" s="2944"/>
      <c r="W317" s="2944"/>
      <c r="X317" s="2944"/>
      <c r="Y317" s="2944"/>
      <c r="Z317" s="2944"/>
      <c r="AA317" s="2944"/>
      <c r="AB317" s="2944"/>
      <c r="AC317" s="2934">
        <f t="shared" si="154"/>
        <v>0</v>
      </c>
      <c r="AD317" s="2954"/>
      <c r="AE317" s="2954"/>
      <c r="AF317" s="2954"/>
      <c r="AG317" s="2954"/>
      <c r="AH317" s="2954"/>
      <c r="AI317" s="2954"/>
      <c r="AJ317" s="2954"/>
      <c r="AK317" s="2954"/>
      <c r="AL317" s="2954"/>
      <c r="AM317" s="2954"/>
      <c r="AN317" s="2954"/>
      <c r="AO317" s="2954"/>
      <c r="AP317" s="2954"/>
      <c r="AQ317" s="2954"/>
      <c r="AR317" s="2954"/>
      <c r="AS317" s="2954"/>
      <c r="AT317" s="2935"/>
      <c r="AU317" s="2964"/>
      <c r="AV317" s="857">
        <f t="shared" si="178"/>
        <v>0</v>
      </c>
      <c r="AW317" s="857">
        <f t="shared" si="179"/>
        <v>0</v>
      </c>
      <c r="AX317" s="857">
        <f t="shared" si="180"/>
        <v>0</v>
      </c>
      <c r="AY317" s="807">
        <f t="shared" si="155"/>
        <v>0</v>
      </c>
      <c r="AZ317" s="2934">
        <f t="shared" si="156"/>
        <v>0</v>
      </c>
      <c r="BA317" s="2934">
        <f t="shared" si="157"/>
        <v>0</v>
      </c>
      <c r="BB317" s="2934">
        <f t="shared" si="158"/>
        <v>0</v>
      </c>
      <c r="BC317" s="2934">
        <f t="shared" si="159"/>
        <v>0</v>
      </c>
      <c r="BD317" s="2934">
        <f t="shared" si="160"/>
        <v>0</v>
      </c>
      <c r="BE317" s="2934">
        <f t="shared" si="161"/>
        <v>0</v>
      </c>
      <c r="BF317" s="2934">
        <f t="shared" si="162"/>
        <v>0</v>
      </c>
      <c r="BG317" s="2934">
        <f t="shared" si="163"/>
        <v>0</v>
      </c>
      <c r="BH317" s="2934">
        <f t="shared" si="164"/>
        <v>0</v>
      </c>
      <c r="BI317" s="2934">
        <f t="shared" si="165"/>
        <v>0</v>
      </c>
      <c r="BJ317" s="2934">
        <f t="shared" si="166"/>
        <v>0</v>
      </c>
      <c r="BK317" s="2934">
        <f t="shared" si="167"/>
        <v>0</v>
      </c>
      <c r="BL317" s="2934">
        <f t="shared" si="168"/>
        <v>0</v>
      </c>
      <c r="BM317" s="2934">
        <f t="shared" si="169"/>
        <v>0</v>
      </c>
      <c r="BN317" s="2934">
        <f t="shared" si="170"/>
        <v>0</v>
      </c>
      <c r="BO317" s="2934">
        <f t="shared" si="171"/>
        <v>0</v>
      </c>
      <c r="BP317" s="2934">
        <f t="shared" si="172"/>
        <v>0</v>
      </c>
      <c r="BQ317" s="2934">
        <f t="shared" si="173"/>
        <v>0</v>
      </c>
      <c r="BR317" s="2934">
        <f t="shared" si="174"/>
        <v>0</v>
      </c>
      <c r="BS317" s="2934">
        <f t="shared" si="175"/>
        <v>0</v>
      </c>
      <c r="BT317" s="2982">
        <f t="shared" si="176"/>
        <v>0</v>
      </c>
    </row>
    <row r="318" spans="1:72">
      <c r="A318" s="874"/>
      <c r="B318" s="882"/>
      <c r="C318" s="882"/>
      <c r="D318" s="2933"/>
      <c r="E318" s="2934">
        <f t="shared" si="177"/>
        <v>0</v>
      </c>
      <c r="F318" s="2935"/>
      <c r="G318" s="2936">
        <f t="shared" si="152"/>
        <v>0</v>
      </c>
      <c r="H318" s="2937">
        <f t="shared" si="153"/>
        <v>0</v>
      </c>
      <c r="I318" s="2944"/>
      <c r="J318" s="2944"/>
      <c r="K318" s="2944"/>
      <c r="L318" s="2944"/>
      <c r="M318" s="2944"/>
      <c r="N318" s="2944"/>
      <c r="O318" s="2944"/>
      <c r="P318" s="2944"/>
      <c r="Q318" s="2944"/>
      <c r="R318" s="2944"/>
      <c r="S318" s="2944"/>
      <c r="T318" s="2944"/>
      <c r="U318" s="2944"/>
      <c r="V318" s="2944"/>
      <c r="W318" s="2944"/>
      <c r="X318" s="2944"/>
      <c r="Y318" s="2944"/>
      <c r="Z318" s="2944"/>
      <c r="AA318" s="2944"/>
      <c r="AB318" s="2944"/>
      <c r="AC318" s="2934">
        <f t="shared" si="154"/>
        <v>0</v>
      </c>
      <c r="AD318" s="2954"/>
      <c r="AE318" s="2954"/>
      <c r="AF318" s="2954"/>
      <c r="AG318" s="2954"/>
      <c r="AH318" s="2954"/>
      <c r="AI318" s="2954"/>
      <c r="AJ318" s="2954"/>
      <c r="AK318" s="2954"/>
      <c r="AL318" s="2954"/>
      <c r="AM318" s="2954"/>
      <c r="AN318" s="2954"/>
      <c r="AO318" s="2954"/>
      <c r="AP318" s="2954"/>
      <c r="AQ318" s="2954"/>
      <c r="AR318" s="2954"/>
      <c r="AS318" s="2954"/>
      <c r="AT318" s="2935"/>
      <c r="AU318" s="2964"/>
      <c r="AV318" s="857">
        <f t="shared" si="178"/>
        <v>0</v>
      </c>
      <c r="AW318" s="857">
        <f t="shared" si="179"/>
        <v>0</v>
      </c>
      <c r="AX318" s="857">
        <f t="shared" si="180"/>
        <v>0</v>
      </c>
      <c r="AY318" s="807">
        <f t="shared" si="155"/>
        <v>0</v>
      </c>
      <c r="AZ318" s="2934">
        <f t="shared" si="156"/>
        <v>0</v>
      </c>
      <c r="BA318" s="2934">
        <f t="shared" si="157"/>
        <v>0</v>
      </c>
      <c r="BB318" s="2934">
        <f t="shared" si="158"/>
        <v>0</v>
      </c>
      <c r="BC318" s="2934">
        <f t="shared" si="159"/>
        <v>0</v>
      </c>
      <c r="BD318" s="2934">
        <f t="shared" si="160"/>
        <v>0</v>
      </c>
      <c r="BE318" s="2934">
        <f t="shared" si="161"/>
        <v>0</v>
      </c>
      <c r="BF318" s="2934">
        <f t="shared" si="162"/>
        <v>0</v>
      </c>
      <c r="BG318" s="2934">
        <f t="shared" si="163"/>
        <v>0</v>
      </c>
      <c r="BH318" s="2934">
        <f t="shared" si="164"/>
        <v>0</v>
      </c>
      <c r="BI318" s="2934">
        <f t="shared" si="165"/>
        <v>0</v>
      </c>
      <c r="BJ318" s="2934">
        <f t="shared" si="166"/>
        <v>0</v>
      </c>
      <c r="BK318" s="2934">
        <f t="shared" si="167"/>
        <v>0</v>
      </c>
      <c r="BL318" s="2934">
        <f t="shared" si="168"/>
        <v>0</v>
      </c>
      <c r="BM318" s="2934">
        <f t="shared" si="169"/>
        <v>0</v>
      </c>
      <c r="BN318" s="2934">
        <f t="shared" si="170"/>
        <v>0</v>
      </c>
      <c r="BO318" s="2934">
        <f t="shared" si="171"/>
        <v>0</v>
      </c>
      <c r="BP318" s="2934">
        <f t="shared" si="172"/>
        <v>0</v>
      </c>
      <c r="BQ318" s="2934">
        <f t="shared" si="173"/>
        <v>0</v>
      </c>
      <c r="BR318" s="2934">
        <f t="shared" si="174"/>
        <v>0</v>
      </c>
      <c r="BS318" s="2934">
        <f t="shared" si="175"/>
        <v>0</v>
      </c>
      <c r="BT318" s="2982">
        <f t="shared" si="176"/>
        <v>0</v>
      </c>
    </row>
    <row r="319" spans="1:72">
      <c r="A319" s="874"/>
      <c r="B319" s="882"/>
      <c r="C319" s="882"/>
      <c r="D319" s="2933"/>
      <c r="E319" s="2934">
        <f t="shared" si="177"/>
        <v>0</v>
      </c>
      <c r="F319" s="2935"/>
      <c r="G319" s="2936">
        <f t="shared" si="152"/>
        <v>0</v>
      </c>
      <c r="H319" s="2937">
        <f t="shared" si="153"/>
        <v>0</v>
      </c>
      <c r="I319" s="2944"/>
      <c r="J319" s="2944"/>
      <c r="K319" s="2944"/>
      <c r="L319" s="2944"/>
      <c r="M319" s="2944"/>
      <c r="N319" s="2944"/>
      <c r="O319" s="2944"/>
      <c r="P319" s="2944"/>
      <c r="Q319" s="2944"/>
      <c r="R319" s="2944"/>
      <c r="S319" s="2944"/>
      <c r="T319" s="2944"/>
      <c r="U319" s="2944"/>
      <c r="V319" s="2944"/>
      <c r="W319" s="2944"/>
      <c r="X319" s="2944"/>
      <c r="Y319" s="2944"/>
      <c r="Z319" s="2944"/>
      <c r="AA319" s="2944"/>
      <c r="AB319" s="2944"/>
      <c r="AC319" s="2934">
        <f t="shared" si="154"/>
        <v>0</v>
      </c>
      <c r="AD319" s="2954"/>
      <c r="AE319" s="2954"/>
      <c r="AF319" s="2954"/>
      <c r="AG319" s="2954"/>
      <c r="AH319" s="2954"/>
      <c r="AI319" s="2954"/>
      <c r="AJ319" s="2954"/>
      <c r="AK319" s="2954"/>
      <c r="AL319" s="2954"/>
      <c r="AM319" s="2954"/>
      <c r="AN319" s="2954"/>
      <c r="AO319" s="2954"/>
      <c r="AP319" s="2954"/>
      <c r="AQ319" s="2954"/>
      <c r="AR319" s="2954"/>
      <c r="AS319" s="2954"/>
      <c r="AT319" s="2935"/>
      <c r="AU319" s="2964"/>
      <c r="AV319" s="857">
        <f t="shared" si="178"/>
        <v>0</v>
      </c>
      <c r="AW319" s="857">
        <f t="shared" si="179"/>
        <v>0</v>
      </c>
      <c r="AX319" s="857">
        <f t="shared" si="180"/>
        <v>0</v>
      </c>
      <c r="AY319" s="807">
        <f t="shared" si="155"/>
        <v>0</v>
      </c>
      <c r="AZ319" s="2934">
        <f t="shared" si="156"/>
        <v>0</v>
      </c>
      <c r="BA319" s="2934">
        <f t="shared" si="157"/>
        <v>0</v>
      </c>
      <c r="BB319" s="2934">
        <f t="shared" si="158"/>
        <v>0</v>
      </c>
      <c r="BC319" s="2934">
        <f t="shared" si="159"/>
        <v>0</v>
      </c>
      <c r="BD319" s="2934">
        <f t="shared" si="160"/>
        <v>0</v>
      </c>
      <c r="BE319" s="2934">
        <f t="shared" si="161"/>
        <v>0</v>
      </c>
      <c r="BF319" s="2934">
        <f t="shared" si="162"/>
        <v>0</v>
      </c>
      <c r="BG319" s="2934">
        <f t="shared" si="163"/>
        <v>0</v>
      </c>
      <c r="BH319" s="2934">
        <f t="shared" si="164"/>
        <v>0</v>
      </c>
      <c r="BI319" s="2934">
        <f t="shared" si="165"/>
        <v>0</v>
      </c>
      <c r="BJ319" s="2934">
        <f t="shared" si="166"/>
        <v>0</v>
      </c>
      <c r="BK319" s="2934">
        <f t="shared" si="167"/>
        <v>0</v>
      </c>
      <c r="BL319" s="2934">
        <f t="shared" si="168"/>
        <v>0</v>
      </c>
      <c r="BM319" s="2934">
        <f t="shared" si="169"/>
        <v>0</v>
      </c>
      <c r="BN319" s="2934">
        <f t="shared" si="170"/>
        <v>0</v>
      </c>
      <c r="BO319" s="2934">
        <f t="shared" si="171"/>
        <v>0</v>
      </c>
      <c r="BP319" s="2934">
        <f t="shared" si="172"/>
        <v>0</v>
      </c>
      <c r="BQ319" s="2934">
        <f t="shared" si="173"/>
        <v>0</v>
      </c>
      <c r="BR319" s="2934">
        <f t="shared" si="174"/>
        <v>0</v>
      </c>
      <c r="BS319" s="2934">
        <f t="shared" si="175"/>
        <v>0</v>
      </c>
      <c r="BT319" s="2982">
        <f t="shared" si="176"/>
        <v>0</v>
      </c>
    </row>
    <row r="320" spans="1:72">
      <c r="A320" s="874"/>
      <c r="B320" s="882"/>
      <c r="C320" s="882"/>
      <c r="D320" s="2933"/>
      <c r="E320" s="2934">
        <f t="shared" si="177"/>
        <v>0</v>
      </c>
      <c r="F320" s="2935"/>
      <c r="G320" s="2936">
        <f t="shared" si="152"/>
        <v>0</v>
      </c>
      <c r="H320" s="2937">
        <f t="shared" si="153"/>
        <v>0</v>
      </c>
      <c r="I320" s="2944"/>
      <c r="J320" s="2944"/>
      <c r="K320" s="2944"/>
      <c r="L320" s="2944"/>
      <c r="M320" s="2944"/>
      <c r="N320" s="2944"/>
      <c r="O320" s="2944"/>
      <c r="P320" s="2944"/>
      <c r="Q320" s="2944"/>
      <c r="R320" s="2944"/>
      <c r="S320" s="2944"/>
      <c r="T320" s="2944"/>
      <c r="U320" s="2944"/>
      <c r="V320" s="2944"/>
      <c r="W320" s="2944"/>
      <c r="X320" s="2944"/>
      <c r="Y320" s="2944"/>
      <c r="Z320" s="2944"/>
      <c r="AA320" s="2944"/>
      <c r="AB320" s="2944"/>
      <c r="AC320" s="2934">
        <f t="shared" si="154"/>
        <v>0</v>
      </c>
      <c r="AD320" s="2954"/>
      <c r="AE320" s="2954"/>
      <c r="AF320" s="2954"/>
      <c r="AG320" s="2954"/>
      <c r="AH320" s="2954"/>
      <c r="AI320" s="2954"/>
      <c r="AJ320" s="2954"/>
      <c r="AK320" s="2954"/>
      <c r="AL320" s="2954"/>
      <c r="AM320" s="2954"/>
      <c r="AN320" s="2954"/>
      <c r="AO320" s="2954"/>
      <c r="AP320" s="2954"/>
      <c r="AQ320" s="2954"/>
      <c r="AR320" s="2954"/>
      <c r="AS320" s="2954"/>
      <c r="AT320" s="2935"/>
      <c r="AU320" s="2964"/>
      <c r="AV320" s="857">
        <f t="shared" si="178"/>
        <v>0</v>
      </c>
      <c r="AW320" s="857">
        <f t="shared" si="179"/>
        <v>0</v>
      </c>
      <c r="AX320" s="857">
        <f t="shared" si="180"/>
        <v>0</v>
      </c>
      <c r="AY320" s="807">
        <f t="shared" si="155"/>
        <v>0</v>
      </c>
      <c r="AZ320" s="2934">
        <f t="shared" si="156"/>
        <v>0</v>
      </c>
      <c r="BA320" s="2934">
        <f t="shared" si="157"/>
        <v>0</v>
      </c>
      <c r="BB320" s="2934">
        <f t="shared" si="158"/>
        <v>0</v>
      </c>
      <c r="BC320" s="2934">
        <f t="shared" si="159"/>
        <v>0</v>
      </c>
      <c r="BD320" s="2934">
        <f t="shared" si="160"/>
        <v>0</v>
      </c>
      <c r="BE320" s="2934">
        <f t="shared" si="161"/>
        <v>0</v>
      </c>
      <c r="BF320" s="2934">
        <f t="shared" si="162"/>
        <v>0</v>
      </c>
      <c r="BG320" s="2934">
        <f t="shared" si="163"/>
        <v>0</v>
      </c>
      <c r="BH320" s="2934">
        <f t="shared" si="164"/>
        <v>0</v>
      </c>
      <c r="BI320" s="2934">
        <f t="shared" si="165"/>
        <v>0</v>
      </c>
      <c r="BJ320" s="2934">
        <f t="shared" si="166"/>
        <v>0</v>
      </c>
      <c r="BK320" s="2934">
        <f t="shared" si="167"/>
        <v>0</v>
      </c>
      <c r="BL320" s="2934">
        <f t="shared" si="168"/>
        <v>0</v>
      </c>
      <c r="BM320" s="2934">
        <f t="shared" si="169"/>
        <v>0</v>
      </c>
      <c r="BN320" s="2934">
        <f t="shared" si="170"/>
        <v>0</v>
      </c>
      <c r="BO320" s="2934">
        <f t="shared" si="171"/>
        <v>0</v>
      </c>
      <c r="BP320" s="2934">
        <f t="shared" si="172"/>
        <v>0</v>
      </c>
      <c r="BQ320" s="2934">
        <f t="shared" si="173"/>
        <v>0</v>
      </c>
      <c r="BR320" s="2934">
        <f t="shared" si="174"/>
        <v>0</v>
      </c>
      <c r="BS320" s="2934">
        <f t="shared" si="175"/>
        <v>0</v>
      </c>
      <c r="BT320" s="2982">
        <f t="shared" si="176"/>
        <v>0</v>
      </c>
    </row>
    <row r="321" spans="1:72">
      <c r="A321" s="874"/>
      <c r="B321" s="882"/>
      <c r="C321" s="882"/>
      <c r="D321" s="2933"/>
      <c r="E321" s="2934">
        <f t="shared" si="177"/>
        <v>0</v>
      </c>
      <c r="F321" s="2935"/>
      <c r="G321" s="2936">
        <f t="shared" si="152"/>
        <v>0</v>
      </c>
      <c r="H321" s="2937">
        <f t="shared" si="153"/>
        <v>0</v>
      </c>
      <c r="I321" s="2944"/>
      <c r="J321" s="2944"/>
      <c r="K321" s="2944"/>
      <c r="L321" s="2944"/>
      <c r="M321" s="2944"/>
      <c r="N321" s="2944"/>
      <c r="O321" s="2944"/>
      <c r="P321" s="2944"/>
      <c r="Q321" s="2944"/>
      <c r="R321" s="2944"/>
      <c r="S321" s="2944"/>
      <c r="T321" s="2944"/>
      <c r="U321" s="2944"/>
      <c r="V321" s="2944"/>
      <c r="W321" s="2944"/>
      <c r="X321" s="2944"/>
      <c r="Y321" s="2944"/>
      <c r="Z321" s="2944"/>
      <c r="AA321" s="2944"/>
      <c r="AB321" s="2944"/>
      <c r="AC321" s="2934">
        <f t="shared" si="154"/>
        <v>0</v>
      </c>
      <c r="AD321" s="2954"/>
      <c r="AE321" s="2954"/>
      <c r="AF321" s="2954"/>
      <c r="AG321" s="2954"/>
      <c r="AH321" s="2954"/>
      <c r="AI321" s="2954"/>
      <c r="AJ321" s="2954"/>
      <c r="AK321" s="2954"/>
      <c r="AL321" s="2954"/>
      <c r="AM321" s="2954"/>
      <c r="AN321" s="2954"/>
      <c r="AO321" s="2954"/>
      <c r="AP321" s="2954"/>
      <c r="AQ321" s="2954"/>
      <c r="AR321" s="2954"/>
      <c r="AS321" s="2954"/>
      <c r="AT321" s="2935"/>
      <c r="AU321" s="2964"/>
      <c r="AV321" s="857">
        <f t="shared" si="178"/>
        <v>0</v>
      </c>
      <c r="AW321" s="857">
        <f t="shared" si="179"/>
        <v>0</v>
      </c>
      <c r="AX321" s="857">
        <f t="shared" si="180"/>
        <v>0</v>
      </c>
      <c r="AY321" s="807">
        <f t="shared" si="155"/>
        <v>0</v>
      </c>
      <c r="AZ321" s="2934">
        <f t="shared" si="156"/>
        <v>0</v>
      </c>
      <c r="BA321" s="2934">
        <f t="shared" si="157"/>
        <v>0</v>
      </c>
      <c r="BB321" s="2934">
        <f t="shared" si="158"/>
        <v>0</v>
      </c>
      <c r="BC321" s="2934">
        <f t="shared" si="159"/>
        <v>0</v>
      </c>
      <c r="BD321" s="2934">
        <f t="shared" si="160"/>
        <v>0</v>
      </c>
      <c r="BE321" s="2934">
        <f t="shared" si="161"/>
        <v>0</v>
      </c>
      <c r="BF321" s="2934">
        <f t="shared" si="162"/>
        <v>0</v>
      </c>
      <c r="BG321" s="2934">
        <f t="shared" si="163"/>
        <v>0</v>
      </c>
      <c r="BH321" s="2934">
        <f t="shared" si="164"/>
        <v>0</v>
      </c>
      <c r="BI321" s="2934">
        <f t="shared" si="165"/>
        <v>0</v>
      </c>
      <c r="BJ321" s="2934">
        <f t="shared" si="166"/>
        <v>0</v>
      </c>
      <c r="BK321" s="2934">
        <f t="shared" si="167"/>
        <v>0</v>
      </c>
      <c r="BL321" s="2934">
        <f t="shared" si="168"/>
        <v>0</v>
      </c>
      <c r="BM321" s="2934">
        <f t="shared" si="169"/>
        <v>0</v>
      </c>
      <c r="BN321" s="2934">
        <f t="shared" si="170"/>
        <v>0</v>
      </c>
      <c r="BO321" s="2934">
        <f t="shared" si="171"/>
        <v>0</v>
      </c>
      <c r="BP321" s="2934">
        <f t="shared" si="172"/>
        <v>0</v>
      </c>
      <c r="BQ321" s="2934">
        <f t="shared" si="173"/>
        <v>0</v>
      </c>
      <c r="BR321" s="2934">
        <f t="shared" si="174"/>
        <v>0</v>
      </c>
      <c r="BS321" s="2934">
        <f t="shared" si="175"/>
        <v>0</v>
      </c>
      <c r="BT321" s="2982">
        <f t="shared" si="176"/>
        <v>0</v>
      </c>
    </row>
    <row r="322" spans="1:72">
      <c r="A322" s="874"/>
      <c r="B322" s="882"/>
      <c r="C322" s="882"/>
      <c r="D322" s="2933"/>
      <c r="E322" s="2934">
        <f t="shared" si="177"/>
        <v>0</v>
      </c>
      <c r="F322" s="2935"/>
      <c r="G322" s="2936">
        <f t="shared" si="152"/>
        <v>0</v>
      </c>
      <c r="H322" s="2937">
        <f t="shared" si="153"/>
        <v>0</v>
      </c>
      <c r="I322" s="2944"/>
      <c r="J322" s="2944"/>
      <c r="K322" s="2944"/>
      <c r="L322" s="2944"/>
      <c r="M322" s="2944"/>
      <c r="N322" s="2944"/>
      <c r="O322" s="2944"/>
      <c r="P322" s="2944"/>
      <c r="Q322" s="2944"/>
      <c r="R322" s="2944"/>
      <c r="S322" s="2944"/>
      <c r="T322" s="2944"/>
      <c r="U322" s="2944"/>
      <c r="V322" s="2944"/>
      <c r="W322" s="2944"/>
      <c r="X322" s="2944"/>
      <c r="Y322" s="2944"/>
      <c r="Z322" s="2944"/>
      <c r="AA322" s="2944"/>
      <c r="AB322" s="2944"/>
      <c r="AC322" s="2934">
        <f t="shared" si="154"/>
        <v>0</v>
      </c>
      <c r="AD322" s="2954"/>
      <c r="AE322" s="2954"/>
      <c r="AF322" s="2954"/>
      <c r="AG322" s="2954"/>
      <c r="AH322" s="2954"/>
      <c r="AI322" s="2954"/>
      <c r="AJ322" s="2954"/>
      <c r="AK322" s="2954"/>
      <c r="AL322" s="2954"/>
      <c r="AM322" s="2954"/>
      <c r="AN322" s="2954"/>
      <c r="AO322" s="2954"/>
      <c r="AP322" s="2954"/>
      <c r="AQ322" s="2954"/>
      <c r="AR322" s="2954"/>
      <c r="AS322" s="2954"/>
      <c r="AT322" s="2935"/>
      <c r="AU322" s="2964"/>
      <c r="AV322" s="857">
        <f t="shared" si="178"/>
        <v>0</v>
      </c>
      <c r="AW322" s="857">
        <f t="shared" si="179"/>
        <v>0</v>
      </c>
      <c r="AX322" s="857">
        <f t="shared" si="180"/>
        <v>0</v>
      </c>
      <c r="AY322" s="807">
        <f t="shared" si="155"/>
        <v>0</v>
      </c>
      <c r="AZ322" s="2934">
        <f t="shared" si="156"/>
        <v>0</v>
      </c>
      <c r="BA322" s="2934">
        <f t="shared" si="157"/>
        <v>0</v>
      </c>
      <c r="BB322" s="2934">
        <f t="shared" si="158"/>
        <v>0</v>
      </c>
      <c r="BC322" s="2934">
        <f t="shared" si="159"/>
        <v>0</v>
      </c>
      <c r="BD322" s="2934">
        <f t="shared" si="160"/>
        <v>0</v>
      </c>
      <c r="BE322" s="2934">
        <f t="shared" si="161"/>
        <v>0</v>
      </c>
      <c r="BF322" s="2934">
        <f t="shared" si="162"/>
        <v>0</v>
      </c>
      <c r="BG322" s="2934">
        <f t="shared" si="163"/>
        <v>0</v>
      </c>
      <c r="BH322" s="2934">
        <f t="shared" si="164"/>
        <v>0</v>
      </c>
      <c r="BI322" s="2934">
        <f t="shared" si="165"/>
        <v>0</v>
      </c>
      <c r="BJ322" s="2934">
        <f t="shared" si="166"/>
        <v>0</v>
      </c>
      <c r="BK322" s="2934">
        <f t="shared" si="167"/>
        <v>0</v>
      </c>
      <c r="BL322" s="2934">
        <f t="shared" si="168"/>
        <v>0</v>
      </c>
      <c r="BM322" s="2934">
        <f t="shared" si="169"/>
        <v>0</v>
      </c>
      <c r="BN322" s="2934">
        <f t="shared" si="170"/>
        <v>0</v>
      </c>
      <c r="BO322" s="2934">
        <f t="shared" si="171"/>
        <v>0</v>
      </c>
      <c r="BP322" s="2934">
        <f t="shared" si="172"/>
        <v>0</v>
      </c>
      <c r="BQ322" s="2934">
        <f t="shared" si="173"/>
        <v>0</v>
      </c>
      <c r="BR322" s="2934">
        <f t="shared" si="174"/>
        <v>0</v>
      </c>
      <c r="BS322" s="2934">
        <f t="shared" si="175"/>
        <v>0</v>
      </c>
      <c r="BT322" s="2982">
        <f t="shared" si="176"/>
        <v>0</v>
      </c>
    </row>
    <row r="323" spans="1:72">
      <c r="A323" s="874"/>
      <c r="B323" s="882"/>
      <c r="C323" s="882"/>
      <c r="D323" s="2933"/>
      <c r="E323" s="2934">
        <f t="shared" si="177"/>
        <v>0</v>
      </c>
      <c r="F323" s="2935"/>
      <c r="G323" s="2936">
        <f t="shared" si="152"/>
        <v>0</v>
      </c>
      <c r="H323" s="2937">
        <f t="shared" si="153"/>
        <v>0</v>
      </c>
      <c r="I323" s="2944"/>
      <c r="J323" s="2944"/>
      <c r="K323" s="2944"/>
      <c r="L323" s="2944"/>
      <c r="M323" s="2944"/>
      <c r="N323" s="2944"/>
      <c r="O323" s="2944"/>
      <c r="P323" s="2944"/>
      <c r="Q323" s="2944"/>
      <c r="R323" s="2944"/>
      <c r="S323" s="2944"/>
      <c r="T323" s="2944"/>
      <c r="U323" s="2944"/>
      <c r="V323" s="2944"/>
      <c r="W323" s="2944"/>
      <c r="X323" s="2944"/>
      <c r="Y323" s="2944"/>
      <c r="Z323" s="2944"/>
      <c r="AA323" s="2944"/>
      <c r="AB323" s="2944"/>
      <c r="AC323" s="2934">
        <f t="shared" si="154"/>
        <v>0</v>
      </c>
      <c r="AD323" s="2954"/>
      <c r="AE323" s="2954"/>
      <c r="AF323" s="2954"/>
      <c r="AG323" s="2954"/>
      <c r="AH323" s="2954"/>
      <c r="AI323" s="2954"/>
      <c r="AJ323" s="2954"/>
      <c r="AK323" s="2954"/>
      <c r="AL323" s="2954"/>
      <c r="AM323" s="2954"/>
      <c r="AN323" s="2954"/>
      <c r="AO323" s="2954"/>
      <c r="AP323" s="2954"/>
      <c r="AQ323" s="2954"/>
      <c r="AR323" s="2954"/>
      <c r="AS323" s="2954"/>
      <c r="AT323" s="2935"/>
      <c r="AU323" s="2964"/>
      <c r="AV323" s="857">
        <f t="shared" si="178"/>
        <v>0</v>
      </c>
      <c r="AW323" s="857">
        <f t="shared" si="179"/>
        <v>0</v>
      </c>
      <c r="AX323" s="857">
        <f t="shared" si="180"/>
        <v>0</v>
      </c>
      <c r="AY323" s="807">
        <f t="shared" si="155"/>
        <v>0</v>
      </c>
      <c r="AZ323" s="2934">
        <f t="shared" si="156"/>
        <v>0</v>
      </c>
      <c r="BA323" s="2934">
        <f t="shared" si="157"/>
        <v>0</v>
      </c>
      <c r="BB323" s="2934">
        <f t="shared" si="158"/>
        <v>0</v>
      </c>
      <c r="BC323" s="2934">
        <f t="shared" si="159"/>
        <v>0</v>
      </c>
      <c r="BD323" s="2934">
        <f t="shared" si="160"/>
        <v>0</v>
      </c>
      <c r="BE323" s="2934">
        <f t="shared" si="161"/>
        <v>0</v>
      </c>
      <c r="BF323" s="2934">
        <f t="shared" si="162"/>
        <v>0</v>
      </c>
      <c r="BG323" s="2934">
        <f t="shared" si="163"/>
        <v>0</v>
      </c>
      <c r="BH323" s="2934">
        <f t="shared" si="164"/>
        <v>0</v>
      </c>
      <c r="BI323" s="2934">
        <f t="shared" si="165"/>
        <v>0</v>
      </c>
      <c r="BJ323" s="2934">
        <f t="shared" si="166"/>
        <v>0</v>
      </c>
      <c r="BK323" s="2934">
        <f t="shared" si="167"/>
        <v>0</v>
      </c>
      <c r="BL323" s="2934">
        <f t="shared" si="168"/>
        <v>0</v>
      </c>
      <c r="BM323" s="2934">
        <f t="shared" si="169"/>
        <v>0</v>
      </c>
      <c r="BN323" s="2934">
        <f t="shared" si="170"/>
        <v>0</v>
      </c>
      <c r="BO323" s="2934">
        <f t="shared" si="171"/>
        <v>0</v>
      </c>
      <c r="BP323" s="2934">
        <f t="shared" si="172"/>
        <v>0</v>
      </c>
      <c r="BQ323" s="2934">
        <f t="shared" si="173"/>
        <v>0</v>
      </c>
      <c r="BR323" s="2934">
        <f t="shared" si="174"/>
        <v>0</v>
      </c>
      <c r="BS323" s="2934">
        <f t="shared" si="175"/>
        <v>0</v>
      </c>
      <c r="BT323" s="2982">
        <f t="shared" si="176"/>
        <v>0</v>
      </c>
    </row>
    <row r="324" spans="1:72">
      <c r="A324" s="874"/>
      <c r="B324" s="882"/>
      <c r="C324" s="882"/>
      <c r="D324" s="2933"/>
      <c r="E324" s="2934">
        <f t="shared" si="177"/>
        <v>0</v>
      </c>
      <c r="F324" s="2935"/>
      <c r="G324" s="2936">
        <f t="shared" si="152"/>
        <v>0</v>
      </c>
      <c r="H324" s="2937">
        <f t="shared" si="153"/>
        <v>0</v>
      </c>
      <c r="I324" s="2944"/>
      <c r="J324" s="2944"/>
      <c r="K324" s="2944"/>
      <c r="L324" s="2944"/>
      <c r="M324" s="2944"/>
      <c r="N324" s="2944"/>
      <c r="O324" s="2944"/>
      <c r="P324" s="2944"/>
      <c r="Q324" s="2944"/>
      <c r="R324" s="2944"/>
      <c r="S324" s="2944"/>
      <c r="T324" s="2944"/>
      <c r="U324" s="2944"/>
      <c r="V324" s="2944"/>
      <c r="W324" s="2944"/>
      <c r="X324" s="2944"/>
      <c r="Y324" s="2944"/>
      <c r="Z324" s="2944"/>
      <c r="AA324" s="2944"/>
      <c r="AB324" s="2944"/>
      <c r="AC324" s="2934">
        <f t="shared" si="154"/>
        <v>0</v>
      </c>
      <c r="AD324" s="2954"/>
      <c r="AE324" s="2954"/>
      <c r="AF324" s="2954"/>
      <c r="AG324" s="2954"/>
      <c r="AH324" s="2954"/>
      <c r="AI324" s="2954"/>
      <c r="AJ324" s="2954"/>
      <c r="AK324" s="2954"/>
      <c r="AL324" s="2954"/>
      <c r="AM324" s="2954"/>
      <c r="AN324" s="2954"/>
      <c r="AO324" s="2954"/>
      <c r="AP324" s="2954"/>
      <c r="AQ324" s="2954"/>
      <c r="AR324" s="2954"/>
      <c r="AS324" s="2954"/>
      <c r="AT324" s="2935"/>
      <c r="AU324" s="2964"/>
      <c r="AV324" s="857">
        <f t="shared" si="178"/>
        <v>0</v>
      </c>
      <c r="AW324" s="857">
        <f t="shared" si="179"/>
        <v>0</v>
      </c>
      <c r="AX324" s="857">
        <f t="shared" si="180"/>
        <v>0</v>
      </c>
      <c r="AY324" s="807">
        <f t="shared" si="155"/>
        <v>0</v>
      </c>
      <c r="AZ324" s="2934">
        <f t="shared" si="156"/>
        <v>0</v>
      </c>
      <c r="BA324" s="2934">
        <f t="shared" si="157"/>
        <v>0</v>
      </c>
      <c r="BB324" s="2934">
        <f t="shared" si="158"/>
        <v>0</v>
      </c>
      <c r="BC324" s="2934">
        <f t="shared" si="159"/>
        <v>0</v>
      </c>
      <c r="BD324" s="2934">
        <f t="shared" si="160"/>
        <v>0</v>
      </c>
      <c r="BE324" s="2934">
        <f t="shared" si="161"/>
        <v>0</v>
      </c>
      <c r="BF324" s="2934">
        <f t="shared" si="162"/>
        <v>0</v>
      </c>
      <c r="BG324" s="2934">
        <f t="shared" si="163"/>
        <v>0</v>
      </c>
      <c r="BH324" s="2934">
        <f t="shared" si="164"/>
        <v>0</v>
      </c>
      <c r="BI324" s="2934">
        <f t="shared" si="165"/>
        <v>0</v>
      </c>
      <c r="BJ324" s="2934">
        <f t="shared" si="166"/>
        <v>0</v>
      </c>
      <c r="BK324" s="2934">
        <f t="shared" si="167"/>
        <v>0</v>
      </c>
      <c r="BL324" s="2934">
        <f t="shared" si="168"/>
        <v>0</v>
      </c>
      <c r="BM324" s="2934">
        <f t="shared" si="169"/>
        <v>0</v>
      </c>
      <c r="BN324" s="2934">
        <f t="shared" si="170"/>
        <v>0</v>
      </c>
      <c r="BO324" s="2934">
        <f t="shared" si="171"/>
        <v>0</v>
      </c>
      <c r="BP324" s="2934">
        <f t="shared" si="172"/>
        <v>0</v>
      </c>
      <c r="BQ324" s="2934">
        <f t="shared" si="173"/>
        <v>0</v>
      </c>
      <c r="BR324" s="2934">
        <f t="shared" si="174"/>
        <v>0</v>
      </c>
      <c r="BS324" s="2934">
        <f t="shared" si="175"/>
        <v>0</v>
      </c>
      <c r="BT324" s="2982">
        <f t="shared" si="176"/>
        <v>0</v>
      </c>
    </row>
    <row r="325" spans="1:72">
      <c r="A325" s="874"/>
      <c r="B325" s="882"/>
      <c r="C325" s="882"/>
      <c r="D325" s="2933"/>
      <c r="E325" s="2934">
        <f t="shared" si="177"/>
        <v>0</v>
      </c>
      <c r="F325" s="2935"/>
      <c r="G325" s="2936">
        <f t="shared" si="152"/>
        <v>0</v>
      </c>
      <c r="H325" s="2937">
        <f t="shared" si="153"/>
        <v>0</v>
      </c>
      <c r="I325" s="2944"/>
      <c r="J325" s="2944"/>
      <c r="K325" s="2944"/>
      <c r="L325" s="2944"/>
      <c r="M325" s="2944"/>
      <c r="N325" s="2944"/>
      <c r="O325" s="2944"/>
      <c r="P325" s="2944"/>
      <c r="Q325" s="2944"/>
      <c r="R325" s="2944"/>
      <c r="S325" s="2944"/>
      <c r="T325" s="2944"/>
      <c r="U325" s="2944"/>
      <c r="V325" s="2944"/>
      <c r="W325" s="2944"/>
      <c r="X325" s="2944"/>
      <c r="Y325" s="2944"/>
      <c r="Z325" s="2944"/>
      <c r="AA325" s="2944"/>
      <c r="AB325" s="2944"/>
      <c r="AC325" s="2934">
        <f t="shared" si="154"/>
        <v>0</v>
      </c>
      <c r="AD325" s="2954"/>
      <c r="AE325" s="2954"/>
      <c r="AF325" s="2954"/>
      <c r="AG325" s="2954"/>
      <c r="AH325" s="2954"/>
      <c r="AI325" s="2954"/>
      <c r="AJ325" s="2954"/>
      <c r="AK325" s="2954"/>
      <c r="AL325" s="2954"/>
      <c r="AM325" s="2954"/>
      <c r="AN325" s="2954"/>
      <c r="AO325" s="2954"/>
      <c r="AP325" s="2954"/>
      <c r="AQ325" s="2954"/>
      <c r="AR325" s="2954"/>
      <c r="AS325" s="2954"/>
      <c r="AT325" s="2935"/>
      <c r="AU325" s="2964"/>
      <c r="AV325" s="857">
        <f t="shared" si="178"/>
        <v>0</v>
      </c>
      <c r="AW325" s="857">
        <f t="shared" si="179"/>
        <v>0</v>
      </c>
      <c r="AX325" s="857">
        <f t="shared" si="180"/>
        <v>0</v>
      </c>
      <c r="AY325" s="807">
        <f t="shared" si="155"/>
        <v>0</v>
      </c>
      <c r="AZ325" s="2934">
        <f t="shared" si="156"/>
        <v>0</v>
      </c>
      <c r="BA325" s="2934">
        <f t="shared" si="157"/>
        <v>0</v>
      </c>
      <c r="BB325" s="2934">
        <f t="shared" si="158"/>
        <v>0</v>
      </c>
      <c r="BC325" s="2934">
        <f t="shared" si="159"/>
        <v>0</v>
      </c>
      <c r="BD325" s="2934">
        <f t="shared" si="160"/>
        <v>0</v>
      </c>
      <c r="BE325" s="2934">
        <f t="shared" si="161"/>
        <v>0</v>
      </c>
      <c r="BF325" s="2934">
        <f t="shared" si="162"/>
        <v>0</v>
      </c>
      <c r="BG325" s="2934">
        <f t="shared" si="163"/>
        <v>0</v>
      </c>
      <c r="BH325" s="2934">
        <f t="shared" si="164"/>
        <v>0</v>
      </c>
      <c r="BI325" s="2934">
        <f t="shared" si="165"/>
        <v>0</v>
      </c>
      <c r="BJ325" s="2934">
        <f t="shared" si="166"/>
        <v>0</v>
      </c>
      <c r="BK325" s="2934">
        <f t="shared" si="167"/>
        <v>0</v>
      </c>
      <c r="BL325" s="2934">
        <f t="shared" si="168"/>
        <v>0</v>
      </c>
      <c r="BM325" s="2934">
        <f t="shared" si="169"/>
        <v>0</v>
      </c>
      <c r="BN325" s="2934">
        <f t="shared" si="170"/>
        <v>0</v>
      </c>
      <c r="BO325" s="2934">
        <f t="shared" si="171"/>
        <v>0</v>
      </c>
      <c r="BP325" s="2934">
        <f t="shared" si="172"/>
        <v>0</v>
      </c>
      <c r="BQ325" s="2934">
        <f t="shared" si="173"/>
        <v>0</v>
      </c>
      <c r="BR325" s="2934">
        <f t="shared" si="174"/>
        <v>0</v>
      </c>
      <c r="BS325" s="2934">
        <f t="shared" si="175"/>
        <v>0</v>
      </c>
      <c r="BT325" s="2982">
        <f t="shared" si="176"/>
        <v>0</v>
      </c>
    </row>
    <row r="326" spans="1:72">
      <c r="A326" s="874"/>
      <c r="B326" s="882"/>
      <c r="C326" s="882"/>
      <c r="D326" s="2933"/>
      <c r="E326" s="2934">
        <f t="shared" si="177"/>
        <v>0</v>
      </c>
      <c r="F326" s="2935"/>
      <c r="G326" s="2936">
        <f t="shared" si="152"/>
        <v>0</v>
      </c>
      <c r="H326" s="2937">
        <f t="shared" si="153"/>
        <v>0</v>
      </c>
      <c r="I326" s="2944"/>
      <c r="J326" s="2944"/>
      <c r="K326" s="2944"/>
      <c r="L326" s="2944"/>
      <c r="M326" s="2944"/>
      <c r="N326" s="2944"/>
      <c r="O326" s="2944"/>
      <c r="P326" s="2944"/>
      <c r="Q326" s="2944"/>
      <c r="R326" s="2944"/>
      <c r="S326" s="2944"/>
      <c r="T326" s="2944"/>
      <c r="U326" s="2944"/>
      <c r="V326" s="2944"/>
      <c r="W326" s="2944"/>
      <c r="X326" s="2944"/>
      <c r="Y326" s="2944"/>
      <c r="Z326" s="2944"/>
      <c r="AA326" s="2944"/>
      <c r="AB326" s="2944"/>
      <c r="AC326" s="2934">
        <f t="shared" si="154"/>
        <v>0</v>
      </c>
      <c r="AD326" s="2954"/>
      <c r="AE326" s="2954"/>
      <c r="AF326" s="2954"/>
      <c r="AG326" s="2954"/>
      <c r="AH326" s="2954"/>
      <c r="AI326" s="2954"/>
      <c r="AJ326" s="2954"/>
      <c r="AK326" s="2954"/>
      <c r="AL326" s="2954"/>
      <c r="AM326" s="2954"/>
      <c r="AN326" s="2954"/>
      <c r="AO326" s="2954"/>
      <c r="AP326" s="2954"/>
      <c r="AQ326" s="2954"/>
      <c r="AR326" s="2954"/>
      <c r="AS326" s="2954"/>
      <c r="AT326" s="2935"/>
      <c r="AU326" s="2964"/>
      <c r="AV326" s="857">
        <f t="shared" si="178"/>
        <v>0</v>
      </c>
      <c r="AW326" s="857">
        <f t="shared" si="179"/>
        <v>0</v>
      </c>
      <c r="AX326" s="857">
        <f t="shared" si="180"/>
        <v>0</v>
      </c>
      <c r="AY326" s="807">
        <f t="shared" si="155"/>
        <v>0</v>
      </c>
      <c r="AZ326" s="2934">
        <f t="shared" si="156"/>
        <v>0</v>
      </c>
      <c r="BA326" s="2934">
        <f t="shared" si="157"/>
        <v>0</v>
      </c>
      <c r="BB326" s="2934">
        <f t="shared" si="158"/>
        <v>0</v>
      </c>
      <c r="BC326" s="2934">
        <f t="shared" si="159"/>
        <v>0</v>
      </c>
      <c r="BD326" s="2934">
        <f t="shared" si="160"/>
        <v>0</v>
      </c>
      <c r="BE326" s="2934">
        <f t="shared" si="161"/>
        <v>0</v>
      </c>
      <c r="BF326" s="2934">
        <f t="shared" si="162"/>
        <v>0</v>
      </c>
      <c r="BG326" s="2934">
        <f t="shared" si="163"/>
        <v>0</v>
      </c>
      <c r="BH326" s="2934">
        <f t="shared" si="164"/>
        <v>0</v>
      </c>
      <c r="BI326" s="2934">
        <f t="shared" si="165"/>
        <v>0</v>
      </c>
      <c r="BJ326" s="2934">
        <f t="shared" si="166"/>
        <v>0</v>
      </c>
      <c r="BK326" s="2934">
        <f t="shared" si="167"/>
        <v>0</v>
      </c>
      <c r="BL326" s="2934">
        <f t="shared" si="168"/>
        <v>0</v>
      </c>
      <c r="BM326" s="2934">
        <f t="shared" si="169"/>
        <v>0</v>
      </c>
      <c r="BN326" s="2934">
        <f t="shared" si="170"/>
        <v>0</v>
      </c>
      <c r="BO326" s="2934">
        <f t="shared" si="171"/>
        <v>0</v>
      </c>
      <c r="BP326" s="2934">
        <f t="shared" si="172"/>
        <v>0</v>
      </c>
      <c r="BQ326" s="2934">
        <f t="shared" si="173"/>
        <v>0</v>
      </c>
      <c r="BR326" s="2934">
        <f t="shared" si="174"/>
        <v>0</v>
      </c>
      <c r="BS326" s="2934">
        <f t="shared" si="175"/>
        <v>0</v>
      </c>
      <c r="BT326" s="2982">
        <f t="shared" si="176"/>
        <v>0</v>
      </c>
    </row>
    <row r="327" spans="1:72">
      <c r="A327" s="874"/>
      <c r="B327" s="882"/>
      <c r="C327" s="882"/>
      <c r="D327" s="2933"/>
      <c r="E327" s="2934">
        <f t="shared" si="177"/>
        <v>0</v>
      </c>
      <c r="F327" s="2935"/>
      <c r="G327" s="2936">
        <f t="shared" si="152"/>
        <v>0</v>
      </c>
      <c r="H327" s="2937">
        <f t="shared" si="153"/>
        <v>0</v>
      </c>
      <c r="I327" s="2944"/>
      <c r="J327" s="2944"/>
      <c r="K327" s="2944"/>
      <c r="L327" s="2944"/>
      <c r="M327" s="2944"/>
      <c r="N327" s="2944"/>
      <c r="O327" s="2944"/>
      <c r="P327" s="2944"/>
      <c r="Q327" s="2944"/>
      <c r="R327" s="2944"/>
      <c r="S327" s="2944"/>
      <c r="T327" s="2944"/>
      <c r="U327" s="2944"/>
      <c r="V327" s="2944"/>
      <c r="W327" s="2944"/>
      <c r="X327" s="2944"/>
      <c r="Y327" s="2944"/>
      <c r="Z327" s="2944"/>
      <c r="AA327" s="2944"/>
      <c r="AB327" s="2944"/>
      <c r="AC327" s="2934">
        <f t="shared" si="154"/>
        <v>0</v>
      </c>
      <c r="AD327" s="2954"/>
      <c r="AE327" s="2954"/>
      <c r="AF327" s="2954"/>
      <c r="AG327" s="2954"/>
      <c r="AH327" s="2954"/>
      <c r="AI327" s="2954"/>
      <c r="AJ327" s="2954"/>
      <c r="AK327" s="2954"/>
      <c r="AL327" s="2954"/>
      <c r="AM327" s="2954"/>
      <c r="AN327" s="2954"/>
      <c r="AO327" s="2954"/>
      <c r="AP327" s="2954"/>
      <c r="AQ327" s="2954"/>
      <c r="AR327" s="2954"/>
      <c r="AS327" s="2954"/>
      <c r="AT327" s="2935"/>
      <c r="AU327" s="2964"/>
      <c r="AV327" s="857">
        <f t="shared" si="178"/>
        <v>0</v>
      </c>
      <c r="AW327" s="857">
        <f t="shared" si="179"/>
        <v>0</v>
      </c>
      <c r="AX327" s="857">
        <f t="shared" si="180"/>
        <v>0</v>
      </c>
      <c r="AY327" s="807">
        <f t="shared" si="155"/>
        <v>0</v>
      </c>
      <c r="AZ327" s="2934">
        <f t="shared" si="156"/>
        <v>0</v>
      </c>
      <c r="BA327" s="2934">
        <f t="shared" si="157"/>
        <v>0</v>
      </c>
      <c r="BB327" s="2934">
        <f t="shared" si="158"/>
        <v>0</v>
      </c>
      <c r="BC327" s="2934">
        <f t="shared" si="159"/>
        <v>0</v>
      </c>
      <c r="BD327" s="2934">
        <f t="shared" si="160"/>
        <v>0</v>
      </c>
      <c r="BE327" s="2934">
        <f t="shared" si="161"/>
        <v>0</v>
      </c>
      <c r="BF327" s="2934">
        <f t="shared" si="162"/>
        <v>0</v>
      </c>
      <c r="BG327" s="2934">
        <f t="shared" si="163"/>
        <v>0</v>
      </c>
      <c r="BH327" s="2934">
        <f t="shared" si="164"/>
        <v>0</v>
      </c>
      <c r="BI327" s="2934">
        <f t="shared" si="165"/>
        <v>0</v>
      </c>
      <c r="BJ327" s="2934">
        <f t="shared" si="166"/>
        <v>0</v>
      </c>
      <c r="BK327" s="2934">
        <f t="shared" si="167"/>
        <v>0</v>
      </c>
      <c r="BL327" s="2934">
        <f t="shared" si="168"/>
        <v>0</v>
      </c>
      <c r="BM327" s="2934">
        <f t="shared" si="169"/>
        <v>0</v>
      </c>
      <c r="BN327" s="2934">
        <f t="shared" si="170"/>
        <v>0</v>
      </c>
      <c r="BO327" s="2934">
        <f t="shared" si="171"/>
        <v>0</v>
      </c>
      <c r="BP327" s="2934">
        <f t="shared" si="172"/>
        <v>0</v>
      </c>
      <c r="BQ327" s="2934">
        <f t="shared" si="173"/>
        <v>0</v>
      </c>
      <c r="BR327" s="2934">
        <f t="shared" si="174"/>
        <v>0</v>
      </c>
      <c r="BS327" s="2934">
        <f t="shared" si="175"/>
        <v>0</v>
      </c>
      <c r="BT327" s="2982">
        <f t="shared" si="176"/>
        <v>0</v>
      </c>
    </row>
    <row r="328" spans="1:72">
      <c r="A328" s="874"/>
      <c r="B328" s="882"/>
      <c r="C328" s="882"/>
      <c r="D328" s="2933"/>
      <c r="E328" s="2934">
        <f t="shared" si="177"/>
        <v>0</v>
      </c>
      <c r="F328" s="2935"/>
      <c r="G328" s="2936">
        <f t="shared" si="152"/>
        <v>0</v>
      </c>
      <c r="H328" s="2937">
        <f t="shared" si="153"/>
        <v>0</v>
      </c>
      <c r="I328" s="2944"/>
      <c r="J328" s="2944"/>
      <c r="K328" s="2944"/>
      <c r="L328" s="2944"/>
      <c r="M328" s="2944"/>
      <c r="N328" s="2944"/>
      <c r="O328" s="2944"/>
      <c r="P328" s="2944"/>
      <c r="Q328" s="2944"/>
      <c r="R328" s="2944"/>
      <c r="S328" s="2944"/>
      <c r="T328" s="2944"/>
      <c r="U328" s="2944"/>
      <c r="V328" s="2944"/>
      <c r="W328" s="2944"/>
      <c r="X328" s="2944"/>
      <c r="Y328" s="2944"/>
      <c r="Z328" s="2944"/>
      <c r="AA328" s="2944"/>
      <c r="AB328" s="2944"/>
      <c r="AC328" s="2934">
        <f t="shared" si="154"/>
        <v>0</v>
      </c>
      <c r="AD328" s="2954"/>
      <c r="AE328" s="2954"/>
      <c r="AF328" s="2954"/>
      <c r="AG328" s="2954"/>
      <c r="AH328" s="2954"/>
      <c r="AI328" s="2954"/>
      <c r="AJ328" s="2954"/>
      <c r="AK328" s="2954"/>
      <c r="AL328" s="2954"/>
      <c r="AM328" s="2954"/>
      <c r="AN328" s="2954"/>
      <c r="AO328" s="2954"/>
      <c r="AP328" s="2954"/>
      <c r="AQ328" s="2954"/>
      <c r="AR328" s="2954"/>
      <c r="AS328" s="2954"/>
      <c r="AT328" s="2935"/>
      <c r="AU328" s="2964"/>
      <c r="AV328" s="857">
        <f t="shared" si="178"/>
        <v>0</v>
      </c>
      <c r="AW328" s="857">
        <f t="shared" si="179"/>
        <v>0</v>
      </c>
      <c r="AX328" s="857">
        <f t="shared" si="180"/>
        <v>0</v>
      </c>
      <c r="AY328" s="807">
        <f t="shared" si="155"/>
        <v>0</v>
      </c>
      <c r="AZ328" s="2934">
        <f t="shared" si="156"/>
        <v>0</v>
      </c>
      <c r="BA328" s="2934">
        <f t="shared" si="157"/>
        <v>0</v>
      </c>
      <c r="BB328" s="2934">
        <f t="shared" si="158"/>
        <v>0</v>
      </c>
      <c r="BC328" s="2934">
        <f t="shared" si="159"/>
        <v>0</v>
      </c>
      <c r="BD328" s="2934">
        <f t="shared" si="160"/>
        <v>0</v>
      </c>
      <c r="BE328" s="2934">
        <f t="shared" si="161"/>
        <v>0</v>
      </c>
      <c r="BF328" s="2934">
        <f t="shared" si="162"/>
        <v>0</v>
      </c>
      <c r="BG328" s="2934">
        <f t="shared" si="163"/>
        <v>0</v>
      </c>
      <c r="BH328" s="2934">
        <f t="shared" si="164"/>
        <v>0</v>
      </c>
      <c r="BI328" s="2934">
        <f t="shared" si="165"/>
        <v>0</v>
      </c>
      <c r="BJ328" s="2934">
        <f t="shared" si="166"/>
        <v>0</v>
      </c>
      <c r="BK328" s="2934">
        <f t="shared" si="167"/>
        <v>0</v>
      </c>
      <c r="BL328" s="2934">
        <f t="shared" si="168"/>
        <v>0</v>
      </c>
      <c r="BM328" s="2934">
        <f t="shared" si="169"/>
        <v>0</v>
      </c>
      <c r="BN328" s="2934">
        <f t="shared" si="170"/>
        <v>0</v>
      </c>
      <c r="BO328" s="2934">
        <f t="shared" si="171"/>
        <v>0</v>
      </c>
      <c r="BP328" s="2934">
        <f t="shared" si="172"/>
        <v>0</v>
      </c>
      <c r="BQ328" s="2934">
        <f t="shared" si="173"/>
        <v>0</v>
      </c>
      <c r="BR328" s="2934">
        <f t="shared" si="174"/>
        <v>0</v>
      </c>
      <c r="BS328" s="2934">
        <f t="shared" si="175"/>
        <v>0</v>
      </c>
      <c r="BT328" s="2982">
        <f t="shared" si="176"/>
        <v>0</v>
      </c>
    </row>
    <row r="329" spans="1:72">
      <c r="A329" s="874"/>
      <c r="B329" s="882"/>
      <c r="C329" s="882"/>
      <c r="D329" s="2933"/>
      <c r="E329" s="2934">
        <f t="shared" si="177"/>
        <v>0</v>
      </c>
      <c r="F329" s="2935"/>
      <c r="G329" s="2936">
        <f t="shared" si="152"/>
        <v>0</v>
      </c>
      <c r="H329" s="2937">
        <f t="shared" si="153"/>
        <v>0</v>
      </c>
      <c r="I329" s="2944"/>
      <c r="J329" s="2944"/>
      <c r="K329" s="2944"/>
      <c r="L329" s="2944"/>
      <c r="M329" s="2944"/>
      <c r="N329" s="2944"/>
      <c r="O329" s="2944"/>
      <c r="P329" s="2944"/>
      <c r="Q329" s="2944"/>
      <c r="R329" s="2944"/>
      <c r="S329" s="2944"/>
      <c r="T329" s="2944"/>
      <c r="U329" s="2944"/>
      <c r="V329" s="2944"/>
      <c r="W329" s="2944"/>
      <c r="X329" s="2944"/>
      <c r="Y329" s="2944"/>
      <c r="Z329" s="2944"/>
      <c r="AA329" s="2944"/>
      <c r="AB329" s="2944"/>
      <c r="AC329" s="2934">
        <f t="shared" si="154"/>
        <v>0</v>
      </c>
      <c r="AD329" s="2954"/>
      <c r="AE329" s="2954"/>
      <c r="AF329" s="2954"/>
      <c r="AG329" s="2954"/>
      <c r="AH329" s="2954"/>
      <c r="AI329" s="2954"/>
      <c r="AJ329" s="2954"/>
      <c r="AK329" s="2954"/>
      <c r="AL329" s="2954"/>
      <c r="AM329" s="2954"/>
      <c r="AN329" s="2954"/>
      <c r="AO329" s="2954"/>
      <c r="AP329" s="2954"/>
      <c r="AQ329" s="2954"/>
      <c r="AR329" s="2954"/>
      <c r="AS329" s="2954"/>
      <c r="AT329" s="2935"/>
      <c r="AU329" s="2964"/>
      <c r="AV329" s="857">
        <f t="shared" si="178"/>
        <v>0</v>
      </c>
      <c r="AW329" s="857">
        <f t="shared" si="179"/>
        <v>0</v>
      </c>
      <c r="AX329" s="857">
        <f t="shared" si="180"/>
        <v>0</v>
      </c>
      <c r="AY329" s="807">
        <f t="shared" si="155"/>
        <v>0</v>
      </c>
      <c r="AZ329" s="2934">
        <f t="shared" si="156"/>
        <v>0</v>
      </c>
      <c r="BA329" s="2934">
        <f t="shared" si="157"/>
        <v>0</v>
      </c>
      <c r="BB329" s="2934">
        <f t="shared" si="158"/>
        <v>0</v>
      </c>
      <c r="BC329" s="2934">
        <f t="shared" si="159"/>
        <v>0</v>
      </c>
      <c r="BD329" s="2934">
        <f t="shared" si="160"/>
        <v>0</v>
      </c>
      <c r="BE329" s="2934">
        <f t="shared" si="161"/>
        <v>0</v>
      </c>
      <c r="BF329" s="2934">
        <f t="shared" si="162"/>
        <v>0</v>
      </c>
      <c r="BG329" s="2934">
        <f t="shared" si="163"/>
        <v>0</v>
      </c>
      <c r="BH329" s="2934">
        <f t="shared" si="164"/>
        <v>0</v>
      </c>
      <c r="BI329" s="2934">
        <f t="shared" si="165"/>
        <v>0</v>
      </c>
      <c r="BJ329" s="2934">
        <f t="shared" si="166"/>
        <v>0</v>
      </c>
      <c r="BK329" s="2934">
        <f t="shared" si="167"/>
        <v>0</v>
      </c>
      <c r="BL329" s="2934">
        <f t="shared" si="168"/>
        <v>0</v>
      </c>
      <c r="BM329" s="2934">
        <f t="shared" si="169"/>
        <v>0</v>
      </c>
      <c r="BN329" s="2934">
        <f t="shared" si="170"/>
        <v>0</v>
      </c>
      <c r="BO329" s="2934">
        <f t="shared" si="171"/>
        <v>0</v>
      </c>
      <c r="BP329" s="2934">
        <f t="shared" si="172"/>
        <v>0</v>
      </c>
      <c r="BQ329" s="2934">
        <f t="shared" si="173"/>
        <v>0</v>
      </c>
      <c r="BR329" s="2934">
        <f t="shared" si="174"/>
        <v>0</v>
      </c>
      <c r="BS329" s="2934">
        <f t="shared" si="175"/>
        <v>0</v>
      </c>
      <c r="BT329" s="2982">
        <f t="shared" si="176"/>
        <v>0</v>
      </c>
    </row>
    <row r="330" spans="1:72">
      <c r="A330" s="874"/>
      <c r="B330" s="882"/>
      <c r="C330" s="882"/>
      <c r="D330" s="2933"/>
      <c r="E330" s="2934">
        <f t="shared" si="177"/>
        <v>0</v>
      </c>
      <c r="F330" s="2935"/>
      <c r="G330" s="2936">
        <f t="shared" si="152"/>
        <v>0</v>
      </c>
      <c r="H330" s="2937">
        <f t="shared" si="153"/>
        <v>0</v>
      </c>
      <c r="I330" s="2944"/>
      <c r="J330" s="2944"/>
      <c r="K330" s="2944"/>
      <c r="L330" s="2944"/>
      <c r="M330" s="2944"/>
      <c r="N330" s="2944"/>
      <c r="O330" s="2944"/>
      <c r="P330" s="2944"/>
      <c r="Q330" s="2944"/>
      <c r="R330" s="2944"/>
      <c r="S330" s="2944"/>
      <c r="T330" s="2944"/>
      <c r="U330" s="2944"/>
      <c r="V330" s="2944"/>
      <c r="W330" s="2944"/>
      <c r="X330" s="2944"/>
      <c r="Y330" s="2944"/>
      <c r="Z330" s="2944"/>
      <c r="AA330" s="2944"/>
      <c r="AB330" s="2944"/>
      <c r="AC330" s="2934">
        <f t="shared" si="154"/>
        <v>0</v>
      </c>
      <c r="AD330" s="2954"/>
      <c r="AE330" s="2954"/>
      <c r="AF330" s="2954"/>
      <c r="AG330" s="2954"/>
      <c r="AH330" s="2954"/>
      <c r="AI330" s="2954"/>
      <c r="AJ330" s="2954"/>
      <c r="AK330" s="2954"/>
      <c r="AL330" s="2954"/>
      <c r="AM330" s="2954"/>
      <c r="AN330" s="2954"/>
      <c r="AO330" s="2954"/>
      <c r="AP330" s="2954"/>
      <c r="AQ330" s="2954"/>
      <c r="AR330" s="2954"/>
      <c r="AS330" s="2954"/>
      <c r="AT330" s="2935"/>
      <c r="AU330" s="2964"/>
      <c r="AV330" s="857">
        <f t="shared" si="178"/>
        <v>0</v>
      </c>
      <c r="AW330" s="857">
        <f t="shared" si="179"/>
        <v>0</v>
      </c>
      <c r="AX330" s="857">
        <f t="shared" si="180"/>
        <v>0</v>
      </c>
      <c r="AY330" s="807">
        <f t="shared" si="155"/>
        <v>0</v>
      </c>
      <c r="AZ330" s="2934">
        <f t="shared" si="156"/>
        <v>0</v>
      </c>
      <c r="BA330" s="2934">
        <f t="shared" si="157"/>
        <v>0</v>
      </c>
      <c r="BB330" s="2934">
        <f t="shared" si="158"/>
        <v>0</v>
      </c>
      <c r="BC330" s="2934">
        <f t="shared" si="159"/>
        <v>0</v>
      </c>
      <c r="BD330" s="2934">
        <f t="shared" si="160"/>
        <v>0</v>
      </c>
      <c r="BE330" s="2934">
        <f t="shared" si="161"/>
        <v>0</v>
      </c>
      <c r="BF330" s="2934">
        <f t="shared" si="162"/>
        <v>0</v>
      </c>
      <c r="BG330" s="2934">
        <f t="shared" si="163"/>
        <v>0</v>
      </c>
      <c r="BH330" s="2934">
        <f t="shared" si="164"/>
        <v>0</v>
      </c>
      <c r="BI330" s="2934">
        <f t="shared" si="165"/>
        <v>0</v>
      </c>
      <c r="BJ330" s="2934">
        <f t="shared" si="166"/>
        <v>0</v>
      </c>
      <c r="BK330" s="2934">
        <f t="shared" si="167"/>
        <v>0</v>
      </c>
      <c r="BL330" s="2934">
        <f t="shared" si="168"/>
        <v>0</v>
      </c>
      <c r="BM330" s="2934">
        <f t="shared" si="169"/>
        <v>0</v>
      </c>
      <c r="BN330" s="2934">
        <f t="shared" si="170"/>
        <v>0</v>
      </c>
      <c r="BO330" s="2934">
        <f t="shared" si="171"/>
        <v>0</v>
      </c>
      <c r="BP330" s="2934">
        <f t="shared" si="172"/>
        <v>0</v>
      </c>
      <c r="BQ330" s="2934">
        <f t="shared" si="173"/>
        <v>0</v>
      </c>
      <c r="BR330" s="2934">
        <f t="shared" si="174"/>
        <v>0</v>
      </c>
      <c r="BS330" s="2934">
        <f t="shared" si="175"/>
        <v>0</v>
      </c>
      <c r="BT330" s="2982">
        <f t="shared" si="176"/>
        <v>0</v>
      </c>
    </row>
    <row r="331" spans="1:72">
      <c r="A331" s="874"/>
      <c r="B331" s="882"/>
      <c r="C331" s="882"/>
      <c r="D331" s="2933"/>
      <c r="E331" s="2934">
        <f t="shared" si="177"/>
        <v>0</v>
      </c>
      <c r="F331" s="2935"/>
      <c r="G331" s="2936">
        <f t="shared" si="152"/>
        <v>0</v>
      </c>
      <c r="H331" s="2937">
        <f t="shared" si="153"/>
        <v>0</v>
      </c>
      <c r="I331" s="2944"/>
      <c r="J331" s="2944"/>
      <c r="K331" s="2944"/>
      <c r="L331" s="2944"/>
      <c r="M331" s="2944"/>
      <c r="N331" s="2944"/>
      <c r="O331" s="2944"/>
      <c r="P331" s="2944"/>
      <c r="Q331" s="2944"/>
      <c r="R331" s="2944"/>
      <c r="S331" s="2944"/>
      <c r="T331" s="2944"/>
      <c r="U331" s="2944"/>
      <c r="V331" s="2944"/>
      <c r="W331" s="2944"/>
      <c r="X331" s="2944"/>
      <c r="Y331" s="2944"/>
      <c r="Z331" s="2944"/>
      <c r="AA331" s="2944"/>
      <c r="AB331" s="2944"/>
      <c r="AC331" s="2934">
        <f t="shared" si="154"/>
        <v>0</v>
      </c>
      <c r="AD331" s="2954"/>
      <c r="AE331" s="2954"/>
      <c r="AF331" s="2954"/>
      <c r="AG331" s="2954"/>
      <c r="AH331" s="2954"/>
      <c r="AI331" s="2954"/>
      <c r="AJ331" s="2954"/>
      <c r="AK331" s="2954"/>
      <c r="AL331" s="2954"/>
      <c r="AM331" s="2954"/>
      <c r="AN331" s="2954"/>
      <c r="AO331" s="2954"/>
      <c r="AP331" s="2954"/>
      <c r="AQ331" s="2954"/>
      <c r="AR331" s="2954"/>
      <c r="AS331" s="2954"/>
      <c r="AT331" s="2935"/>
      <c r="AU331" s="2964"/>
      <c r="AV331" s="857">
        <f t="shared" si="178"/>
        <v>0</v>
      </c>
      <c r="AW331" s="857">
        <f t="shared" si="179"/>
        <v>0</v>
      </c>
      <c r="AX331" s="857">
        <f t="shared" si="180"/>
        <v>0</v>
      </c>
      <c r="AY331" s="807">
        <f t="shared" si="155"/>
        <v>0</v>
      </c>
      <c r="AZ331" s="2934">
        <f t="shared" si="156"/>
        <v>0</v>
      </c>
      <c r="BA331" s="2934">
        <f t="shared" si="157"/>
        <v>0</v>
      </c>
      <c r="BB331" s="2934">
        <f t="shared" si="158"/>
        <v>0</v>
      </c>
      <c r="BC331" s="2934">
        <f t="shared" si="159"/>
        <v>0</v>
      </c>
      <c r="BD331" s="2934">
        <f t="shared" si="160"/>
        <v>0</v>
      </c>
      <c r="BE331" s="2934">
        <f t="shared" si="161"/>
        <v>0</v>
      </c>
      <c r="BF331" s="2934">
        <f t="shared" si="162"/>
        <v>0</v>
      </c>
      <c r="BG331" s="2934">
        <f t="shared" si="163"/>
        <v>0</v>
      </c>
      <c r="BH331" s="2934">
        <f t="shared" si="164"/>
        <v>0</v>
      </c>
      <c r="BI331" s="2934">
        <f t="shared" si="165"/>
        <v>0</v>
      </c>
      <c r="BJ331" s="2934">
        <f t="shared" si="166"/>
        <v>0</v>
      </c>
      <c r="BK331" s="2934">
        <f t="shared" si="167"/>
        <v>0</v>
      </c>
      <c r="BL331" s="2934">
        <f t="shared" si="168"/>
        <v>0</v>
      </c>
      <c r="BM331" s="2934">
        <f t="shared" si="169"/>
        <v>0</v>
      </c>
      <c r="BN331" s="2934">
        <f t="shared" si="170"/>
        <v>0</v>
      </c>
      <c r="BO331" s="2934">
        <f t="shared" si="171"/>
        <v>0</v>
      </c>
      <c r="BP331" s="2934">
        <f t="shared" si="172"/>
        <v>0</v>
      </c>
      <c r="BQ331" s="2934">
        <f t="shared" si="173"/>
        <v>0</v>
      </c>
      <c r="BR331" s="2934">
        <f t="shared" si="174"/>
        <v>0</v>
      </c>
      <c r="BS331" s="2934">
        <f t="shared" si="175"/>
        <v>0</v>
      </c>
      <c r="BT331" s="2982">
        <f t="shared" si="176"/>
        <v>0</v>
      </c>
    </row>
    <row r="332" spans="1:72">
      <c r="A332" s="874"/>
      <c r="B332" s="882"/>
      <c r="C332" s="882"/>
      <c r="D332" s="2933"/>
      <c r="E332" s="2934">
        <f t="shared" si="177"/>
        <v>0</v>
      </c>
      <c r="F332" s="2935"/>
      <c r="G332" s="2936">
        <f t="shared" ref="G332:G363" si="181">H332+AC332+AT332</f>
        <v>0</v>
      </c>
      <c r="H332" s="2937">
        <f t="shared" ref="H332:H363" si="182">SUMIF(I$12:AB$12,"总值",I332:AB332)</f>
        <v>0</v>
      </c>
      <c r="I332" s="2944"/>
      <c r="J332" s="2944"/>
      <c r="K332" s="2944"/>
      <c r="L332" s="2944"/>
      <c r="M332" s="2944"/>
      <c r="N332" s="2944"/>
      <c r="O332" s="2944"/>
      <c r="P332" s="2944"/>
      <c r="Q332" s="2944"/>
      <c r="R332" s="2944"/>
      <c r="S332" s="2944"/>
      <c r="T332" s="2944"/>
      <c r="U332" s="2944"/>
      <c r="V332" s="2944"/>
      <c r="W332" s="2944"/>
      <c r="X332" s="2944"/>
      <c r="Y332" s="2944"/>
      <c r="Z332" s="2944"/>
      <c r="AA332" s="2944"/>
      <c r="AB332" s="2944"/>
      <c r="AC332" s="2934">
        <f t="shared" ref="AC332:AC363" si="183">SUMIF(AD$12:AS$12,"总值",AD332:AS332)</f>
        <v>0</v>
      </c>
      <c r="AD332" s="2954"/>
      <c r="AE332" s="2954"/>
      <c r="AF332" s="2954"/>
      <c r="AG332" s="2954"/>
      <c r="AH332" s="2954"/>
      <c r="AI332" s="2954"/>
      <c r="AJ332" s="2954"/>
      <c r="AK332" s="2954"/>
      <c r="AL332" s="2954"/>
      <c r="AM332" s="2954"/>
      <c r="AN332" s="2954"/>
      <c r="AO332" s="2954"/>
      <c r="AP332" s="2954"/>
      <c r="AQ332" s="2954"/>
      <c r="AR332" s="2954"/>
      <c r="AS332" s="2954"/>
      <c r="AT332" s="2935"/>
      <c r="AU332" s="2964"/>
      <c r="AV332" s="857">
        <f t="shared" si="178"/>
        <v>0</v>
      </c>
      <c r="AW332" s="857">
        <f t="shared" si="179"/>
        <v>0</v>
      </c>
      <c r="AX332" s="857">
        <f t="shared" si="180"/>
        <v>0</v>
      </c>
      <c r="AY332" s="807">
        <f t="shared" ref="AY332:AY363" si="184">ROUND($AY$6*AZ332/$AZ$5,2)</f>
        <v>0</v>
      </c>
      <c r="AZ332" s="2934">
        <f t="shared" ref="AZ332:AZ363" si="185">BA332+BL332</f>
        <v>0</v>
      </c>
      <c r="BA332" s="2934">
        <f t="shared" ref="BA332:BA363" si="186">SUM(BB332:BK332)</f>
        <v>0</v>
      </c>
      <c r="BB332" s="2934">
        <f t="shared" ref="BB332:BB363" si="187">IF($D332="是",I332-J332,0)</f>
        <v>0</v>
      </c>
      <c r="BC332" s="2934">
        <f t="shared" ref="BC332:BC363" si="188">IF($D332="是",K332-L332,0)</f>
        <v>0</v>
      </c>
      <c r="BD332" s="2934">
        <f t="shared" ref="BD332:BD363" si="189">IF($D332="是",M332-N332,0)</f>
        <v>0</v>
      </c>
      <c r="BE332" s="2934">
        <f t="shared" ref="BE332:BE363" si="190">IF($D332="是",O332-P332,0)</f>
        <v>0</v>
      </c>
      <c r="BF332" s="2934">
        <f t="shared" ref="BF332:BF363" si="191">IF($D332="是",Q332-R332,0)</f>
        <v>0</v>
      </c>
      <c r="BG332" s="2934">
        <f t="shared" ref="BG332:BG363" si="192">IF($D332="是",S332-T332,0)</f>
        <v>0</v>
      </c>
      <c r="BH332" s="2934">
        <f t="shared" ref="BH332:BH363" si="193">IF($D332="是",U332-V332,0)</f>
        <v>0</v>
      </c>
      <c r="BI332" s="2934">
        <f t="shared" ref="BI332:BI363" si="194">IF($D332="是",W332-X332,0)</f>
        <v>0</v>
      </c>
      <c r="BJ332" s="2934">
        <f t="shared" ref="BJ332:BJ363" si="195">IF($D332="是",Y332-Z332,0)</f>
        <v>0</v>
      </c>
      <c r="BK332" s="2934">
        <f t="shared" ref="BK332:BK363" si="196">IF($D332="是",AA332-AB332,0)</f>
        <v>0</v>
      </c>
      <c r="BL332" s="2934">
        <f t="shared" ref="BL332:BL363" si="197">SUM(BM332:BT332)</f>
        <v>0</v>
      </c>
      <c r="BM332" s="2934">
        <f t="shared" ref="BM332:BM363" si="198">IF($D332="是",AD332-AE332,0)</f>
        <v>0</v>
      </c>
      <c r="BN332" s="2934">
        <f t="shared" ref="BN332:BN363" si="199">IF($D332="是",AF332-AG332,0)</f>
        <v>0</v>
      </c>
      <c r="BO332" s="2934">
        <f t="shared" ref="BO332:BO363" si="200">IF($D332="是",AH332-AI332,0)</f>
        <v>0</v>
      </c>
      <c r="BP332" s="2934">
        <f t="shared" ref="BP332:BP363" si="201">IF($D332="是",AJ332-AK332,0)</f>
        <v>0</v>
      </c>
      <c r="BQ332" s="2934">
        <f t="shared" ref="BQ332:BQ363" si="202">IF($D332="是",AL332-AM332,0)</f>
        <v>0</v>
      </c>
      <c r="BR332" s="2934">
        <f t="shared" ref="BR332:BR363" si="203">IF($D332="是",AN332-AO332,0)</f>
        <v>0</v>
      </c>
      <c r="BS332" s="2934">
        <f t="shared" ref="BS332:BS363" si="204">IF($D332="是",AP332-AQ332,0)</f>
        <v>0</v>
      </c>
      <c r="BT332" s="2982">
        <f t="shared" ref="BT332:BT363" si="205">IF($D332="是",AR332-AS332,0)</f>
        <v>0</v>
      </c>
    </row>
    <row r="333" spans="1:72">
      <c r="A333" s="874"/>
      <c r="B333" s="882"/>
      <c r="C333" s="882"/>
      <c r="D333" s="2933"/>
      <c r="E333" s="2934">
        <f t="shared" si="177"/>
        <v>0</v>
      </c>
      <c r="F333" s="2935"/>
      <c r="G333" s="2936">
        <f t="shared" si="181"/>
        <v>0</v>
      </c>
      <c r="H333" s="2937">
        <f t="shared" si="182"/>
        <v>0</v>
      </c>
      <c r="I333" s="2944"/>
      <c r="J333" s="2944"/>
      <c r="K333" s="2944"/>
      <c r="L333" s="2944"/>
      <c r="M333" s="2944"/>
      <c r="N333" s="2944"/>
      <c r="O333" s="2944"/>
      <c r="P333" s="2944"/>
      <c r="Q333" s="2944"/>
      <c r="R333" s="2944"/>
      <c r="S333" s="2944"/>
      <c r="T333" s="2944"/>
      <c r="U333" s="2944"/>
      <c r="V333" s="2944"/>
      <c r="W333" s="2944"/>
      <c r="X333" s="2944"/>
      <c r="Y333" s="2944"/>
      <c r="Z333" s="2944"/>
      <c r="AA333" s="2944"/>
      <c r="AB333" s="2944"/>
      <c r="AC333" s="2934">
        <f t="shared" si="183"/>
        <v>0</v>
      </c>
      <c r="AD333" s="2954"/>
      <c r="AE333" s="2954"/>
      <c r="AF333" s="2954"/>
      <c r="AG333" s="2954"/>
      <c r="AH333" s="2954"/>
      <c r="AI333" s="2954"/>
      <c r="AJ333" s="2954"/>
      <c r="AK333" s="2954"/>
      <c r="AL333" s="2954"/>
      <c r="AM333" s="2954"/>
      <c r="AN333" s="2954"/>
      <c r="AO333" s="2954"/>
      <c r="AP333" s="2954"/>
      <c r="AQ333" s="2954"/>
      <c r="AR333" s="2954"/>
      <c r="AS333" s="2954"/>
      <c r="AT333" s="2935"/>
      <c r="AU333" s="2964"/>
      <c r="AV333" s="857">
        <f t="shared" si="178"/>
        <v>0</v>
      </c>
      <c r="AW333" s="857">
        <f t="shared" si="179"/>
        <v>0</v>
      </c>
      <c r="AX333" s="857">
        <f t="shared" si="180"/>
        <v>0</v>
      </c>
      <c r="AY333" s="807">
        <f t="shared" si="184"/>
        <v>0</v>
      </c>
      <c r="AZ333" s="2934">
        <f t="shared" si="185"/>
        <v>0</v>
      </c>
      <c r="BA333" s="2934">
        <f t="shared" si="186"/>
        <v>0</v>
      </c>
      <c r="BB333" s="2934">
        <f t="shared" si="187"/>
        <v>0</v>
      </c>
      <c r="BC333" s="2934">
        <f t="shared" si="188"/>
        <v>0</v>
      </c>
      <c r="BD333" s="2934">
        <f t="shared" si="189"/>
        <v>0</v>
      </c>
      <c r="BE333" s="2934">
        <f t="shared" si="190"/>
        <v>0</v>
      </c>
      <c r="BF333" s="2934">
        <f t="shared" si="191"/>
        <v>0</v>
      </c>
      <c r="BG333" s="2934">
        <f t="shared" si="192"/>
        <v>0</v>
      </c>
      <c r="BH333" s="2934">
        <f t="shared" si="193"/>
        <v>0</v>
      </c>
      <c r="BI333" s="2934">
        <f t="shared" si="194"/>
        <v>0</v>
      </c>
      <c r="BJ333" s="2934">
        <f t="shared" si="195"/>
        <v>0</v>
      </c>
      <c r="BK333" s="2934">
        <f t="shared" si="196"/>
        <v>0</v>
      </c>
      <c r="BL333" s="2934">
        <f t="shared" si="197"/>
        <v>0</v>
      </c>
      <c r="BM333" s="2934">
        <f t="shared" si="198"/>
        <v>0</v>
      </c>
      <c r="BN333" s="2934">
        <f t="shared" si="199"/>
        <v>0</v>
      </c>
      <c r="BO333" s="2934">
        <f t="shared" si="200"/>
        <v>0</v>
      </c>
      <c r="BP333" s="2934">
        <f t="shared" si="201"/>
        <v>0</v>
      </c>
      <c r="BQ333" s="2934">
        <f t="shared" si="202"/>
        <v>0</v>
      </c>
      <c r="BR333" s="2934">
        <f t="shared" si="203"/>
        <v>0</v>
      </c>
      <c r="BS333" s="2934">
        <f t="shared" si="204"/>
        <v>0</v>
      </c>
      <c r="BT333" s="2982">
        <f t="shared" si="205"/>
        <v>0</v>
      </c>
    </row>
    <row r="334" spans="1:72">
      <c r="A334" s="874"/>
      <c r="B334" s="882"/>
      <c r="C334" s="882"/>
      <c r="D334" s="2933"/>
      <c r="E334" s="2934">
        <f t="shared" si="177"/>
        <v>0</v>
      </c>
      <c r="F334" s="2935"/>
      <c r="G334" s="2936">
        <f t="shared" si="181"/>
        <v>0</v>
      </c>
      <c r="H334" s="2937">
        <f t="shared" si="182"/>
        <v>0</v>
      </c>
      <c r="I334" s="2944"/>
      <c r="J334" s="2944"/>
      <c r="K334" s="2944"/>
      <c r="L334" s="2944"/>
      <c r="M334" s="2944"/>
      <c r="N334" s="2944"/>
      <c r="O334" s="2944"/>
      <c r="P334" s="2944"/>
      <c r="Q334" s="2944"/>
      <c r="R334" s="2944"/>
      <c r="S334" s="2944"/>
      <c r="T334" s="2944"/>
      <c r="U334" s="2944"/>
      <c r="V334" s="2944"/>
      <c r="W334" s="2944"/>
      <c r="X334" s="2944"/>
      <c r="Y334" s="2944"/>
      <c r="Z334" s="2944"/>
      <c r="AA334" s="2944"/>
      <c r="AB334" s="2944"/>
      <c r="AC334" s="2934">
        <f t="shared" si="183"/>
        <v>0</v>
      </c>
      <c r="AD334" s="2954"/>
      <c r="AE334" s="2954"/>
      <c r="AF334" s="2954"/>
      <c r="AG334" s="2954"/>
      <c r="AH334" s="2954"/>
      <c r="AI334" s="2954"/>
      <c r="AJ334" s="2954"/>
      <c r="AK334" s="2954"/>
      <c r="AL334" s="2954"/>
      <c r="AM334" s="2954"/>
      <c r="AN334" s="2954"/>
      <c r="AO334" s="2954"/>
      <c r="AP334" s="2954"/>
      <c r="AQ334" s="2954"/>
      <c r="AR334" s="2954"/>
      <c r="AS334" s="2954"/>
      <c r="AT334" s="2935"/>
      <c r="AU334" s="2964"/>
      <c r="AV334" s="857">
        <f t="shared" si="178"/>
        <v>0</v>
      </c>
      <c r="AW334" s="857">
        <f t="shared" si="179"/>
        <v>0</v>
      </c>
      <c r="AX334" s="857">
        <f t="shared" si="180"/>
        <v>0</v>
      </c>
      <c r="AY334" s="807">
        <f t="shared" si="184"/>
        <v>0</v>
      </c>
      <c r="AZ334" s="2934">
        <f t="shared" si="185"/>
        <v>0</v>
      </c>
      <c r="BA334" s="2934">
        <f t="shared" si="186"/>
        <v>0</v>
      </c>
      <c r="BB334" s="2934">
        <f t="shared" si="187"/>
        <v>0</v>
      </c>
      <c r="BC334" s="2934">
        <f t="shared" si="188"/>
        <v>0</v>
      </c>
      <c r="BD334" s="2934">
        <f t="shared" si="189"/>
        <v>0</v>
      </c>
      <c r="BE334" s="2934">
        <f t="shared" si="190"/>
        <v>0</v>
      </c>
      <c r="BF334" s="2934">
        <f t="shared" si="191"/>
        <v>0</v>
      </c>
      <c r="BG334" s="2934">
        <f t="shared" si="192"/>
        <v>0</v>
      </c>
      <c r="BH334" s="2934">
        <f t="shared" si="193"/>
        <v>0</v>
      </c>
      <c r="BI334" s="2934">
        <f t="shared" si="194"/>
        <v>0</v>
      </c>
      <c r="BJ334" s="2934">
        <f t="shared" si="195"/>
        <v>0</v>
      </c>
      <c r="BK334" s="2934">
        <f t="shared" si="196"/>
        <v>0</v>
      </c>
      <c r="BL334" s="2934">
        <f t="shared" si="197"/>
        <v>0</v>
      </c>
      <c r="BM334" s="2934">
        <f t="shared" si="198"/>
        <v>0</v>
      </c>
      <c r="BN334" s="2934">
        <f t="shared" si="199"/>
        <v>0</v>
      </c>
      <c r="BO334" s="2934">
        <f t="shared" si="200"/>
        <v>0</v>
      </c>
      <c r="BP334" s="2934">
        <f t="shared" si="201"/>
        <v>0</v>
      </c>
      <c r="BQ334" s="2934">
        <f t="shared" si="202"/>
        <v>0</v>
      </c>
      <c r="BR334" s="2934">
        <f t="shared" si="203"/>
        <v>0</v>
      </c>
      <c r="BS334" s="2934">
        <f t="shared" si="204"/>
        <v>0</v>
      </c>
      <c r="BT334" s="2982">
        <f t="shared" si="205"/>
        <v>0</v>
      </c>
    </row>
    <row r="335" spans="1:72">
      <c r="A335" s="874"/>
      <c r="B335" s="882"/>
      <c r="C335" s="882"/>
      <c r="D335" s="2933"/>
      <c r="E335" s="2934">
        <f t="shared" ref="E335:E366" si="206">IF($C$3="是",ROUND($A$3*G335/$B$3,2),ROUND($A$3*(G335-AT335)/$B$3,2))</f>
        <v>0</v>
      </c>
      <c r="F335" s="2935"/>
      <c r="G335" s="2936">
        <f t="shared" si="181"/>
        <v>0</v>
      </c>
      <c r="H335" s="2937">
        <f t="shared" si="182"/>
        <v>0</v>
      </c>
      <c r="I335" s="2944"/>
      <c r="J335" s="2944"/>
      <c r="K335" s="2944"/>
      <c r="L335" s="2944"/>
      <c r="M335" s="2944"/>
      <c r="N335" s="2944"/>
      <c r="O335" s="2944"/>
      <c r="P335" s="2944"/>
      <c r="Q335" s="2944"/>
      <c r="R335" s="2944"/>
      <c r="S335" s="2944"/>
      <c r="T335" s="2944"/>
      <c r="U335" s="2944"/>
      <c r="V335" s="2944"/>
      <c r="W335" s="2944"/>
      <c r="X335" s="2944"/>
      <c r="Y335" s="2944"/>
      <c r="Z335" s="2944"/>
      <c r="AA335" s="2944"/>
      <c r="AB335" s="2944"/>
      <c r="AC335" s="2934">
        <f t="shared" si="183"/>
        <v>0</v>
      </c>
      <c r="AD335" s="2954"/>
      <c r="AE335" s="2954"/>
      <c r="AF335" s="2954"/>
      <c r="AG335" s="2954"/>
      <c r="AH335" s="2954"/>
      <c r="AI335" s="2954"/>
      <c r="AJ335" s="2954"/>
      <c r="AK335" s="2954"/>
      <c r="AL335" s="2954"/>
      <c r="AM335" s="2954"/>
      <c r="AN335" s="2954"/>
      <c r="AO335" s="2954"/>
      <c r="AP335" s="2954"/>
      <c r="AQ335" s="2954"/>
      <c r="AR335" s="2954"/>
      <c r="AS335" s="2954"/>
      <c r="AT335" s="2935"/>
      <c r="AU335" s="2964"/>
      <c r="AV335" s="857">
        <f t="shared" ref="AV335:AV366" si="207">A335</f>
        <v>0</v>
      </c>
      <c r="AW335" s="857">
        <f t="shared" ref="AW335:AW366" si="208">B335</f>
        <v>0</v>
      </c>
      <c r="AX335" s="857">
        <f t="shared" ref="AX335:AX366" si="209">C335</f>
        <v>0</v>
      </c>
      <c r="AY335" s="807">
        <f t="shared" si="184"/>
        <v>0</v>
      </c>
      <c r="AZ335" s="2934">
        <f t="shared" si="185"/>
        <v>0</v>
      </c>
      <c r="BA335" s="2934">
        <f t="shared" si="186"/>
        <v>0</v>
      </c>
      <c r="BB335" s="2934">
        <f t="shared" si="187"/>
        <v>0</v>
      </c>
      <c r="BC335" s="2934">
        <f t="shared" si="188"/>
        <v>0</v>
      </c>
      <c r="BD335" s="2934">
        <f t="shared" si="189"/>
        <v>0</v>
      </c>
      <c r="BE335" s="2934">
        <f t="shared" si="190"/>
        <v>0</v>
      </c>
      <c r="BF335" s="2934">
        <f t="shared" si="191"/>
        <v>0</v>
      </c>
      <c r="BG335" s="2934">
        <f t="shared" si="192"/>
        <v>0</v>
      </c>
      <c r="BH335" s="2934">
        <f t="shared" si="193"/>
        <v>0</v>
      </c>
      <c r="BI335" s="2934">
        <f t="shared" si="194"/>
        <v>0</v>
      </c>
      <c r="BJ335" s="2934">
        <f t="shared" si="195"/>
        <v>0</v>
      </c>
      <c r="BK335" s="2934">
        <f t="shared" si="196"/>
        <v>0</v>
      </c>
      <c r="BL335" s="2934">
        <f t="shared" si="197"/>
        <v>0</v>
      </c>
      <c r="BM335" s="2934">
        <f t="shared" si="198"/>
        <v>0</v>
      </c>
      <c r="BN335" s="2934">
        <f t="shared" si="199"/>
        <v>0</v>
      </c>
      <c r="BO335" s="2934">
        <f t="shared" si="200"/>
        <v>0</v>
      </c>
      <c r="BP335" s="2934">
        <f t="shared" si="201"/>
        <v>0</v>
      </c>
      <c r="BQ335" s="2934">
        <f t="shared" si="202"/>
        <v>0</v>
      </c>
      <c r="BR335" s="2934">
        <f t="shared" si="203"/>
        <v>0</v>
      </c>
      <c r="BS335" s="2934">
        <f t="shared" si="204"/>
        <v>0</v>
      </c>
      <c r="BT335" s="2982">
        <f t="shared" si="205"/>
        <v>0</v>
      </c>
    </row>
    <row r="336" spans="1:72">
      <c r="A336" s="874"/>
      <c r="B336" s="882"/>
      <c r="C336" s="882"/>
      <c r="D336" s="2933"/>
      <c r="E336" s="2934">
        <f t="shared" si="206"/>
        <v>0</v>
      </c>
      <c r="F336" s="2935"/>
      <c r="G336" s="2936">
        <f t="shared" si="181"/>
        <v>0</v>
      </c>
      <c r="H336" s="2937">
        <f t="shared" si="182"/>
        <v>0</v>
      </c>
      <c r="I336" s="2944"/>
      <c r="J336" s="2944"/>
      <c r="K336" s="2944"/>
      <c r="L336" s="2944"/>
      <c r="M336" s="2944"/>
      <c r="N336" s="2944"/>
      <c r="O336" s="2944"/>
      <c r="P336" s="2944"/>
      <c r="Q336" s="2944"/>
      <c r="R336" s="2944"/>
      <c r="S336" s="2944"/>
      <c r="T336" s="2944"/>
      <c r="U336" s="2944"/>
      <c r="V336" s="2944"/>
      <c r="W336" s="2944"/>
      <c r="X336" s="2944"/>
      <c r="Y336" s="2944"/>
      <c r="Z336" s="2944"/>
      <c r="AA336" s="2944"/>
      <c r="AB336" s="2944"/>
      <c r="AC336" s="2934">
        <f t="shared" si="183"/>
        <v>0</v>
      </c>
      <c r="AD336" s="2954"/>
      <c r="AE336" s="2954"/>
      <c r="AF336" s="2954"/>
      <c r="AG336" s="2954"/>
      <c r="AH336" s="2954"/>
      <c r="AI336" s="2954"/>
      <c r="AJ336" s="2954"/>
      <c r="AK336" s="2954"/>
      <c r="AL336" s="2954"/>
      <c r="AM336" s="2954"/>
      <c r="AN336" s="2954"/>
      <c r="AO336" s="2954"/>
      <c r="AP336" s="2954"/>
      <c r="AQ336" s="2954"/>
      <c r="AR336" s="2954"/>
      <c r="AS336" s="2954"/>
      <c r="AT336" s="2935"/>
      <c r="AU336" s="2964"/>
      <c r="AV336" s="857">
        <f t="shared" si="207"/>
        <v>0</v>
      </c>
      <c r="AW336" s="857">
        <f t="shared" si="208"/>
        <v>0</v>
      </c>
      <c r="AX336" s="857">
        <f t="shared" si="209"/>
        <v>0</v>
      </c>
      <c r="AY336" s="807">
        <f t="shared" si="184"/>
        <v>0</v>
      </c>
      <c r="AZ336" s="2934">
        <f t="shared" si="185"/>
        <v>0</v>
      </c>
      <c r="BA336" s="2934">
        <f t="shared" si="186"/>
        <v>0</v>
      </c>
      <c r="BB336" s="2934">
        <f t="shared" si="187"/>
        <v>0</v>
      </c>
      <c r="BC336" s="2934">
        <f t="shared" si="188"/>
        <v>0</v>
      </c>
      <c r="BD336" s="2934">
        <f t="shared" si="189"/>
        <v>0</v>
      </c>
      <c r="BE336" s="2934">
        <f t="shared" si="190"/>
        <v>0</v>
      </c>
      <c r="BF336" s="2934">
        <f t="shared" si="191"/>
        <v>0</v>
      </c>
      <c r="BG336" s="2934">
        <f t="shared" si="192"/>
        <v>0</v>
      </c>
      <c r="BH336" s="2934">
        <f t="shared" si="193"/>
        <v>0</v>
      </c>
      <c r="BI336" s="2934">
        <f t="shared" si="194"/>
        <v>0</v>
      </c>
      <c r="BJ336" s="2934">
        <f t="shared" si="195"/>
        <v>0</v>
      </c>
      <c r="BK336" s="2934">
        <f t="shared" si="196"/>
        <v>0</v>
      </c>
      <c r="BL336" s="2934">
        <f t="shared" si="197"/>
        <v>0</v>
      </c>
      <c r="BM336" s="2934">
        <f t="shared" si="198"/>
        <v>0</v>
      </c>
      <c r="BN336" s="2934">
        <f t="shared" si="199"/>
        <v>0</v>
      </c>
      <c r="BO336" s="2934">
        <f t="shared" si="200"/>
        <v>0</v>
      </c>
      <c r="BP336" s="2934">
        <f t="shared" si="201"/>
        <v>0</v>
      </c>
      <c r="BQ336" s="2934">
        <f t="shared" si="202"/>
        <v>0</v>
      </c>
      <c r="BR336" s="2934">
        <f t="shared" si="203"/>
        <v>0</v>
      </c>
      <c r="BS336" s="2934">
        <f t="shared" si="204"/>
        <v>0</v>
      </c>
      <c r="BT336" s="2982">
        <f t="shared" si="205"/>
        <v>0</v>
      </c>
    </row>
    <row r="337" spans="1:72">
      <c r="A337" s="874"/>
      <c r="B337" s="882"/>
      <c r="C337" s="882"/>
      <c r="D337" s="2933"/>
      <c r="E337" s="2934">
        <f t="shared" si="206"/>
        <v>0</v>
      </c>
      <c r="F337" s="2935"/>
      <c r="G337" s="2936">
        <f t="shared" si="181"/>
        <v>0</v>
      </c>
      <c r="H337" s="2937">
        <f t="shared" si="182"/>
        <v>0</v>
      </c>
      <c r="I337" s="2944"/>
      <c r="J337" s="2944"/>
      <c r="K337" s="2944"/>
      <c r="L337" s="2944"/>
      <c r="M337" s="2944"/>
      <c r="N337" s="2944"/>
      <c r="O337" s="2944"/>
      <c r="P337" s="2944"/>
      <c r="Q337" s="2944"/>
      <c r="R337" s="2944"/>
      <c r="S337" s="2944"/>
      <c r="T337" s="2944"/>
      <c r="U337" s="2944"/>
      <c r="V337" s="2944"/>
      <c r="W337" s="2944"/>
      <c r="X337" s="2944"/>
      <c r="Y337" s="2944"/>
      <c r="Z337" s="2944"/>
      <c r="AA337" s="2944"/>
      <c r="AB337" s="2944"/>
      <c r="AC337" s="2934">
        <f t="shared" si="183"/>
        <v>0</v>
      </c>
      <c r="AD337" s="2954"/>
      <c r="AE337" s="2954"/>
      <c r="AF337" s="2954"/>
      <c r="AG337" s="2954"/>
      <c r="AH337" s="2954"/>
      <c r="AI337" s="2954"/>
      <c r="AJ337" s="2954"/>
      <c r="AK337" s="2954"/>
      <c r="AL337" s="2954"/>
      <c r="AM337" s="2954"/>
      <c r="AN337" s="2954"/>
      <c r="AO337" s="2954"/>
      <c r="AP337" s="2954"/>
      <c r="AQ337" s="2954"/>
      <c r="AR337" s="2954"/>
      <c r="AS337" s="2954"/>
      <c r="AT337" s="2935"/>
      <c r="AU337" s="2964"/>
      <c r="AV337" s="857">
        <f t="shared" si="207"/>
        <v>0</v>
      </c>
      <c r="AW337" s="857">
        <f t="shared" si="208"/>
        <v>0</v>
      </c>
      <c r="AX337" s="857">
        <f t="shared" si="209"/>
        <v>0</v>
      </c>
      <c r="AY337" s="807">
        <f t="shared" si="184"/>
        <v>0</v>
      </c>
      <c r="AZ337" s="2934">
        <f t="shared" si="185"/>
        <v>0</v>
      </c>
      <c r="BA337" s="2934">
        <f t="shared" si="186"/>
        <v>0</v>
      </c>
      <c r="BB337" s="2934">
        <f t="shared" si="187"/>
        <v>0</v>
      </c>
      <c r="BC337" s="2934">
        <f t="shared" si="188"/>
        <v>0</v>
      </c>
      <c r="BD337" s="2934">
        <f t="shared" si="189"/>
        <v>0</v>
      </c>
      <c r="BE337" s="2934">
        <f t="shared" si="190"/>
        <v>0</v>
      </c>
      <c r="BF337" s="2934">
        <f t="shared" si="191"/>
        <v>0</v>
      </c>
      <c r="BG337" s="2934">
        <f t="shared" si="192"/>
        <v>0</v>
      </c>
      <c r="BH337" s="2934">
        <f t="shared" si="193"/>
        <v>0</v>
      </c>
      <c r="BI337" s="2934">
        <f t="shared" si="194"/>
        <v>0</v>
      </c>
      <c r="BJ337" s="2934">
        <f t="shared" si="195"/>
        <v>0</v>
      </c>
      <c r="BK337" s="2934">
        <f t="shared" si="196"/>
        <v>0</v>
      </c>
      <c r="BL337" s="2934">
        <f t="shared" si="197"/>
        <v>0</v>
      </c>
      <c r="BM337" s="2934">
        <f t="shared" si="198"/>
        <v>0</v>
      </c>
      <c r="BN337" s="2934">
        <f t="shared" si="199"/>
        <v>0</v>
      </c>
      <c r="BO337" s="2934">
        <f t="shared" si="200"/>
        <v>0</v>
      </c>
      <c r="BP337" s="2934">
        <f t="shared" si="201"/>
        <v>0</v>
      </c>
      <c r="BQ337" s="2934">
        <f t="shared" si="202"/>
        <v>0</v>
      </c>
      <c r="BR337" s="2934">
        <f t="shared" si="203"/>
        <v>0</v>
      </c>
      <c r="BS337" s="2934">
        <f t="shared" si="204"/>
        <v>0</v>
      </c>
      <c r="BT337" s="2982">
        <f t="shared" si="205"/>
        <v>0</v>
      </c>
    </row>
    <row r="338" spans="1:72">
      <c r="A338" s="874"/>
      <c r="B338" s="882"/>
      <c r="C338" s="882"/>
      <c r="D338" s="2933"/>
      <c r="E338" s="2934">
        <f t="shared" si="206"/>
        <v>0</v>
      </c>
      <c r="F338" s="2935"/>
      <c r="G338" s="2936">
        <f t="shared" si="181"/>
        <v>0</v>
      </c>
      <c r="H338" s="2937">
        <f t="shared" si="182"/>
        <v>0</v>
      </c>
      <c r="I338" s="2944"/>
      <c r="J338" s="2944"/>
      <c r="K338" s="2944"/>
      <c r="L338" s="2944"/>
      <c r="M338" s="2944"/>
      <c r="N338" s="2944"/>
      <c r="O338" s="2944"/>
      <c r="P338" s="2944"/>
      <c r="Q338" s="2944"/>
      <c r="R338" s="2944"/>
      <c r="S338" s="2944"/>
      <c r="T338" s="2944"/>
      <c r="U338" s="2944"/>
      <c r="V338" s="2944"/>
      <c r="W338" s="2944"/>
      <c r="X338" s="2944"/>
      <c r="Y338" s="2944"/>
      <c r="Z338" s="2944"/>
      <c r="AA338" s="2944"/>
      <c r="AB338" s="2944"/>
      <c r="AC338" s="2934">
        <f t="shared" si="183"/>
        <v>0</v>
      </c>
      <c r="AD338" s="2954"/>
      <c r="AE338" s="2954"/>
      <c r="AF338" s="2954"/>
      <c r="AG338" s="2954"/>
      <c r="AH338" s="2954"/>
      <c r="AI338" s="2954"/>
      <c r="AJ338" s="2954"/>
      <c r="AK338" s="2954"/>
      <c r="AL338" s="2954"/>
      <c r="AM338" s="2954"/>
      <c r="AN338" s="2954"/>
      <c r="AO338" s="2954"/>
      <c r="AP338" s="2954"/>
      <c r="AQ338" s="2954"/>
      <c r="AR338" s="2954"/>
      <c r="AS338" s="2954"/>
      <c r="AT338" s="2935"/>
      <c r="AU338" s="2964"/>
      <c r="AV338" s="857">
        <f t="shared" si="207"/>
        <v>0</v>
      </c>
      <c r="AW338" s="857">
        <f t="shared" si="208"/>
        <v>0</v>
      </c>
      <c r="AX338" s="857">
        <f t="shared" si="209"/>
        <v>0</v>
      </c>
      <c r="AY338" s="807">
        <f t="shared" si="184"/>
        <v>0</v>
      </c>
      <c r="AZ338" s="2934">
        <f t="shared" si="185"/>
        <v>0</v>
      </c>
      <c r="BA338" s="2934">
        <f t="shared" si="186"/>
        <v>0</v>
      </c>
      <c r="BB338" s="2934">
        <f t="shared" si="187"/>
        <v>0</v>
      </c>
      <c r="BC338" s="2934">
        <f t="shared" si="188"/>
        <v>0</v>
      </c>
      <c r="BD338" s="2934">
        <f t="shared" si="189"/>
        <v>0</v>
      </c>
      <c r="BE338" s="2934">
        <f t="shared" si="190"/>
        <v>0</v>
      </c>
      <c r="BF338" s="2934">
        <f t="shared" si="191"/>
        <v>0</v>
      </c>
      <c r="BG338" s="2934">
        <f t="shared" si="192"/>
        <v>0</v>
      </c>
      <c r="BH338" s="2934">
        <f t="shared" si="193"/>
        <v>0</v>
      </c>
      <c r="BI338" s="2934">
        <f t="shared" si="194"/>
        <v>0</v>
      </c>
      <c r="BJ338" s="2934">
        <f t="shared" si="195"/>
        <v>0</v>
      </c>
      <c r="BK338" s="2934">
        <f t="shared" si="196"/>
        <v>0</v>
      </c>
      <c r="BL338" s="2934">
        <f t="shared" si="197"/>
        <v>0</v>
      </c>
      <c r="BM338" s="2934">
        <f t="shared" si="198"/>
        <v>0</v>
      </c>
      <c r="BN338" s="2934">
        <f t="shared" si="199"/>
        <v>0</v>
      </c>
      <c r="BO338" s="2934">
        <f t="shared" si="200"/>
        <v>0</v>
      </c>
      <c r="BP338" s="2934">
        <f t="shared" si="201"/>
        <v>0</v>
      </c>
      <c r="BQ338" s="2934">
        <f t="shared" si="202"/>
        <v>0</v>
      </c>
      <c r="BR338" s="2934">
        <f t="shared" si="203"/>
        <v>0</v>
      </c>
      <c r="BS338" s="2934">
        <f t="shared" si="204"/>
        <v>0</v>
      </c>
      <c r="BT338" s="2982">
        <f t="shared" si="205"/>
        <v>0</v>
      </c>
    </row>
    <row r="339" spans="1:72">
      <c r="A339" s="874"/>
      <c r="B339" s="882"/>
      <c r="C339" s="882"/>
      <c r="D339" s="2933"/>
      <c r="E339" s="2934">
        <f t="shared" si="206"/>
        <v>0</v>
      </c>
      <c r="F339" s="2935"/>
      <c r="G339" s="2936">
        <f t="shared" si="181"/>
        <v>0</v>
      </c>
      <c r="H339" s="2937">
        <f t="shared" si="182"/>
        <v>0</v>
      </c>
      <c r="I339" s="2944"/>
      <c r="J339" s="2944"/>
      <c r="K339" s="2944"/>
      <c r="L339" s="2944"/>
      <c r="M339" s="2944"/>
      <c r="N339" s="2944"/>
      <c r="O339" s="2944"/>
      <c r="P339" s="2944"/>
      <c r="Q339" s="2944"/>
      <c r="R339" s="2944"/>
      <c r="S339" s="2944"/>
      <c r="T339" s="2944"/>
      <c r="U339" s="2944"/>
      <c r="V339" s="2944"/>
      <c r="W339" s="2944"/>
      <c r="X339" s="2944"/>
      <c r="Y339" s="2944"/>
      <c r="Z339" s="2944"/>
      <c r="AA339" s="2944"/>
      <c r="AB339" s="2944"/>
      <c r="AC339" s="2934">
        <f t="shared" si="183"/>
        <v>0</v>
      </c>
      <c r="AD339" s="2954"/>
      <c r="AE339" s="2954"/>
      <c r="AF339" s="2954"/>
      <c r="AG339" s="2954"/>
      <c r="AH339" s="2954"/>
      <c r="AI339" s="2954"/>
      <c r="AJ339" s="2954"/>
      <c r="AK339" s="2954"/>
      <c r="AL339" s="2954"/>
      <c r="AM339" s="2954"/>
      <c r="AN339" s="2954"/>
      <c r="AO339" s="2954"/>
      <c r="AP339" s="2954"/>
      <c r="AQ339" s="2954"/>
      <c r="AR339" s="2954"/>
      <c r="AS339" s="2954"/>
      <c r="AT339" s="2935"/>
      <c r="AU339" s="2964"/>
      <c r="AV339" s="857">
        <f t="shared" si="207"/>
        <v>0</v>
      </c>
      <c r="AW339" s="857">
        <f t="shared" si="208"/>
        <v>0</v>
      </c>
      <c r="AX339" s="857">
        <f t="shared" si="209"/>
        <v>0</v>
      </c>
      <c r="AY339" s="807">
        <f t="shared" si="184"/>
        <v>0</v>
      </c>
      <c r="AZ339" s="2934">
        <f t="shared" si="185"/>
        <v>0</v>
      </c>
      <c r="BA339" s="2934">
        <f t="shared" si="186"/>
        <v>0</v>
      </c>
      <c r="BB339" s="2934">
        <f t="shared" si="187"/>
        <v>0</v>
      </c>
      <c r="BC339" s="2934">
        <f t="shared" si="188"/>
        <v>0</v>
      </c>
      <c r="BD339" s="2934">
        <f t="shared" si="189"/>
        <v>0</v>
      </c>
      <c r="BE339" s="2934">
        <f t="shared" si="190"/>
        <v>0</v>
      </c>
      <c r="BF339" s="2934">
        <f t="shared" si="191"/>
        <v>0</v>
      </c>
      <c r="BG339" s="2934">
        <f t="shared" si="192"/>
        <v>0</v>
      </c>
      <c r="BH339" s="2934">
        <f t="shared" si="193"/>
        <v>0</v>
      </c>
      <c r="BI339" s="2934">
        <f t="shared" si="194"/>
        <v>0</v>
      </c>
      <c r="BJ339" s="2934">
        <f t="shared" si="195"/>
        <v>0</v>
      </c>
      <c r="BK339" s="2934">
        <f t="shared" si="196"/>
        <v>0</v>
      </c>
      <c r="BL339" s="2934">
        <f t="shared" si="197"/>
        <v>0</v>
      </c>
      <c r="BM339" s="2934">
        <f t="shared" si="198"/>
        <v>0</v>
      </c>
      <c r="BN339" s="2934">
        <f t="shared" si="199"/>
        <v>0</v>
      </c>
      <c r="BO339" s="2934">
        <f t="shared" si="200"/>
        <v>0</v>
      </c>
      <c r="BP339" s="2934">
        <f t="shared" si="201"/>
        <v>0</v>
      </c>
      <c r="BQ339" s="2934">
        <f t="shared" si="202"/>
        <v>0</v>
      </c>
      <c r="BR339" s="2934">
        <f t="shared" si="203"/>
        <v>0</v>
      </c>
      <c r="BS339" s="2934">
        <f t="shared" si="204"/>
        <v>0</v>
      </c>
      <c r="BT339" s="2982">
        <f t="shared" si="205"/>
        <v>0</v>
      </c>
    </row>
    <row r="340" spans="1:72">
      <c r="A340" s="874"/>
      <c r="B340" s="882"/>
      <c r="C340" s="882"/>
      <c r="D340" s="2933"/>
      <c r="E340" s="2934">
        <f t="shared" si="206"/>
        <v>0</v>
      </c>
      <c r="F340" s="2935"/>
      <c r="G340" s="2936">
        <f t="shared" si="181"/>
        <v>0</v>
      </c>
      <c r="H340" s="2937">
        <f t="shared" si="182"/>
        <v>0</v>
      </c>
      <c r="I340" s="2944"/>
      <c r="J340" s="2944"/>
      <c r="K340" s="2944"/>
      <c r="L340" s="2944"/>
      <c r="M340" s="2944"/>
      <c r="N340" s="2944"/>
      <c r="O340" s="2944"/>
      <c r="P340" s="2944"/>
      <c r="Q340" s="2944"/>
      <c r="R340" s="2944"/>
      <c r="S340" s="2944"/>
      <c r="T340" s="2944"/>
      <c r="U340" s="2944"/>
      <c r="V340" s="2944"/>
      <c r="W340" s="2944"/>
      <c r="X340" s="2944"/>
      <c r="Y340" s="2944"/>
      <c r="Z340" s="2944"/>
      <c r="AA340" s="2944"/>
      <c r="AB340" s="2944"/>
      <c r="AC340" s="2934">
        <f t="shared" si="183"/>
        <v>0</v>
      </c>
      <c r="AD340" s="2954"/>
      <c r="AE340" s="2954"/>
      <c r="AF340" s="2954"/>
      <c r="AG340" s="2954"/>
      <c r="AH340" s="2954"/>
      <c r="AI340" s="2954"/>
      <c r="AJ340" s="2954"/>
      <c r="AK340" s="2954"/>
      <c r="AL340" s="2954"/>
      <c r="AM340" s="2954"/>
      <c r="AN340" s="2954"/>
      <c r="AO340" s="2954"/>
      <c r="AP340" s="2954"/>
      <c r="AQ340" s="2954"/>
      <c r="AR340" s="2954"/>
      <c r="AS340" s="2954"/>
      <c r="AT340" s="2935"/>
      <c r="AU340" s="2964"/>
      <c r="AV340" s="857">
        <f t="shared" si="207"/>
        <v>0</v>
      </c>
      <c r="AW340" s="857">
        <f t="shared" si="208"/>
        <v>0</v>
      </c>
      <c r="AX340" s="857">
        <f t="shared" si="209"/>
        <v>0</v>
      </c>
      <c r="AY340" s="807">
        <f t="shared" si="184"/>
        <v>0</v>
      </c>
      <c r="AZ340" s="2934">
        <f t="shared" si="185"/>
        <v>0</v>
      </c>
      <c r="BA340" s="2934">
        <f t="shared" si="186"/>
        <v>0</v>
      </c>
      <c r="BB340" s="2934">
        <f t="shared" si="187"/>
        <v>0</v>
      </c>
      <c r="BC340" s="2934">
        <f t="shared" si="188"/>
        <v>0</v>
      </c>
      <c r="BD340" s="2934">
        <f t="shared" si="189"/>
        <v>0</v>
      </c>
      <c r="BE340" s="2934">
        <f t="shared" si="190"/>
        <v>0</v>
      </c>
      <c r="BF340" s="2934">
        <f t="shared" si="191"/>
        <v>0</v>
      </c>
      <c r="BG340" s="2934">
        <f t="shared" si="192"/>
        <v>0</v>
      </c>
      <c r="BH340" s="2934">
        <f t="shared" si="193"/>
        <v>0</v>
      </c>
      <c r="BI340" s="2934">
        <f t="shared" si="194"/>
        <v>0</v>
      </c>
      <c r="BJ340" s="2934">
        <f t="shared" si="195"/>
        <v>0</v>
      </c>
      <c r="BK340" s="2934">
        <f t="shared" si="196"/>
        <v>0</v>
      </c>
      <c r="BL340" s="2934">
        <f t="shared" si="197"/>
        <v>0</v>
      </c>
      <c r="BM340" s="2934">
        <f t="shared" si="198"/>
        <v>0</v>
      </c>
      <c r="BN340" s="2934">
        <f t="shared" si="199"/>
        <v>0</v>
      </c>
      <c r="BO340" s="2934">
        <f t="shared" si="200"/>
        <v>0</v>
      </c>
      <c r="BP340" s="2934">
        <f t="shared" si="201"/>
        <v>0</v>
      </c>
      <c r="BQ340" s="2934">
        <f t="shared" si="202"/>
        <v>0</v>
      </c>
      <c r="BR340" s="2934">
        <f t="shared" si="203"/>
        <v>0</v>
      </c>
      <c r="BS340" s="2934">
        <f t="shared" si="204"/>
        <v>0</v>
      </c>
      <c r="BT340" s="2982">
        <f t="shared" si="205"/>
        <v>0</v>
      </c>
    </row>
    <row r="341" spans="1:72">
      <c r="A341" s="874"/>
      <c r="B341" s="882"/>
      <c r="C341" s="882"/>
      <c r="D341" s="2933"/>
      <c r="E341" s="2934">
        <f t="shared" si="206"/>
        <v>0</v>
      </c>
      <c r="F341" s="2935"/>
      <c r="G341" s="2936">
        <f t="shared" si="181"/>
        <v>0</v>
      </c>
      <c r="H341" s="2937">
        <f t="shared" si="182"/>
        <v>0</v>
      </c>
      <c r="I341" s="2944"/>
      <c r="J341" s="2944"/>
      <c r="K341" s="2944"/>
      <c r="L341" s="2944"/>
      <c r="M341" s="2944"/>
      <c r="N341" s="2944"/>
      <c r="O341" s="2944"/>
      <c r="P341" s="2944"/>
      <c r="Q341" s="2944"/>
      <c r="R341" s="2944"/>
      <c r="S341" s="2944"/>
      <c r="T341" s="2944"/>
      <c r="U341" s="2944"/>
      <c r="V341" s="2944"/>
      <c r="W341" s="2944"/>
      <c r="X341" s="2944"/>
      <c r="Y341" s="2944"/>
      <c r="Z341" s="2944"/>
      <c r="AA341" s="2944"/>
      <c r="AB341" s="2944"/>
      <c r="AC341" s="2934">
        <f t="shared" si="183"/>
        <v>0</v>
      </c>
      <c r="AD341" s="2954"/>
      <c r="AE341" s="2954"/>
      <c r="AF341" s="2954"/>
      <c r="AG341" s="2954"/>
      <c r="AH341" s="2954"/>
      <c r="AI341" s="2954"/>
      <c r="AJ341" s="2954"/>
      <c r="AK341" s="2954"/>
      <c r="AL341" s="2954"/>
      <c r="AM341" s="2954"/>
      <c r="AN341" s="2954"/>
      <c r="AO341" s="2954"/>
      <c r="AP341" s="2954"/>
      <c r="AQ341" s="2954"/>
      <c r="AR341" s="2954"/>
      <c r="AS341" s="2954"/>
      <c r="AT341" s="2935"/>
      <c r="AU341" s="2964"/>
      <c r="AV341" s="857">
        <f t="shared" si="207"/>
        <v>0</v>
      </c>
      <c r="AW341" s="857">
        <f t="shared" si="208"/>
        <v>0</v>
      </c>
      <c r="AX341" s="857">
        <f t="shared" si="209"/>
        <v>0</v>
      </c>
      <c r="AY341" s="807">
        <f t="shared" si="184"/>
        <v>0</v>
      </c>
      <c r="AZ341" s="2934">
        <f t="shared" si="185"/>
        <v>0</v>
      </c>
      <c r="BA341" s="2934">
        <f t="shared" si="186"/>
        <v>0</v>
      </c>
      <c r="BB341" s="2934">
        <f t="shared" si="187"/>
        <v>0</v>
      </c>
      <c r="BC341" s="2934">
        <f t="shared" si="188"/>
        <v>0</v>
      </c>
      <c r="BD341" s="2934">
        <f t="shared" si="189"/>
        <v>0</v>
      </c>
      <c r="BE341" s="2934">
        <f t="shared" si="190"/>
        <v>0</v>
      </c>
      <c r="BF341" s="2934">
        <f t="shared" si="191"/>
        <v>0</v>
      </c>
      <c r="BG341" s="2934">
        <f t="shared" si="192"/>
        <v>0</v>
      </c>
      <c r="BH341" s="2934">
        <f t="shared" si="193"/>
        <v>0</v>
      </c>
      <c r="BI341" s="2934">
        <f t="shared" si="194"/>
        <v>0</v>
      </c>
      <c r="BJ341" s="2934">
        <f t="shared" si="195"/>
        <v>0</v>
      </c>
      <c r="BK341" s="2934">
        <f t="shared" si="196"/>
        <v>0</v>
      </c>
      <c r="BL341" s="2934">
        <f t="shared" si="197"/>
        <v>0</v>
      </c>
      <c r="BM341" s="2934">
        <f t="shared" si="198"/>
        <v>0</v>
      </c>
      <c r="BN341" s="2934">
        <f t="shared" si="199"/>
        <v>0</v>
      </c>
      <c r="BO341" s="2934">
        <f t="shared" si="200"/>
        <v>0</v>
      </c>
      <c r="BP341" s="2934">
        <f t="shared" si="201"/>
        <v>0</v>
      </c>
      <c r="BQ341" s="2934">
        <f t="shared" si="202"/>
        <v>0</v>
      </c>
      <c r="BR341" s="2934">
        <f t="shared" si="203"/>
        <v>0</v>
      </c>
      <c r="BS341" s="2934">
        <f t="shared" si="204"/>
        <v>0</v>
      </c>
      <c r="BT341" s="2982">
        <f t="shared" si="205"/>
        <v>0</v>
      </c>
    </row>
    <row r="342" spans="1:72">
      <c r="A342" s="874"/>
      <c r="B342" s="882"/>
      <c r="C342" s="882"/>
      <c r="D342" s="2933"/>
      <c r="E342" s="2934">
        <f t="shared" si="206"/>
        <v>0</v>
      </c>
      <c r="F342" s="2935"/>
      <c r="G342" s="2936">
        <f t="shared" si="181"/>
        <v>0</v>
      </c>
      <c r="H342" s="2937">
        <f t="shared" si="182"/>
        <v>0</v>
      </c>
      <c r="I342" s="2944"/>
      <c r="J342" s="2944"/>
      <c r="K342" s="2944"/>
      <c r="L342" s="2944"/>
      <c r="M342" s="2944"/>
      <c r="N342" s="2944"/>
      <c r="O342" s="2944"/>
      <c r="P342" s="2944"/>
      <c r="Q342" s="2944"/>
      <c r="R342" s="2944"/>
      <c r="S342" s="2944"/>
      <c r="T342" s="2944"/>
      <c r="U342" s="2944"/>
      <c r="V342" s="2944"/>
      <c r="W342" s="2944"/>
      <c r="X342" s="2944"/>
      <c r="Y342" s="2944"/>
      <c r="Z342" s="2944"/>
      <c r="AA342" s="2944"/>
      <c r="AB342" s="2944"/>
      <c r="AC342" s="2934">
        <f t="shared" si="183"/>
        <v>0</v>
      </c>
      <c r="AD342" s="2954"/>
      <c r="AE342" s="2954"/>
      <c r="AF342" s="2954"/>
      <c r="AG342" s="2954"/>
      <c r="AH342" s="2954"/>
      <c r="AI342" s="2954"/>
      <c r="AJ342" s="2954"/>
      <c r="AK342" s="2954"/>
      <c r="AL342" s="2954"/>
      <c r="AM342" s="2954"/>
      <c r="AN342" s="2954"/>
      <c r="AO342" s="2954"/>
      <c r="AP342" s="2954"/>
      <c r="AQ342" s="2954"/>
      <c r="AR342" s="2954"/>
      <c r="AS342" s="2954"/>
      <c r="AT342" s="2935"/>
      <c r="AU342" s="2964"/>
      <c r="AV342" s="857">
        <f t="shared" si="207"/>
        <v>0</v>
      </c>
      <c r="AW342" s="857">
        <f t="shared" si="208"/>
        <v>0</v>
      </c>
      <c r="AX342" s="857">
        <f t="shared" si="209"/>
        <v>0</v>
      </c>
      <c r="AY342" s="807">
        <f t="shared" si="184"/>
        <v>0</v>
      </c>
      <c r="AZ342" s="2934">
        <f t="shared" si="185"/>
        <v>0</v>
      </c>
      <c r="BA342" s="2934">
        <f t="shared" si="186"/>
        <v>0</v>
      </c>
      <c r="BB342" s="2934">
        <f t="shared" si="187"/>
        <v>0</v>
      </c>
      <c r="BC342" s="2934">
        <f t="shared" si="188"/>
        <v>0</v>
      </c>
      <c r="BD342" s="2934">
        <f t="shared" si="189"/>
        <v>0</v>
      </c>
      <c r="BE342" s="2934">
        <f t="shared" si="190"/>
        <v>0</v>
      </c>
      <c r="BF342" s="2934">
        <f t="shared" si="191"/>
        <v>0</v>
      </c>
      <c r="BG342" s="2934">
        <f t="shared" si="192"/>
        <v>0</v>
      </c>
      <c r="BH342" s="2934">
        <f t="shared" si="193"/>
        <v>0</v>
      </c>
      <c r="BI342" s="2934">
        <f t="shared" si="194"/>
        <v>0</v>
      </c>
      <c r="BJ342" s="2934">
        <f t="shared" si="195"/>
        <v>0</v>
      </c>
      <c r="BK342" s="2934">
        <f t="shared" si="196"/>
        <v>0</v>
      </c>
      <c r="BL342" s="2934">
        <f t="shared" si="197"/>
        <v>0</v>
      </c>
      <c r="BM342" s="2934">
        <f t="shared" si="198"/>
        <v>0</v>
      </c>
      <c r="BN342" s="2934">
        <f t="shared" si="199"/>
        <v>0</v>
      </c>
      <c r="BO342" s="2934">
        <f t="shared" si="200"/>
        <v>0</v>
      </c>
      <c r="BP342" s="2934">
        <f t="shared" si="201"/>
        <v>0</v>
      </c>
      <c r="BQ342" s="2934">
        <f t="shared" si="202"/>
        <v>0</v>
      </c>
      <c r="BR342" s="2934">
        <f t="shared" si="203"/>
        <v>0</v>
      </c>
      <c r="BS342" s="2934">
        <f t="shared" si="204"/>
        <v>0</v>
      </c>
      <c r="BT342" s="2982">
        <f t="shared" si="205"/>
        <v>0</v>
      </c>
    </row>
    <row r="343" spans="1:72">
      <c r="A343" s="874"/>
      <c r="B343" s="882"/>
      <c r="C343" s="882"/>
      <c r="D343" s="2933"/>
      <c r="E343" s="2934">
        <f t="shared" si="206"/>
        <v>0</v>
      </c>
      <c r="F343" s="2935"/>
      <c r="G343" s="2936">
        <f t="shared" si="181"/>
        <v>0</v>
      </c>
      <c r="H343" s="2937">
        <f t="shared" si="182"/>
        <v>0</v>
      </c>
      <c r="I343" s="2944"/>
      <c r="J343" s="2944"/>
      <c r="K343" s="2944"/>
      <c r="L343" s="2944"/>
      <c r="M343" s="2944"/>
      <c r="N343" s="2944"/>
      <c r="O343" s="2944"/>
      <c r="P343" s="2944"/>
      <c r="Q343" s="2944"/>
      <c r="R343" s="2944"/>
      <c r="S343" s="2944"/>
      <c r="T343" s="2944"/>
      <c r="U343" s="2944"/>
      <c r="V343" s="2944"/>
      <c r="W343" s="2944"/>
      <c r="X343" s="2944"/>
      <c r="Y343" s="2944"/>
      <c r="Z343" s="2944"/>
      <c r="AA343" s="2944"/>
      <c r="AB343" s="2944"/>
      <c r="AC343" s="2934">
        <f t="shared" si="183"/>
        <v>0</v>
      </c>
      <c r="AD343" s="2954"/>
      <c r="AE343" s="2954"/>
      <c r="AF343" s="2954"/>
      <c r="AG343" s="2954"/>
      <c r="AH343" s="2954"/>
      <c r="AI343" s="2954"/>
      <c r="AJ343" s="2954"/>
      <c r="AK343" s="2954"/>
      <c r="AL343" s="2954"/>
      <c r="AM343" s="2954"/>
      <c r="AN343" s="2954"/>
      <c r="AO343" s="2954"/>
      <c r="AP343" s="2954"/>
      <c r="AQ343" s="2954"/>
      <c r="AR343" s="2954"/>
      <c r="AS343" s="2954"/>
      <c r="AT343" s="2935"/>
      <c r="AU343" s="2964"/>
      <c r="AV343" s="857">
        <f t="shared" si="207"/>
        <v>0</v>
      </c>
      <c r="AW343" s="857">
        <f t="shared" si="208"/>
        <v>0</v>
      </c>
      <c r="AX343" s="857">
        <f t="shared" si="209"/>
        <v>0</v>
      </c>
      <c r="AY343" s="807">
        <f t="shared" si="184"/>
        <v>0</v>
      </c>
      <c r="AZ343" s="2934">
        <f t="shared" si="185"/>
        <v>0</v>
      </c>
      <c r="BA343" s="2934">
        <f t="shared" si="186"/>
        <v>0</v>
      </c>
      <c r="BB343" s="2934">
        <f t="shared" si="187"/>
        <v>0</v>
      </c>
      <c r="BC343" s="2934">
        <f t="shared" si="188"/>
        <v>0</v>
      </c>
      <c r="BD343" s="2934">
        <f t="shared" si="189"/>
        <v>0</v>
      </c>
      <c r="BE343" s="2934">
        <f t="shared" si="190"/>
        <v>0</v>
      </c>
      <c r="BF343" s="2934">
        <f t="shared" si="191"/>
        <v>0</v>
      </c>
      <c r="BG343" s="2934">
        <f t="shared" si="192"/>
        <v>0</v>
      </c>
      <c r="BH343" s="2934">
        <f t="shared" si="193"/>
        <v>0</v>
      </c>
      <c r="BI343" s="2934">
        <f t="shared" si="194"/>
        <v>0</v>
      </c>
      <c r="BJ343" s="2934">
        <f t="shared" si="195"/>
        <v>0</v>
      </c>
      <c r="BK343" s="2934">
        <f t="shared" si="196"/>
        <v>0</v>
      </c>
      <c r="BL343" s="2934">
        <f t="shared" si="197"/>
        <v>0</v>
      </c>
      <c r="BM343" s="2934">
        <f t="shared" si="198"/>
        <v>0</v>
      </c>
      <c r="BN343" s="2934">
        <f t="shared" si="199"/>
        <v>0</v>
      </c>
      <c r="BO343" s="2934">
        <f t="shared" si="200"/>
        <v>0</v>
      </c>
      <c r="BP343" s="2934">
        <f t="shared" si="201"/>
        <v>0</v>
      </c>
      <c r="BQ343" s="2934">
        <f t="shared" si="202"/>
        <v>0</v>
      </c>
      <c r="BR343" s="2934">
        <f t="shared" si="203"/>
        <v>0</v>
      </c>
      <c r="BS343" s="2934">
        <f t="shared" si="204"/>
        <v>0</v>
      </c>
      <c r="BT343" s="2982">
        <f t="shared" si="205"/>
        <v>0</v>
      </c>
    </row>
    <row r="344" spans="1:72">
      <c r="A344" s="874"/>
      <c r="B344" s="882"/>
      <c r="C344" s="882"/>
      <c r="D344" s="2933"/>
      <c r="E344" s="2934">
        <f t="shared" si="206"/>
        <v>0</v>
      </c>
      <c r="F344" s="2935"/>
      <c r="G344" s="2936">
        <f t="shared" si="181"/>
        <v>0</v>
      </c>
      <c r="H344" s="2937">
        <f t="shared" si="182"/>
        <v>0</v>
      </c>
      <c r="I344" s="2944"/>
      <c r="J344" s="2944"/>
      <c r="K344" s="2944"/>
      <c r="L344" s="2944"/>
      <c r="M344" s="2944"/>
      <c r="N344" s="2944"/>
      <c r="O344" s="2944"/>
      <c r="P344" s="2944"/>
      <c r="Q344" s="2944"/>
      <c r="R344" s="2944"/>
      <c r="S344" s="2944"/>
      <c r="T344" s="2944"/>
      <c r="U344" s="2944"/>
      <c r="V344" s="2944"/>
      <c r="W344" s="2944"/>
      <c r="X344" s="2944"/>
      <c r="Y344" s="2944"/>
      <c r="Z344" s="2944"/>
      <c r="AA344" s="2944"/>
      <c r="AB344" s="2944"/>
      <c r="AC344" s="2934">
        <f t="shared" si="183"/>
        <v>0</v>
      </c>
      <c r="AD344" s="2954"/>
      <c r="AE344" s="2954"/>
      <c r="AF344" s="2954"/>
      <c r="AG344" s="2954"/>
      <c r="AH344" s="2954"/>
      <c r="AI344" s="2954"/>
      <c r="AJ344" s="2954"/>
      <c r="AK344" s="2954"/>
      <c r="AL344" s="2954"/>
      <c r="AM344" s="2954"/>
      <c r="AN344" s="2954"/>
      <c r="AO344" s="2954"/>
      <c r="AP344" s="2954"/>
      <c r="AQ344" s="2954"/>
      <c r="AR344" s="2954"/>
      <c r="AS344" s="2954"/>
      <c r="AT344" s="2935"/>
      <c r="AU344" s="2964"/>
      <c r="AV344" s="857">
        <f t="shared" si="207"/>
        <v>0</v>
      </c>
      <c r="AW344" s="857">
        <f t="shared" si="208"/>
        <v>0</v>
      </c>
      <c r="AX344" s="857">
        <f t="shared" si="209"/>
        <v>0</v>
      </c>
      <c r="AY344" s="807">
        <f t="shared" si="184"/>
        <v>0</v>
      </c>
      <c r="AZ344" s="2934">
        <f t="shared" si="185"/>
        <v>0</v>
      </c>
      <c r="BA344" s="2934">
        <f t="shared" si="186"/>
        <v>0</v>
      </c>
      <c r="BB344" s="2934">
        <f t="shared" si="187"/>
        <v>0</v>
      </c>
      <c r="BC344" s="2934">
        <f t="shared" si="188"/>
        <v>0</v>
      </c>
      <c r="BD344" s="2934">
        <f t="shared" si="189"/>
        <v>0</v>
      </c>
      <c r="BE344" s="2934">
        <f t="shared" si="190"/>
        <v>0</v>
      </c>
      <c r="BF344" s="2934">
        <f t="shared" si="191"/>
        <v>0</v>
      </c>
      <c r="BG344" s="2934">
        <f t="shared" si="192"/>
        <v>0</v>
      </c>
      <c r="BH344" s="2934">
        <f t="shared" si="193"/>
        <v>0</v>
      </c>
      <c r="BI344" s="2934">
        <f t="shared" si="194"/>
        <v>0</v>
      </c>
      <c r="BJ344" s="2934">
        <f t="shared" si="195"/>
        <v>0</v>
      </c>
      <c r="BK344" s="2934">
        <f t="shared" si="196"/>
        <v>0</v>
      </c>
      <c r="BL344" s="2934">
        <f t="shared" si="197"/>
        <v>0</v>
      </c>
      <c r="BM344" s="2934">
        <f t="shared" si="198"/>
        <v>0</v>
      </c>
      <c r="BN344" s="2934">
        <f t="shared" si="199"/>
        <v>0</v>
      </c>
      <c r="BO344" s="2934">
        <f t="shared" si="200"/>
        <v>0</v>
      </c>
      <c r="BP344" s="2934">
        <f t="shared" si="201"/>
        <v>0</v>
      </c>
      <c r="BQ344" s="2934">
        <f t="shared" si="202"/>
        <v>0</v>
      </c>
      <c r="BR344" s="2934">
        <f t="shared" si="203"/>
        <v>0</v>
      </c>
      <c r="BS344" s="2934">
        <f t="shared" si="204"/>
        <v>0</v>
      </c>
      <c r="BT344" s="2982">
        <f t="shared" si="205"/>
        <v>0</v>
      </c>
    </row>
    <row r="345" spans="1:72">
      <c r="A345" s="874"/>
      <c r="B345" s="882"/>
      <c r="C345" s="882"/>
      <c r="D345" s="2933"/>
      <c r="E345" s="2934">
        <f t="shared" si="206"/>
        <v>0</v>
      </c>
      <c r="F345" s="2935"/>
      <c r="G345" s="2936">
        <f t="shared" si="181"/>
        <v>0</v>
      </c>
      <c r="H345" s="2937">
        <f t="shared" si="182"/>
        <v>0</v>
      </c>
      <c r="I345" s="2944"/>
      <c r="J345" s="2944"/>
      <c r="K345" s="2944"/>
      <c r="L345" s="2944"/>
      <c r="M345" s="2944"/>
      <c r="N345" s="2944"/>
      <c r="O345" s="2944"/>
      <c r="P345" s="2944"/>
      <c r="Q345" s="2944"/>
      <c r="R345" s="2944"/>
      <c r="S345" s="2944"/>
      <c r="T345" s="2944"/>
      <c r="U345" s="2944"/>
      <c r="V345" s="2944"/>
      <c r="W345" s="2944"/>
      <c r="X345" s="2944"/>
      <c r="Y345" s="2944"/>
      <c r="Z345" s="2944"/>
      <c r="AA345" s="2944"/>
      <c r="AB345" s="2944"/>
      <c r="AC345" s="2934">
        <f t="shared" si="183"/>
        <v>0</v>
      </c>
      <c r="AD345" s="2954"/>
      <c r="AE345" s="2954"/>
      <c r="AF345" s="2954"/>
      <c r="AG345" s="2954"/>
      <c r="AH345" s="2954"/>
      <c r="AI345" s="2954"/>
      <c r="AJ345" s="2954"/>
      <c r="AK345" s="2954"/>
      <c r="AL345" s="2954"/>
      <c r="AM345" s="2954"/>
      <c r="AN345" s="2954"/>
      <c r="AO345" s="2954"/>
      <c r="AP345" s="2954"/>
      <c r="AQ345" s="2954"/>
      <c r="AR345" s="2954"/>
      <c r="AS345" s="2954"/>
      <c r="AT345" s="2935"/>
      <c r="AU345" s="2964"/>
      <c r="AV345" s="857">
        <f t="shared" si="207"/>
        <v>0</v>
      </c>
      <c r="AW345" s="857">
        <f t="shared" si="208"/>
        <v>0</v>
      </c>
      <c r="AX345" s="857">
        <f t="shared" si="209"/>
        <v>0</v>
      </c>
      <c r="AY345" s="807">
        <f t="shared" si="184"/>
        <v>0</v>
      </c>
      <c r="AZ345" s="2934">
        <f t="shared" si="185"/>
        <v>0</v>
      </c>
      <c r="BA345" s="2934">
        <f t="shared" si="186"/>
        <v>0</v>
      </c>
      <c r="BB345" s="2934">
        <f t="shared" si="187"/>
        <v>0</v>
      </c>
      <c r="BC345" s="2934">
        <f t="shared" si="188"/>
        <v>0</v>
      </c>
      <c r="BD345" s="2934">
        <f t="shared" si="189"/>
        <v>0</v>
      </c>
      <c r="BE345" s="2934">
        <f t="shared" si="190"/>
        <v>0</v>
      </c>
      <c r="BF345" s="2934">
        <f t="shared" si="191"/>
        <v>0</v>
      </c>
      <c r="BG345" s="2934">
        <f t="shared" si="192"/>
        <v>0</v>
      </c>
      <c r="BH345" s="2934">
        <f t="shared" si="193"/>
        <v>0</v>
      </c>
      <c r="BI345" s="2934">
        <f t="shared" si="194"/>
        <v>0</v>
      </c>
      <c r="BJ345" s="2934">
        <f t="shared" si="195"/>
        <v>0</v>
      </c>
      <c r="BK345" s="2934">
        <f t="shared" si="196"/>
        <v>0</v>
      </c>
      <c r="BL345" s="2934">
        <f t="shared" si="197"/>
        <v>0</v>
      </c>
      <c r="BM345" s="2934">
        <f t="shared" si="198"/>
        <v>0</v>
      </c>
      <c r="BN345" s="2934">
        <f t="shared" si="199"/>
        <v>0</v>
      </c>
      <c r="BO345" s="2934">
        <f t="shared" si="200"/>
        <v>0</v>
      </c>
      <c r="BP345" s="2934">
        <f t="shared" si="201"/>
        <v>0</v>
      </c>
      <c r="BQ345" s="2934">
        <f t="shared" si="202"/>
        <v>0</v>
      </c>
      <c r="BR345" s="2934">
        <f t="shared" si="203"/>
        <v>0</v>
      </c>
      <c r="BS345" s="2934">
        <f t="shared" si="204"/>
        <v>0</v>
      </c>
      <c r="BT345" s="2982">
        <f t="shared" si="205"/>
        <v>0</v>
      </c>
    </row>
    <row r="346" spans="1:72">
      <c r="A346" s="874"/>
      <c r="B346" s="882"/>
      <c r="C346" s="882"/>
      <c r="D346" s="2933"/>
      <c r="E346" s="2934">
        <f t="shared" si="206"/>
        <v>0</v>
      </c>
      <c r="F346" s="2935"/>
      <c r="G346" s="2936">
        <f t="shared" si="181"/>
        <v>0</v>
      </c>
      <c r="H346" s="2937">
        <f t="shared" si="182"/>
        <v>0</v>
      </c>
      <c r="I346" s="2944"/>
      <c r="J346" s="2944"/>
      <c r="K346" s="2944"/>
      <c r="L346" s="2944"/>
      <c r="M346" s="2944"/>
      <c r="N346" s="2944"/>
      <c r="O346" s="2944"/>
      <c r="P346" s="2944"/>
      <c r="Q346" s="2944"/>
      <c r="R346" s="2944"/>
      <c r="S346" s="2944"/>
      <c r="T346" s="2944"/>
      <c r="U346" s="2944"/>
      <c r="V346" s="2944"/>
      <c r="W346" s="2944"/>
      <c r="X346" s="2944"/>
      <c r="Y346" s="2944"/>
      <c r="Z346" s="2944"/>
      <c r="AA346" s="2944"/>
      <c r="AB346" s="2944"/>
      <c r="AC346" s="2934">
        <f t="shared" si="183"/>
        <v>0</v>
      </c>
      <c r="AD346" s="2954"/>
      <c r="AE346" s="2954"/>
      <c r="AF346" s="2954"/>
      <c r="AG346" s="2954"/>
      <c r="AH346" s="2954"/>
      <c r="AI346" s="2954"/>
      <c r="AJ346" s="2954"/>
      <c r="AK346" s="2954"/>
      <c r="AL346" s="2954"/>
      <c r="AM346" s="2954"/>
      <c r="AN346" s="2954"/>
      <c r="AO346" s="2954"/>
      <c r="AP346" s="2954"/>
      <c r="AQ346" s="2954"/>
      <c r="AR346" s="2954"/>
      <c r="AS346" s="2954"/>
      <c r="AT346" s="2935"/>
      <c r="AU346" s="2964"/>
      <c r="AV346" s="857">
        <f t="shared" si="207"/>
        <v>0</v>
      </c>
      <c r="AW346" s="857">
        <f t="shared" si="208"/>
        <v>0</v>
      </c>
      <c r="AX346" s="857">
        <f t="shared" si="209"/>
        <v>0</v>
      </c>
      <c r="AY346" s="807">
        <f t="shared" si="184"/>
        <v>0</v>
      </c>
      <c r="AZ346" s="2934">
        <f t="shared" si="185"/>
        <v>0</v>
      </c>
      <c r="BA346" s="2934">
        <f t="shared" si="186"/>
        <v>0</v>
      </c>
      <c r="BB346" s="2934">
        <f t="shared" si="187"/>
        <v>0</v>
      </c>
      <c r="BC346" s="2934">
        <f t="shared" si="188"/>
        <v>0</v>
      </c>
      <c r="BD346" s="2934">
        <f t="shared" si="189"/>
        <v>0</v>
      </c>
      <c r="BE346" s="2934">
        <f t="shared" si="190"/>
        <v>0</v>
      </c>
      <c r="BF346" s="2934">
        <f t="shared" si="191"/>
        <v>0</v>
      </c>
      <c r="BG346" s="2934">
        <f t="shared" si="192"/>
        <v>0</v>
      </c>
      <c r="BH346" s="2934">
        <f t="shared" si="193"/>
        <v>0</v>
      </c>
      <c r="BI346" s="2934">
        <f t="shared" si="194"/>
        <v>0</v>
      </c>
      <c r="BJ346" s="2934">
        <f t="shared" si="195"/>
        <v>0</v>
      </c>
      <c r="BK346" s="2934">
        <f t="shared" si="196"/>
        <v>0</v>
      </c>
      <c r="BL346" s="2934">
        <f t="shared" si="197"/>
        <v>0</v>
      </c>
      <c r="BM346" s="2934">
        <f t="shared" si="198"/>
        <v>0</v>
      </c>
      <c r="BN346" s="2934">
        <f t="shared" si="199"/>
        <v>0</v>
      </c>
      <c r="BO346" s="2934">
        <f t="shared" si="200"/>
        <v>0</v>
      </c>
      <c r="BP346" s="2934">
        <f t="shared" si="201"/>
        <v>0</v>
      </c>
      <c r="BQ346" s="2934">
        <f t="shared" si="202"/>
        <v>0</v>
      </c>
      <c r="BR346" s="2934">
        <f t="shared" si="203"/>
        <v>0</v>
      </c>
      <c r="BS346" s="2934">
        <f t="shared" si="204"/>
        <v>0</v>
      </c>
      <c r="BT346" s="2982">
        <f t="shared" si="205"/>
        <v>0</v>
      </c>
    </row>
    <row r="347" spans="1:72">
      <c r="A347" s="874"/>
      <c r="B347" s="882"/>
      <c r="C347" s="882"/>
      <c r="D347" s="2933"/>
      <c r="E347" s="2934">
        <f t="shared" si="206"/>
        <v>0</v>
      </c>
      <c r="F347" s="2935"/>
      <c r="G347" s="2936">
        <f t="shared" si="181"/>
        <v>0</v>
      </c>
      <c r="H347" s="2937">
        <f t="shared" si="182"/>
        <v>0</v>
      </c>
      <c r="I347" s="2944"/>
      <c r="J347" s="2944"/>
      <c r="K347" s="2944"/>
      <c r="L347" s="2944"/>
      <c r="M347" s="2944"/>
      <c r="N347" s="2944"/>
      <c r="O347" s="2944"/>
      <c r="P347" s="2944"/>
      <c r="Q347" s="2944"/>
      <c r="R347" s="2944"/>
      <c r="S347" s="2944"/>
      <c r="T347" s="2944"/>
      <c r="U347" s="2944"/>
      <c r="V347" s="2944"/>
      <c r="W347" s="2944"/>
      <c r="X347" s="2944"/>
      <c r="Y347" s="2944"/>
      <c r="Z347" s="2944"/>
      <c r="AA347" s="2944"/>
      <c r="AB347" s="2944"/>
      <c r="AC347" s="2934">
        <f t="shared" si="183"/>
        <v>0</v>
      </c>
      <c r="AD347" s="2954"/>
      <c r="AE347" s="2954"/>
      <c r="AF347" s="2954"/>
      <c r="AG347" s="2954"/>
      <c r="AH347" s="2954"/>
      <c r="AI347" s="2954"/>
      <c r="AJ347" s="2954"/>
      <c r="AK347" s="2954"/>
      <c r="AL347" s="2954"/>
      <c r="AM347" s="2954"/>
      <c r="AN347" s="2954"/>
      <c r="AO347" s="2954"/>
      <c r="AP347" s="2954"/>
      <c r="AQ347" s="2954"/>
      <c r="AR347" s="2954"/>
      <c r="AS347" s="2954"/>
      <c r="AT347" s="2935"/>
      <c r="AU347" s="2964"/>
      <c r="AV347" s="857">
        <f t="shared" si="207"/>
        <v>0</v>
      </c>
      <c r="AW347" s="857">
        <f t="shared" si="208"/>
        <v>0</v>
      </c>
      <c r="AX347" s="857">
        <f t="shared" si="209"/>
        <v>0</v>
      </c>
      <c r="AY347" s="807">
        <f t="shared" si="184"/>
        <v>0</v>
      </c>
      <c r="AZ347" s="2934">
        <f t="shared" si="185"/>
        <v>0</v>
      </c>
      <c r="BA347" s="2934">
        <f t="shared" si="186"/>
        <v>0</v>
      </c>
      <c r="BB347" s="2934">
        <f t="shared" si="187"/>
        <v>0</v>
      </c>
      <c r="BC347" s="2934">
        <f t="shared" si="188"/>
        <v>0</v>
      </c>
      <c r="BD347" s="2934">
        <f t="shared" si="189"/>
        <v>0</v>
      </c>
      <c r="BE347" s="2934">
        <f t="shared" si="190"/>
        <v>0</v>
      </c>
      <c r="BF347" s="2934">
        <f t="shared" si="191"/>
        <v>0</v>
      </c>
      <c r="BG347" s="2934">
        <f t="shared" si="192"/>
        <v>0</v>
      </c>
      <c r="BH347" s="2934">
        <f t="shared" si="193"/>
        <v>0</v>
      </c>
      <c r="BI347" s="2934">
        <f t="shared" si="194"/>
        <v>0</v>
      </c>
      <c r="BJ347" s="2934">
        <f t="shared" si="195"/>
        <v>0</v>
      </c>
      <c r="BK347" s="2934">
        <f t="shared" si="196"/>
        <v>0</v>
      </c>
      <c r="BL347" s="2934">
        <f t="shared" si="197"/>
        <v>0</v>
      </c>
      <c r="BM347" s="2934">
        <f t="shared" si="198"/>
        <v>0</v>
      </c>
      <c r="BN347" s="2934">
        <f t="shared" si="199"/>
        <v>0</v>
      </c>
      <c r="BO347" s="2934">
        <f t="shared" si="200"/>
        <v>0</v>
      </c>
      <c r="BP347" s="2934">
        <f t="shared" si="201"/>
        <v>0</v>
      </c>
      <c r="BQ347" s="2934">
        <f t="shared" si="202"/>
        <v>0</v>
      </c>
      <c r="BR347" s="2934">
        <f t="shared" si="203"/>
        <v>0</v>
      </c>
      <c r="BS347" s="2934">
        <f t="shared" si="204"/>
        <v>0</v>
      </c>
      <c r="BT347" s="2982">
        <f t="shared" si="205"/>
        <v>0</v>
      </c>
    </row>
    <row r="348" spans="1:72">
      <c r="A348" s="874"/>
      <c r="B348" s="882"/>
      <c r="C348" s="882"/>
      <c r="D348" s="2933"/>
      <c r="E348" s="2934">
        <f t="shared" si="206"/>
        <v>0</v>
      </c>
      <c r="F348" s="2935"/>
      <c r="G348" s="2936">
        <f t="shared" si="181"/>
        <v>0</v>
      </c>
      <c r="H348" s="2937">
        <f t="shared" si="182"/>
        <v>0</v>
      </c>
      <c r="I348" s="2944"/>
      <c r="J348" s="2944"/>
      <c r="K348" s="2944"/>
      <c r="L348" s="2944"/>
      <c r="M348" s="2944"/>
      <c r="N348" s="2944"/>
      <c r="O348" s="2944"/>
      <c r="P348" s="2944"/>
      <c r="Q348" s="2944"/>
      <c r="R348" s="2944"/>
      <c r="S348" s="2944"/>
      <c r="T348" s="2944"/>
      <c r="U348" s="2944"/>
      <c r="V348" s="2944"/>
      <c r="W348" s="2944"/>
      <c r="X348" s="2944"/>
      <c r="Y348" s="2944"/>
      <c r="Z348" s="2944"/>
      <c r="AA348" s="2944"/>
      <c r="AB348" s="2944"/>
      <c r="AC348" s="2934">
        <f t="shared" si="183"/>
        <v>0</v>
      </c>
      <c r="AD348" s="2954"/>
      <c r="AE348" s="2954"/>
      <c r="AF348" s="2954"/>
      <c r="AG348" s="2954"/>
      <c r="AH348" s="2954"/>
      <c r="AI348" s="2954"/>
      <c r="AJ348" s="2954"/>
      <c r="AK348" s="2954"/>
      <c r="AL348" s="2954"/>
      <c r="AM348" s="2954"/>
      <c r="AN348" s="2954"/>
      <c r="AO348" s="2954"/>
      <c r="AP348" s="2954"/>
      <c r="AQ348" s="2954"/>
      <c r="AR348" s="2954"/>
      <c r="AS348" s="2954"/>
      <c r="AT348" s="2935"/>
      <c r="AU348" s="2964"/>
      <c r="AV348" s="857">
        <f t="shared" si="207"/>
        <v>0</v>
      </c>
      <c r="AW348" s="857">
        <f t="shared" si="208"/>
        <v>0</v>
      </c>
      <c r="AX348" s="857">
        <f t="shared" si="209"/>
        <v>0</v>
      </c>
      <c r="AY348" s="807">
        <f t="shared" si="184"/>
        <v>0</v>
      </c>
      <c r="AZ348" s="2934">
        <f t="shared" si="185"/>
        <v>0</v>
      </c>
      <c r="BA348" s="2934">
        <f t="shared" si="186"/>
        <v>0</v>
      </c>
      <c r="BB348" s="2934">
        <f t="shared" si="187"/>
        <v>0</v>
      </c>
      <c r="BC348" s="2934">
        <f t="shared" si="188"/>
        <v>0</v>
      </c>
      <c r="BD348" s="2934">
        <f t="shared" si="189"/>
        <v>0</v>
      </c>
      <c r="BE348" s="2934">
        <f t="shared" si="190"/>
        <v>0</v>
      </c>
      <c r="BF348" s="2934">
        <f t="shared" si="191"/>
        <v>0</v>
      </c>
      <c r="BG348" s="2934">
        <f t="shared" si="192"/>
        <v>0</v>
      </c>
      <c r="BH348" s="2934">
        <f t="shared" si="193"/>
        <v>0</v>
      </c>
      <c r="BI348" s="2934">
        <f t="shared" si="194"/>
        <v>0</v>
      </c>
      <c r="BJ348" s="2934">
        <f t="shared" si="195"/>
        <v>0</v>
      </c>
      <c r="BK348" s="2934">
        <f t="shared" si="196"/>
        <v>0</v>
      </c>
      <c r="BL348" s="2934">
        <f t="shared" si="197"/>
        <v>0</v>
      </c>
      <c r="BM348" s="2934">
        <f t="shared" si="198"/>
        <v>0</v>
      </c>
      <c r="BN348" s="2934">
        <f t="shared" si="199"/>
        <v>0</v>
      </c>
      <c r="BO348" s="2934">
        <f t="shared" si="200"/>
        <v>0</v>
      </c>
      <c r="BP348" s="2934">
        <f t="shared" si="201"/>
        <v>0</v>
      </c>
      <c r="BQ348" s="2934">
        <f t="shared" si="202"/>
        <v>0</v>
      </c>
      <c r="BR348" s="2934">
        <f t="shared" si="203"/>
        <v>0</v>
      </c>
      <c r="BS348" s="2934">
        <f t="shared" si="204"/>
        <v>0</v>
      </c>
      <c r="BT348" s="2982">
        <f t="shared" si="205"/>
        <v>0</v>
      </c>
    </row>
    <row r="349" spans="1:72">
      <c r="A349" s="874"/>
      <c r="B349" s="882"/>
      <c r="C349" s="882"/>
      <c r="D349" s="2933"/>
      <c r="E349" s="2934">
        <f t="shared" si="206"/>
        <v>0</v>
      </c>
      <c r="F349" s="2935"/>
      <c r="G349" s="2936">
        <f t="shared" si="181"/>
        <v>0</v>
      </c>
      <c r="H349" s="2937">
        <f t="shared" si="182"/>
        <v>0</v>
      </c>
      <c r="I349" s="2944"/>
      <c r="J349" s="2944"/>
      <c r="K349" s="2944"/>
      <c r="L349" s="2944"/>
      <c r="M349" s="2944"/>
      <c r="N349" s="2944"/>
      <c r="O349" s="2944"/>
      <c r="P349" s="2944"/>
      <c r="Q349" s="2944"/>
      <c r="R349" s="2944"/>
      <c r="S349" s="2944"/>
      <c r="T349" s="2944"/>
      <c r="U349" s="2944"/>
      <c r="V349" s="2944"/>
      <c r="W349" s="2944"/>
      <c r="X349" s="2944"/>
      <c r="Y349" s="2944"/>
      <c r="Z349" s="2944"/>
      <c r="AA349" s="2944"/>
      <c r="AB349" s="2944"/>
      <c r="AC349" s="2934">
        <f t="shared" si="183"/>
        <v>0</v>
      </c>
      <c r="AD349" s="2954"/>
      <c r="AE349" s="2954"/>
      <c r="AF349" s="2954"/>
      <c r="AG349" s="2954"/>
      <c r="AH349" s="2954"/>
      <c r="AI349" s="2954"/>
      <c r="AJ349" s="2954"/>
      <c r="AK349" s="2954"/>
      <c r="AL349" s="2954"/>
      <c r="AM349" s="2954"/>
      <c r="AN349" s="2954"/>
      <c r="AO349" s="2954"/>
      <c r="AP349" s="2954"/>
      <c r="AQ349" s="2954"/>
      <c r="AR349" s="2954"/>
      <c r="AS349" s="2954"/>
      <c r="AT349" s="2935"/>
      <c r="AU349" s="2964"/>
      <c r="AV349" s="857">
        <f t="shared" si="207"/>
        <v>0</v>
      </c>
      <c r="AW349" s="857">
        <f t="shared" si="208"/>
        <v>0</v>
      </c>
      <c r="AX349" s="857">
        <f t="shared" si="209"/>
        <v>0</v>
      </c>
      <c r="AY349" s="807">
        <f t="shared" si="184"/>
        <v>0</v>
      </c>
      <c r="AZ349" s="2934">
        <f t="shared" si="185"/>
        <v>0</v>
      </c>
      <c r="BA349" s="2934">
        <f t="shared" si="186"/>
        <v>0</v>
      </c>
      <c r="BB349" s="2934">
        <f t="shared" si="187"/>
        <v>0</v>
      </c>
      <c r="BC349" s="2934">
        <f t="shared" si="188"/>
        <v>0</v>
      </c>
      <c r="BD349" s="2934">
        <f t="shared" si="189"/>
        <v>0</v>
      </c>
      <c r="BE349" s="2934">
        <f t="shared" si="190"/>
        <v>0</v>
      </c>
      <c r="BF349" s="2934">
        <f t="shared" si="191"/>
        <v>0</v>
      </c>
      <c r="BG349" s="2934">
        <f t="shared" si="192"/>
        <v>0</v>
      </c>
      <c r="BH349" s="2934">
        <f t="shared" si="193"/>
        <v>0</v>
      </c>
      <c r="BI349" s="2934">
        <f t="shared" si="194"/>
        <v>0</v>
      </c>
      <c r="BJ349" s="2934">
        <f t="shared" si="195"/>
        <v>0</v>
      </c>
      <c r="BK349" s="2934">
        <f t="shared" si="196"/>
        <v>0</v>
      </c>
      <c r="BL349" s="2934">
        <f t="shared" si="197"/>
        <v>0</v>
      </c>
      <c r="BM349" s="2934">
        <f t="shared" si="198"/>
        <v>0</v>
      </c>
      <c r="BN349" s="2934">
        <f t="shared" si="199"/>
        <v>0</v>
      </c>
      <c r="BO349" s="2934">
        <f t="shared" si="200"/>
        <v>0</v>
      </c>
      <c r="BP349" s="2934">
        <f t="shared" si="201"/>
        <v>0</v>
      </c>
      <c r="BQ349" s="2934">
        <f t="shared" si="202"/>
        <v>0</v>
      </c>
      <c r="BR349" s="2934">
        <f t="shared" si="203"/>
        <v>0</v>
      </c>
      <c r="BS349" s="2934">
        <f t="shared" si="204"/>
        <v>0</v>
      </c>
      <c r="BT349" s="2982">
        <f t="shared" si="205"/>
        <v>0</v>
      </c>
    </row>
    <row r="350" spans="1:72">
      <c r="A350" s="874"/>
      <c r="B350" s="882"/>
      <c r="C350" s="882"/>
      <c r="D350" s="2933"/>
      <c r="E350" s="2934">
        <f t="shared" si="206"/>
        <v>0</v>
      </c>
      <c r="F350" s="2935"/>
      <c r="G350" s="2936">
        <f t="shared" si="181"/>
        <v>0</v>
      </c>
      <c r="H350" s="2937">
        <f t="shared" si="182"/>
        <v>0</v>
      </c>
      <c r="I350" s="2944"/>
      <c r="J350" s="2944"/>
      <c r="K350" s="2944"/>
      <c r="L350" s="2944"/>
      <c r="M350" s="2944"/>
      <c r="N350" s="2944"/>
      <c r="O350" s="2944"/>
      <c r="P350" s="2944"/>
      <c r="Q350" s="2944"/>
      <c r="R350" s="2944"/>
      <c r="S350" s="2944"/>
      <c r="T350" s="2944"/>
      <c r="U350" s="2944"/>
      <c r="V350" s="2944"/>
      <c r="W350" s="2944"/>
      <c r="X350" s="2944"/>
      <c r="Y350" s="2944"/>
      <c r="Z350" s="2944"/>
      <c r="AA350" s="2944"/>
      <c r="AB350" s="2944"/>
      <c r="AC350" s="2934">
        <f t="shared" si="183"/>
        <v>0</v>
      </c>
      <c r="AD350" s="2954"/>
      <c r="AE350" s="2954"/>
      <c r="AF350" s="2954"/>
      <c r="AG350" s="2954"/>
      <c r="AH350" s="2954"/>
      <c r="AI350" s="2954"/>
      <c r="AJ350" s="2954"/>
      <c r="AK350" s="2954"/>
      <c r="AL350" s="2954"/>
      <c r="AM350" s="2954"/>
      <c r="AN350" s="2954"/>
      <c r="AO350" s="2954"/>
      <c r="AP350" s="2954"/>
      <c r="AQ350" s="2954"/>
      <c r="AR350" s="2954"/>
      <c r="AS350" s="2954"/>
      <c r="AT350" s="2935"/>
      <c r="AU350" s="2964"/>
      <c r="AV350" s="857">
        <f t="shared" si="207"/>
        <v>0</v>
      </c>
      <c r="AW350" s="857">
        <f t="shared" si="208"/>
        <v>0</v>
      </c>
      <c r="AX350" s="857">
        <f t="shared" si="209"/>
        <v>0</v>
      </c>
      <c r="AY350" s="807">
        <f t="shared" si="184"/>
        <v>0</v>
      </c>
      <c r="AZ350" s="2934">
        <f t="shared" si="185"/>
        <v>0</v>
      </c>
      <c r="BA350" s="2934">
        <f t="shared" si="186"/>
        <v>0</v>
      </c>
      <c r="BB350" s="2934">
        <f t="shared" si="187"/>
        <v>0</v>
      </c>
      <c r="BC350" s="2934">
        <f t="shared" si="188"/>
        <v>0</v>
      </c>
      <c r="BD350" s="2934">
        <f t="shared" si="189"/>
        <v>0</v>
      </c>
      <c r="BE350" s="2934">
        <f t="shared" si="190"/>
        <v>0</v>
      </c>
      <c r="BF350" s="2934">
        <f t="shared" si="191"/>
        <v>0</v>
      </c>
      <c r="BG350" s="2934">
        <f t="shared" si="192"/>
        <v>0</v>
      </c>
      <c r="BH350" s="2934">
        <f t="shared" si="193"/>
        <v>0</v>
      </c>
      <c r="BI350" s="2934">
        <f t="shared" si="194"/>
        <v>0</v>
      </c>
      <c r="BJ350" s="2934">
        <f t="shared" si="195"/>
        <v>0</v>
      </c>
      <c r="BK350" s="2934">
        <f t="shared" si="196"/>
        <v>0</v>
      </c>
      <c r="BL350" s="2934">
        <f t="shared" si="197"/>
        <v>0</v>
      </c>
      <c r="BM350" s="2934">
        <f t="shared" si="198"/>
        <v>0</v>
      </c>
      <c r="BN350" s="2934">
        <f t="shared" si="199"/>
        <v>0</v>
      </c>
      <c r="BO350" s="2934">
        <f t="shared" si="200"/>
        <v>0</v>
      </c>
      <c r="BP350" s="2934">
        <f t="shared" si="201"/>
        <v>0</v>
      </c>
      <c r="BQ350" s="2934">
        <f t="shared" si="202"/>
        <v>0</v>
      </c>
      <c r="BR350" s="2934">
        <f t="shared" si="203"/>
        <v>0</v>
      </c>
      <c r="BS350" s="2934">
        <f t="shared" si="204"/>
        <v>0</v>
      </c>
      <c r="BT350" s="2982">
        <f t="shared" si="205"/>
        <v>0</v>
      </c>
    </row>
    <row r="351" spans="1:72">
      <c r="A351" s="874"/>
      <c r="B351" s="882"/>
      <c r="C351" s="882"/>
      <c r="D351" s="2933"/>
      <c r="E351" s="2934">
        <f t="shared" si="206"/>
        <v>0</v>
      </c>
      <c r="F351" s="2935"/>
      <c r="G351" s="2936">
        <f t="shared" si="181"/>
        <v>0</v>
      </c>
      <c r="H351" s="2937">
        <f t="shared" si="182"/>
        <v>0</v>
      </c>
      <c r="I351" s="2944"/>
      <c r="J351" s="2944"/>
      <c r="K351" s="2944"/>
      <c r="L351" s="2944"/>
      <c r="M351" s="2944"/>
      <c r="N351" s="2944"/>
      <c r="O351" s="2944"/>
      <c r="P351" s="2944"/>
      <c r="Q351" s="2944"/>
      <c r="R351" s="2944"/>
      <c r="S351" s="2944"/>
      <c r="T351" s="2944"/>
      <c r="U351" s="2944"/>
      <c r="V351" s="2944"/>
      <c r="W351" s="2944"/>
      <c r="X351" s="2944"/>
      <c r="Y351" s="2944"/>
      <c r="Z351" s="2944"/>
      <c r="AA351" s="2944"/>
      <c r="AB351" s="2944"/>
      <c r="AC351" s="2934">
        <f t="shared" si="183"/>
        <v>0</v>
      </c>
      <c r="AD351" s="2954"/>
      <c r="AE351" s="2954"/>
      <c r="AF351" s="2954"/>
      <c r="AG351" s="2954"/>
      <c r="AH351" s="2954"/>
      <c r="AI351" s="2954"/>
      <c r="AJ351" s="2954"/>
      <c r="AK351" s="2954"/>
      <c r="AL351" s="2954"/>
      <c r="AM351" s="2954"/>
      <c r="AN351" s="2954"/>
      <c r="AO351" s="2954"/>
      <c r="AP351" s="2954"/>
      <c r="AQ351" s="2954"/>
      <c r="AR351" s="2954"/>
      <c r="AS351" s="2954"/>
      <c r="AT351" s="2935"/>
      <c r="AU351" s="2964"/>
      <c r="AV351" s="857">
        <f t="shared" si="207"/>
        <v>0</v>
      </c>
      <c r="AW351" s="857">
        <f t="shared" si="208"/>
        <v>0</v>
      </c>
      <c r="AX351" s="857">
        <f t="shared" si="209"/>
        <v>0</v>
      </c>
      <c r="AY351" s="807">
        <f t="shared" si="184"/>
        <v>0</v>
      </c>
      <c r="AZ351" s="2934">
        <f t="shared" si="185"/>
        <v>0</v>
      </c>
      <c r="BA351" s="2934">
        <f t="shared" si="186"/>
        <v>0</v>
      </c>
      <c r="BB351" s="2934">
        <f t="shared" si="187"/>
        <v>0</v>
      </c>
      <c r="BC351" s="2934">
        <f t="shared" si="188"/>
        <v>0</v>
      </c>
      <c r="BD351" s="2934">
        <f t="shared" si="189"/>
        <v>0</v>
      </c>
      <c r="BE351" s="2934">
        <f t="shared" si="190"/>
        <v>0</v>
      </c>
      <c r="BF351" s="2934">
        <f t="shared" si="191"/>
        <v>0</v>
      </c>
      <c r="BG351" s="2934">
        <f t="shared" si="192"/>
        <v>0</v>
      </c>
      <c r="BH351" s="2934">
        <f t="shared" si="193"/>
        <v>0</v>
      </c>
      <c r="BI351" s="2934">
        <f t="shared" si="194"/>
        <v>0</v>
      </c>
      <c r="BJ351" s="2934">
        <f t="shared" si="195"/>
        <v>0</v>
      </c>
      <c r="BK351" s="2934">
        <f t="shared" si="196"/>
        <v>0</v>
      </c>
      <c r="BL351" s="2934">
        <f t="shared" si="197"/>
        <v>0</v>
      </c>
      <c r="BM351" s="2934">
        <f t="shared" si="198"/>
        <v>0</v>
      </c>
      <c r="BN351" s="2934">
        <f t="shared" si="199"/>
        <v>0</v>
      </c>
      <c r="BO351" s="2934">
        <f t="shared" si="200"/>
        <v>0</v>
      </c>
      <c r="BP351" s="2934">
        <f t="shared" si="201"/>
        <v>0</v>
      </c>
      <c r="BQ351" s="2934">
        <f t="shared" si="202"/>
        <v>0</v>
      </c>
      <c r="BR351" s="2934">
        <f t="shared" si="203"/>
        <v>0</v>
      </c>
      <c r="BS351" s="2934">
        <f t="shared" si="204"/>
        <v>0</v>
      </c>
      <c r="BT351" s="2982">
        <f t="shared" si="205"/>
        <v>0</v>
      </c>
    </row>
    <row r="352" spans="1:72">
      <c r="A352" s="874"/>
      <c r="B352" s="882"/>
      <c r="C352" s="882"/>
      <c r="D352" s="2933"/>
      <c r="E352" s="2934">
        <f t="shared" si="206"/>
        <v>0</v>
      </c>
      <c r="F352" s="2935"/>
      <c r="G352" s="2936">
        <f t="shared" si="181"/>
        <v>0</v>
      </c>
      <c r="H352" s="2937">
        <f t="shared" si="182"/>
        <v>0</v>
      </c>
      <c r="I352" s="2944"/>
      <c r="J352" s="2944"/>
      <c r="K352" s="2944"/>
      <c r="L352" s="2944"/>
      <c r="M352" s="2944"/>
      <c r="N352" s="2944"/>
      <c r="O352" s="2944"/>
      <c r="P352" s="2944"/>
      <c r="Q352" s="2944"/>
      <c r="R352" s="2944"/>
      <c r="S352" s="2944"/>
      <c r="T352" s="2944"/>
      <c r="U352" s="2944"/>
      <c r="V352" s="2944"/>
      <c r="W352" s="2944"/>
      <c r="X352" s="2944"/>
      <c r="Y352" s="2944"/>
      <c r="Z352" s="2944"/>
      <c r="AA352" s="2944"/>
      <c r="AB352" s="2944"/>
      <c r="AC352" s="2934">
        <f t="shared" si="183"/>
        <v>0</v>
      </c>
      <c r="AD352" s="2954"/>
      <c r="AE352" s="2954"/>
      <c r="AF352" s="2954"/>
      <c r="AG352" s="2954"/>
      <c r="AH352" s="2954"/>
      <c r="AI352" s="2954"/>
      <c r="AJ352" s="2954"/>
      <c r="AK352" s="2954"/>
      <c r="AL352" s="2954"/>
      <c r="AM352" s="2954"/>
      <c r="AN352" s="2954"/>
      <c r="AO352" s="2954"/>
      <c r="AP352" s="2954"/>
      <c r="AQ352" s="2954"/>
      <c r="AR352" s="2954"/>
      <c r="AS352" s="2954"/>
      <c r="AT352" s="2935"/>
      <c r="AU352" s="2964"/>
      <c r="AV352" s="857">
        <f t="shared" si="207"/>
        <v>0</v>
      </c>
      <c r="AW352" s="857">
        <f t="shared" si="208"/>
        <v>0</v>
      </c>
      <c r="AX352" s="857">
        <f t="shared" si="209"/>
        <v>0</v>
      </c>
      <c r="AY352" s="807">
        <f t="shared" si="184"/>
        <v>0</v>
      </c>
      <c r="AZ352" s="2934">
        <f t="shared" si="185"/>
        <v>0</v>
      </c>
      <c r="BA352" s="2934">
        <f t="shared" si="186"/>
        <v>0</v>
      </c>
      <c r="BB352" s="2934">
        <f t="shared" si="187"/>
        <v>0</v>
      </c>
      <c r="BC352" s="2934">
        <f t="shared" si="188"/>
        <v>0</v>
      </c>
      <c r="BD352" s="2934">
        <f t="shared" si="189"/>
        <v>0</v>
      </c>
      <c r="BE352" s="2934">
        <f t="shared" si="190"/>
        <v>0</v>
      </c>
      <c r="BF352" s="2934">
        <f t="shared" si="191"/>
        <v>0</v>
      </c>
      <c r="BG352" s="2934">
        <f t="shared" si="192"/>
        <v>0</v>
      </c>
      <c r="BH352" s="2934">
        <f t="shared" si="193"/>
        <v>0</v>
      </c>
      <c r="BI352" s="2934">
        <f t="shared" si="194"/>
        <v>0</v>
      </c>
      <c r="BJ352" s="2934">
        <f t="shared" si="195"/>
        <v>0</v>
      </c>
      <c r="BK352" s="2934">
        <f t="shared" si="196"/>
        <v>0</v>
      </c>
      <c r="BL352" s="2934">
        <f t="shared" si="197"/>
        <v>0</v>
      </c>
      <c r="BM352" s="2934">
        <f t="shared" si="198"/>
        <v>0</v>
      </c>
      <c r="BN352" s="2934">
        <f t="shared" si="199"/>
        <v>0</v>
      </c>
      <c r="BO352" s="2934">
        <f t="shared" si="200"/>
        <v>0</v>
      </c>
      <c r="BP352" s="2934">
        <f t="shared" si="201"/>
        <v>0</v>
      </c>
      <c r="BQ352" s="2934">
        <f t="shared" si="202"/>
        <v>0</v>
      </c>
      <c r="BR352" s="2934">
        <f t="shared" si="203"/>
        <v>0</v>
      </c>
      <c r="BS352" s="2934">
        <f t="shared" si="204"/>
        <v>0</v>
      </c>
      <c r="BT352" s="2982">
        <f t="shared" si="205"/>
        <v>0</v>
      </c>
    </row>
    <row r="353" spans="1:72">
      <c r="A353" s="874"/>
      <c r="B353" s="882"/>
      <c r="C353" s="882"/>
      <c r="D353" s="2933"/>
      <c r="E353" s="2934">
        <f t="shared" si="206"/>
        <v>0</v>
      </c>
      <c r="F353" s="2935"/>
      <c r="G353" s="2936">
        <f t="shared" si="181"/>
        <v>0</v>
      </c>
      <c r="H353" s="2937">
        <f t="shared" si="182"/>
        <v>0</v>
      </c>
      <c r="I353" s="2944"/>
      <c r="J353" s="2944"/>
      <c r="K353" s="2944"/>
      <c r="L353" s="2944"/>
      <c r="M353" s="2944"/>
      <c r="N353" s="2944"/>
      <c r="O353" s="2944"/>
      <c r="P353" s="2944"/>
      <c r="Q353" s="2944"/>
      <c r="R353" s="2944"/>
      <c r="S353" s="2944"/>
      <c r="T353" s="2944"/>
      <c r="U353" s="2944"/>
      <c r="V353" s="2944"/>
      <c r="W353" s="2944"/>
      <c r="X353" s="2944"/>
      <c r="Y353" s="2944"/>
      <c r="Z353" s="2944"/>
      <c r="AA353" s="2944"/>
      <c r="AB353" s="2944"/>
      <c r="AC353" s="2934">
        <f t="shared" si="183"/>
        <v>0</v>
      </c>
      <c r="AD353" s="2954"/>
      <c r="AE353" s="2954"/>
      <c r="AF353" s="2954"/>
      <c r="AG353" s="2954"/>
      <c r="AH353" s="2954"/>
      <c r="AI353" s="2954"/>
      <c r="AJ353" s="2954"/>
      <c r="AK353" s="2954"/>
      <c r="AL353" s="2954"/>
      <c r="AM353" s="2954"/>
      <c r="AN353" s="2954"/>
      <c r="AO353" s="2954"/>
      <c r="AP353" s="2954"/>
      <c r="AQ353" s="2954"/>
      <c r="AR353" s="2954"/>
      <c r="AS353" s="2954"/>
      <c r="AT353" s="2935"/>
      <c r="AU353" s="2964"/>
      <c r="AV353" s="857">
        <f t="shared" si="207"/>
        <v>0</v>
      </c>
      <c r="AW353" s="857">
        <f t="shared" si="208"/>
        <v>0</v>
      </c>
      <c r="AX353" s="857">
        <f t="shared" si="209"/>
        <v>0</v>
      </c>
      <c r="AY353" s="807">
        <f t="shared" si="184"/>
        <v>0</v>
      </c>
      <c r="AZ353" s="2934">
        <f t="shared" si="185"/>
        <v>0</v>
      </c>
      <c r="BA353" s="2934">
        <f t="shared" si="186"/>
        <v>0</v>
      </c>
      <c r="BB353" s="2934">
        <f t="shared" si="187"/>
        <v>0</v>
      </c>
      <c r="BC353" s="2934">
        <f t="shared" si="188"/>
        <v>0</v>
      </c>
      <c r="BD353" s="2934">
        <f t="shared" si="189"/>
        <v>0</v>
      </c>
      <c r="BE353" s="2934">
        <f t="shared" si="190"/>
        <v>0</v>
      </c>
      <c r="BF353" s="2934">
        <f t="shared" si="191"/>
        <v>0</v>
      </c>
      <c r="BG353" s="2934">
        <f t="shared" si="192"/>
        <v>0</v>
      </c>
      <c r="BH353" s="2934">
        <f t="shared" si="193"/>
        <v>0</v>
      </c>
      <c r="BI353" s="2934">
        <f t="shared" si="194"/>
        <v>0</v>
      </c>
      <c r="BJ353" s="2934">
        <f t="shared" si="195"/>
        <v>0</v>
      </c>
      <c r="BK353" s="2934">
        <f t="shared" si="196"/>
        <v>0</v>
      </c>
      <c r="BL353" s="2934">
        <f t="shared" si="197"/>
        <v>0</v>
      </c>
      <c r="BM353" s="2934">
        <f t="shared" si="198"/>
        <v>0</v>
      </c>
      <c r="BN353" s="2934">
        <f t="shared" si="199"/>
        <v>0</v>
      </c>
      <c r="BO353" s="2934">
        <f t="shared" si="200"/>
        <v>0</v>
      </c>
      <c r="BP353" s="2934">
        <f t="shared" si="201"/>
        <v>0</v>
      </c>
      <c r="BQ353" s="2934">
        <f t="shared" si="202"/>
        <v>0</v>
      </c>
      <c r="BR353" s="2934">
        <f t="shared" si="203"/>
        <v>0</v>
      </c>
      <c r="BS353" s="2934">
        <f t="shared" si="204"/>
        <v>0</v>
      </c>
      <c r="BT353" s="2982">
        <f t="shared" si="205"/>
        <v>0</v>
      </c>
    </row>
    <row r="354" spans="1:72">
      <c r="A354" s="874"/>
      <c r="B354" s="882"/>
      <c r="C354" s="882"/>
      <c r="D354" s="2933"/>
      <c r="E354" s="2934">
        <f t="shared" si="206"/>
        <v>0</v>
      </c>
      <c r="F354" s="2935"/>
      <c r="G354" s="2936">
        <f t="shared" si="181"/>
        <v>0</v>
      </c>
      <c r="H354" s="2937">
        <f t="shared" si="182"/>
        <v>0</v>
      </c>
      <c r="I354" s="2944"/>
      <c r="J354" s="2944"/>
      <c r="K354" s="2944"/>
      <c r="L354" s="2944"/>
      <c r="M354" s="2944"/>
      <c r="N354" s="2944"/>
      <c r="O354" s="2944"/>
      <c r="P354" s="2944"/>
      <c r="Q354" s="2944"/>
      <c r="R354" s="2944"/>
      <c r="S354" s="2944"/>
      <c r="T354" s="2944"/>
      <c r="U354" s="2944"/>
      <c r="V354" s="2944"/>
      <c r="W354" s="2944"/>
      <c r="X354" s="2944"/>
      <c r="Y354" s="2944"/>
      <c r="Z354" s="2944"/>
      <c r="AA354" s="2944"/>
      <c r="AB354" s="2944"/>
      <c r="AC354" s="2934">
        <f t="shared" si="183"/>
        <v>0</v>
      </c>
      <c r="AD354" s="2954"/>
      <c r="AE354" s="2954"/>
      <c r="AF354" s="2954"/>
      <c r="AG354" s="2954"/>
      <c r="AH354" s="2954"/>
      <c r="AI354" s="2954"/>
      <c r="AJ354" s="2954"/>
      <c r="AK354" s="2954"/>
      <c r="AL354" s="2954"/>
      <c r="AM354" s="2954"/>
      <c r="AN354" s="2954"/>
      <c r="AO354" s="2954"/>
      <c r="AP354" s="2954"/>
      <c r="AQ354" s="2954"/>
      <c r="AR354" s="2954"/>
      <c r="AS354" s="2954"/>
      <c r="AT354" s="2935"/>
      <c r="AU354" s="2964"/>
      <c r="AV354" s="857">
        <f t="shared" si="207"/>
        <v>0</v>
      </c>
      <c r="AW354" s="857">
        <f t="shared" si="208"/>
        <v>0</v>
      </c>
      <c r="AX354" s="857">
        <f t="shared" si="209"/>
        <v>0</v>
      </c>
      <c r="AY354" s="807">
        <f t="shared" si="184"/>
        <v>0</v>
      </c>
      <c r="AZ354" s="2934">
        <f t="shared" si="185"/>
        <v>0</v>
      </c>
      <c r="BA354" s="2934">
        <f t="shared" si="186"/>
        <v>0</v>
      </c>
      <c r="BB354" s="2934">
        <f t="shared" si="187"/>
        <v>0</v>
      </c>
      <c r="BC354" s="2934">
        <f t="shared" si="188"/>
        <v>0</v>
      </c>
      <c r="BD354" s="2934">
        <f t="shared" si="189"/>
        <v>0</v>
      </c>
      <c r="BE354" s="2934">
        <f t="shared" si="190"/>
        <v>0</v>
      </c>
      <c r="BF354" s="2934">
        <f t="shared" si="191"/>
        <v>0</v>
      </c>
      <c r="BG354" s="2934">
        <f t="shared" si="192"/>
        <v>0</v>
      </c>
      <c r="BH354" s="2934">
        <f t="shared" si="193"/>
        <v>0</v>
      </c>
      <c r="BI354" s="2934">
        <f t="shared" si="194"/>
        <v>0</v>
      </c>
      <c r="BJ354" s="2934">
        <f t="shared" si="195"/>
        <v>0</v>
      </c>
      <c r="BK354" s="2934">
        <f t="shared" si="196"/>
        <v>0</v>
      </c>
      <c r="BL354" s="2934">
        <f t="shared" si="197"/>
        <v>0</v>
      </c>
      <c r="BM354" s="2934">
        <f t="shared" si="198"/>
        <v>0</v>
      </c>
      <c r="BN354" s="2934">
        <f t="shared" si="199"/>
        <v>0</v>
      </c>
      <c r="BO354" s="2934">
        <f t="shared" si="200"/>
        <v>0</v>
      </c>
      <c r="BP354" s="2934">
        <f t="shared" si="201"/>
        <v>0</v>
      </c>
      <c r="BQ354" s="2934">
        <f t="shared" si="202"/>
        <v>0</v>
      </c>
      <c r="BR354" s="2934">
        <f t="shared" si="203"/>
        <v>0</v>
      </c>
      <c r="BS354" s="2934">
        <f t="shared" si="204"/>
        <v>0</v>
      </c>
      <c r="BT354" s="2982">
        <f t="shared" si="205"/>
        <v>0</v>
      </c>
    </row>
    <row r="355" spans="1:72">
      <c r="A355" s="874"/>
      <c r="B355" s="882"/>
      <c r="C355" s="882"/>
      <c r="D355" s="2933"/>
      <c r="E355" s="2934">
        <f t="shared" si="206"/>
        <v>0</v>
      </c>
      <c r="F355" s="2935"/>
      <c r="G355" s="2936">
        <f t="shared" si="181"/>
        <v>0</v>
      </c>
      <c r="H355" s="2937">
        <f t="shared" si="182"/>
        <v>0</v>
      </c>
      <c r="I355" s="2944"/>
      <c r="J355" s="2944"/>
      <c r="K355" s="2944"/>
      <c r="L355" s="2944"/>
      <c r="M355" s="2944"/>
      <c r="N355" s="2944"/>
      <c r="O355" s="2944"/>
      <c r="P355" s="2944"/>
      <c r="Q355" s="2944"/>
      <c r="R355" s="2944"/>
      <c r="S355" s="2944"/>
      <c r="T355" s="2944"/>
      <c r="U355" s="2944"/>
      <c r="V355" s="2944"/>
      <c r="W355" s="2944"/>
      <c r="X355" s="2944"/>
      <c r="Y355" s="2944"/>
      <c r="Z355" s="2944"/>
      <c r="AA355" s="2944"/>
      <c r="AB355" s="2944"/>
      <c r="AC355" s="2934">
        <f t="shared" si="183"/>
        <v>0</v>
      </c>
      <c r="AD355" s="2954"/>
      <c r="AE355" s="2954"/>
      <c r="AF355" s="2954"/>
      <c r="AG355" s="2954"/>
      <c r="AH355" s="2954"/>
      <c r="AI355" s="2954"/>
      <c r="AJ355" s="2954"/>
      <c r="AK355" s="2954"/>
      <c r="AL355" s="2954"/>
      <c r="AM355" s="2954"/>
      <c r="AN355" s="2954"/>
      <c r="AO355" s="2954"/>
      <c r="AP355" s="2954"/>
      <c r="AQ355" s="2954"/>
      <c r="AR355" s="2954"/>
      <c r="AS355" s="2954"/>
      <c r="AT355" s="2935"/>
      <c r="AU355" s="2964"/>
      <c r="AV355" s="857">
        <f t="shared" si="207"/>
        <v>0</v>
      </c>
      <c r="AW355" s="857">
        <f t="shared" si="208"/>
        <v>0</v>
      </c>
      <c r="AX355" s="857">
        <f t="shared" si="209"/>
        <v>0</v>
      </c>
      <c r="AY355" s="807">
        <f t="shared" si="184"/>
        <v>0</v>
      </c>
      <c r="AZ355" s="2934">
        <f t="shared" si="185"/>
        <v>0</v>
      </c>
      <c r="BA355" s="2934">
        <f t="shared" si="186"/>
        <v>0</v>
      </c>
      <c r="BB355" s="2934">
        <f t="shared" si="187"/>
        <v>0</v>
      </c>
      <c r="BC355" s="2934">
        <f t="shared" si="188"/>
        <v>0</v>
      </c>
      <c r="BD355" s="2934">
        <f t="shared" si="189"/>
        <v>0</v>
      </c>
      <c r="BE355" s="2934">
        <f t="shared" si="190"/>
        <v>0</v>
      </c>
      <c r="BF355" s="2934">
        <f t="shared" si="191"/>
        <v>0</v>
      </c>
      <c r="BG355" s="2934">
        <f t="shared" si="192"/>
        <v>0</v>
      </c>
      <c r="BH355" s="2934">
        <f t="shared" si="193"/>
        <v>0</v>
      </c>
      <c r="BI355" s="2934">
        <f t="shared" si="194"/>
        <v>0</v>
      </c>
      <c r="BJ355" s="2934">
        <f t="shared" si="195"/>
        <v>0</v>
      </c>
      <c r="BK355" s="2934">
        <f t="shared" si="196"/>
        <v>0</v>
      </c>
      <c r="BL355" s="2934">
        <f t="shared" si="197"/>
        <v>0</v>
      </c>
      <c r="BM355" s="2934">
        <f t="shared" si="198"/>
        <v>0</v>
      </c>
      <c r="BN355" s="2934">
        <f t="shared" si="199"/>
        <v>0</v>
      </c>
      <c r="BO355" s="2934">
        <f t="shared" si="200"/>
        <v>0</v>
      </c>
      <c r="BP355" s="2934">
        <f t="shared" si="201"/>
        <v>0</v>
      </c>
      <c r="BQ355" s="2934">
        <f t="shared" si="202"/>
        <v>0</v>
      </c>
      <c r="BR355" s="2934">
        <f t="shared" si="203"/>
        <v>0</v>
      </c>
      <c r="BS355" s="2934">
        <f t="shared" si="204"/>
        <v>0</v>
      </c>
      <c r="BT355" s="2982">
        <f t="shared" si="205"/>
        <v>0</v>
      </c>
    </row>
    <row r="356" spans="1:72">
      <c r="A356" s="874"/>
      <c r="B356" s="882"/>
      <c r="C356" s="882"/>
      <c r="D356" s="2933"/>
      <c r="E356" s="2934">
        <f t="shared" si="206"/>
        <v>0</v>
      </c>
      <c r="F356" s="2935"/>
      <c r="G356" s="2936">
        <f t="shared" si="181"/>
        <v>0</v>
      </c>
      <c r="H356" s="2937">
        <f t="shared" si="182"/>
        <v>0</v>
      </c>
      <c r="I356" s="2944"/>
      <c r="J356" s="2944"/>
      <c r="K356" s="2944"/>
      <c r="L356" s="2944"/>
      <c r="M356" s="2944"/>
      <c r="N356" s="2944"/>
      <c r="O356" s="2944"/>
      <c r="P356" s="2944"/>
      <c r="Q356" s="2944"/>
      <c r="R356" s="2944"/>
      <c r="S356" s="2944"/>
      <c r="T356" s="2944"/>
      <c r="U356" s="2944"/>
      <c r="V356" s="2944"/>
      <c r="W356" s="2944"/>
      <c r="X356" s="2944"/>
      <c r="Y356" s="2944"/>
      <c r="Z356" s="2944"/>
      <c r="AA356" s="2944"/>
      <c r="AB356" s="2944"/>
      <c r="AC356" s="2934">
        <f t="shared" si="183"/>
        <v>0</v>
      </c>
      <c r="AD356" s="2954"/>
      <c r="AE356" s="2954"/>
      <c r="AF356" s="2954"/>
      <c r="AG356" s="2954"/>
      <c r="AH356" s="2954"/>
      <c r="AI356" s="2954"/>
      <c r="AJ356" s="2954"/>
      <c r="AK356" s="2954"/>
      <c r="AL356" s="2954"/>
      <c r="AM356" s="2954"/>
      <c r="AN356" s="2954"/>
      <c r="AO356" s="2954"/>
      <c r="AP356" s="2954"/>
      <c r="AQ356" s="2954"/>
      <c r="AR356" s="2954"/>
      <c r="AS356" s="2954"/>
      <c r="AT356" s="2935"/>
      <c r="AU356" s="2964"/>
      <c r="AV356" s="857">
        <f t="shared" si="207"/>
        <v>0</v>
      </c>
      <c r="AW356" s="857">
        <f t="shared" si="208"/>
        <v>0</v>
      </c>
      <c r="AX356" s="857">
        <f t="shared" si="209"/>
        <v>0</v>
      </c>
      <c r="AY356" s="807">
        <f t="shared" si="184"/>
        <v>0</v>
      </c>
      <c r="AZ356" s="2934">
        <f t="shared" si="185"/>
        <v>0</v>
      </c>
      <c r="BA356" s="2934">
        <f t="shared" si="186"/>
        <v>0</v>
      </c>
      <c r="BB356" s="2934">
        <f t="shared" si="187"/>
        <v>0</v>
      </c>
      <c r="BC356" s="2934">
        <f t="shared" si="188"/>
        <v>0</v>
      </c>
      <c r="BD356" s="2934">
        <f t="shared" si="189"/>
        <v>0</v>
      </c>
      <c r="BE356" s="2934">
        <f t="shared" si="190"/>
        <v>0</v>
      </c>
      <c r="BF356" s="2934">
        <f t="shared" si="191"/>
        <v>0</v>
      </c>
      <c r="BG356" s="2934">
        <f t="shared" si="192"/>
        <v>0</v>
      </c>
      <c r="BH356" s="2934">
        <f t="shared" si="193"/>
        <v>0</v>
      </c>
      <c r="BI356" s="2934">
        <f t="shared" si="194"/>
        <v>0</v>
      </c>
      <c r="BJ356" s="2934">
        <f t="shared" si="195"/>
        <v>0</v>
      </c>
      <c r="BK356" s="2934">
        <f t="shared" si="196"/>
        <v>0</v>
      </c>
      <c r="BL356" s="2934">
        <f t="shared" si="197"/>
        <v>0</v>
      </c>
      <c r="BM356" s="2934">
        <f t="shared" si="198"/>
        <v>0</v>
      </c>
      <c r="BN356" s="2934">
        <f t="shared" si="199"/>
        <v>0</v>
      </c>
      <c r="BO356" s="2934">
        <f t="shared" si="200"/>
        <v>0</v>
      </c>
      <c r="BP356" s="2934">
        <f t="shared" si="201"/>
        <v>0</v>
      </c>
      <c r="BQ356" s="2934">
        <f t="shared" si="202"/>
        <v>0</v>
      </c>
      <c r="BR356" s="2934">
        <f t="shared" si="203"/>
        <v>0</v>
      </c>
      <c r="BS356" s="2934">
        <f t="shared" si="204"/>
        <v>0</v>
      </c>
      <c r="BT356" s="2982">
        <f t="shared" si="205"/>
        <v>0</v>
      </c>
    </row>
    <row r="357" spans="1:72">
      <c r="A357" s="874"/>
      <c r="B357" s="882"/>
      <c r="C357" s="882"/>
      <c r="D357" s="2933"/>
      <c r="E357" s="2934">
        <f t="shared" si="206"/>
        <v>0</v>
      </c>
      <c r="F357" s="2935"/>
      <c r="G357" s="2936">
        <f t="shared" si="181"/>
        <v>0</v>
      </c>
      <c r="H357" s="2937">
        <f t="shared" si="182"/>
        <v>0</v>
      </c>
      <c r="I357" s="2944"/>
      <c r="J357" s="2944"/>
      <c r="K357" s="2944"/>
      <c r="L357" s="2944"/>
      <c r="M357" s="2944"/>
      <c r="N357" s="2944"/>
      <c r="O357" s="2944"/>
      <c r="P357" s="2944"/>
      <c r="Q357" s="2944"/>
      <c r="R357" s="2944"/>
      <c r="S357" s="2944"/>
      <c r="T357" s="2944"/>
      <c r="U357" s="2944"/>
      <c r="V357" s="2944"/>
      <c r="W357" s="2944"/>
      <c r="X357" s="2944"/>
      <c r="Y357" s="2944"/>
      <c r="Z357" s="2944"/>
      <c r="AA357" s="2944"/>
      <c r="AB357" s="2944"/>
      <c r="AC357" s="2934">
        <f t="shared" si="183"/>
        <v>0</v>
      </c>
      <c r="AD357" s="2954"/>
      <c r="AE357" s="2954"/>
      <c r="AF357" s="2954"/>
      <c r="AG357" s="2954"/>
      <c r="AH357" s="2954"/>
      <c r="AI357" s="2954"/>
      <c r="AJ357" s="2954"/>
      <c r="AK357" s="2954"/>
      <c r="AL357" s="2954"/>
      <c r="AM357" s="2954"/>
      <c r="AN357" s="2954"/>
      <c r="AO357" s="2954"/>
      <c r="AP357" s="2954"/>
      <c r="AQ357" s="2954"/>
      <c r="AR357" s="2954"/>
      <c r="AS357" s="2954"/>
      <c r="AT357" s="2935"/>
      <c r="AU357" s="2964"/>
      <c r="AV357" s="857">
        <f t="shared" si="207"/>
        <v>0</v>
      </c>
      <c r="AW357" s="857">
        <f t="shared" si="208"/>
        <v>0</v>
      </c>
      <c r="AX357" s="857">
        <f t="shared" si="209"/>
        <v>0</v>
      </c>
      <c r="AY357" s="807">
        <f t="shared" si="184"/>
        <v>0</v>
      </c>
      <c r="AZ357" s="2934">
        <f t="shared" si="185"/>
        <v>0</v>
      </c>
      <c r="BA357" s="2934">
        <f t="shared" si="186"/>
        <v>0</v>
      </c>
      <c r="BB357" s="2934">
        <f t="shared" si="187"/>
        <v>0</v>
      </c>
      <c r="BC357" s="2934">
        <f t="shared" si="188"/>
        <v>0</v>
      </c>
      <c r="BD357" s="2934">
        <f t="shared" si="189"/>
        <v>0</v>
      </c>
      <c r="BE357" s="2934">
        <f t="shared" si="190"/>
        <v>0</v>
      </c>
      <c r="BF357" s="2934">
        <f t="shared" si="191"/>
        <v>0</v>
      </c>
      <c r="BG357" s="2934">
        <f t="shared" si="192"/>
        <v>0</v>
      </c>
      <c r="BH357" s="2934">
        <f t="shared" si="193"/>
        <v>0</v>
      </c>
      <c r="BI357" s="2934">
        <f t="shared" si="194"/>
        <v>0</v>
      </c>
      <c r="BJ357" s="2934">
        <f t="shared" si="195"/>
        <v>0</v>
      </c>
      <c r="BK357" s="2934">
        <f t="shared" si="196"/>
        <v>0</v>
      </c>
      <c r="BL357" s="2934">
        <f t="shared" si="197"/>
        <v>0</v>
      </c>
      <c r="BM357" s="2934">
        <f t="shared" si="198"/>
        <v>0</v>
      </c>
      <c r="BN357" s="2934">
        <f t="shared" si="199"/>
        <v>0</v>
      </c>
      <c r="BO357" s="2934">
        <f t="shared" si="200"/>
        <v>0</v>
      </c>
      <c r="BP357" s="2934">
        <f t="shared" si="201"/>
        <v>0</v>
      </c>
      <c r="BQ357" s="2934">
        <f t="shared" si="202"/>
        <v>0</v>
      </c>
      <c r="BR357" s="2934">
        <f t="shared" si="203"/>
        <v>0</v>
      </c>
      <c r="BS357" s="2934">
        <f t="shared" si="204"/>
        <v>0</v>
      </c>
      <c r="BT357" s="2982">
        <f t="shared" si="205"/>
        <v>0</v>
      </c>
    </row>
    <row r="358" spans="1:72">
      <c r="A358" s="874"/>
      <c r="B358" s="882"/>
      <c r="C358" s="882"/>
      <c r="D358" s="2933"/>
      <c r="E358" s="2934">
        <f t="shared" si="206"/>
        <v>0</v>
      </c>
      <c r="F358" s="2935"/>
      <c r="G358" s="2936">
        <f t="shared" si="181"/>
        <v>0</v>
      </c>
      <c r="H358" s="2937">
        <f t="shared" si="182"/>
        <v>0</v>
      </c>
      <c r="I358" s="2944"/>
      <c r="J358" s="2944"/>
      <c r="K358" s="2944"/>
      <c r="L358" s="2944"/>
      <c r="M358" s="2944"/>
      <c r="N358" s="2944"/>
      <c r="O358" s="2944"/>
      <c r="P358" s="2944"/>
      <c r="Q358" s="2944"/>
      <c r="R358" s="2944"/>
      <c r="S358" s="2944"/>
      <c r="T358" s="2944"/>
      <c r="U358" s="2944"/>
      <c r="V358" s="2944"/>
      <c r="W358" s="2944"/>
      <c r="X358" s="2944"/>
      <c r="Y358" s="2944"/>
      <c r="Z358" s="2944"/>
      <c r="AA358" s="2944"/>
      <c r="AB358" s="2944"/>
      <c r="AC358" s="2934">
        <f t="shared" si="183"/>
        <v>0</v>
      </c>
      <c r="AD358" s="2954"/>
      <c r="AE358" s="2954"/>
      <c r="AF358" s="2954"/>
      <c r="AG358" s="2954"/>
      <c r="AH358" s="2954"/>
      <c r="AI358" s="2954"/>
      <c r="AJ358" s="2954"/>
      <c r="AK358" s="2954"/>
      <c r="AL358" s="2954"/>
      <c r="AM358" s="2954"/>
      <c r="AN358" s="2954"/>
      <c r="AO358" s="2954"/>
      <c r="AP358" s="2954"/>
      <c r="AQ358" s="2954"/>
      <c r="AR358" s="2954"/>
      <c r="AS358" s="2954"/>
      <c r="AT358" s="2935"/>
      <c r="AU358" s="2964"/>
      <c r="AV358" s="857">
        <f t="shared" si="207"/>
        <v>0</v>
      </c>
      <c r="AW358" s="857">
        <f t="shared" si="208"/>
        <v>0</v>
      </c>
      <c r="AX358" s="857">
        <f t="shared" si="209"/>
        <v>0</v>
      </c>
      <c r="AY358" s="807">
        <f t="shared" si="184"/>
        <v>0</v>
      </c>
      <c r="AZ358" s="2934">
        <f t="shared" si="185"/>
        <v>0</v>
      </c>
      <c r="BA358" s="2934">
        <f t="shared" si="186"/>
        <v>0</v>
      </c>
      <c r="BB358" s="2934">
        <f t="shared" si="187"/>
        <v>0</v>
      </c>
      <c r="BC358" s="2934">
        <f t="shared" si="188"/>
        <v>0</v>
      </c>
      <c r="BD358" s="2934">
        <f t="shared" si="189"/>
        <v>0</v>
      </c>
      <c r="BE358" s="2934">
        <f t="shared" si="190"/>
        <v>0</v>
      </c>
      <c r="BF358" s="2934">
        <f t="shared" si="191"/>
        <v>0</v>
      </c>
      <c r="BG358" s="2934">
        <f t="shared" si="192"/>
        <v>0</v>
      </c>
      <c r="BH358" s="2934">
        <f t="shared" si="193"/>
        <v>0</v>
      </c>
      <c r="BI358" s="2934">
        <f t="shared" si="194"/>
        <v>0</v>
      </c>
      <c r="BJ358" s="2934">
        <f t="shared" si="195"/>
        <v>0</v>
      </c>
      <c r="BK358" s="2934">
        <f t="shared" si="196"/>
        <v>0</v>
      </c>
      <c r="BL358" s="2934">
        <f t="shared" si="197"/>
        <v>0</v>
      </c>
      <c r="BM358" s="2934">
        <f t="shared" si="198"/>
        <v>0</v>
      </c>
      <c r="BN358" s="2934">
        <f t="shared" si="199"/>
        <v>0</v>
      </c>
      <c r="BO358" s="2934">
        <f t="shared" si="200"/>
        <v>0</v>
      </c>
      <c r="BP358" s="2934">
        <f t="shared" si="201"/>
        <v>0</v>
      </c>
      <c r="BQ358" s="2934">
        <f t="shared" si="202"/>
        <v>0</v>
      </c>
      <c r="BR358" s="2934">
        <f t="shared" si="203"/>
        <v>0</v>
      </c>
      <c r="BS358" s="2934">
        <f t="shared" si="204"/>
        <v>0</v>
      </c>
      <c r="BT358" s="2982">
        <f t="shared" si="205"/>
        <v>0</v>
      </c>
    </row>
    <row r="359" spans="1:72">
      <c r="A359" s="874"/>
      <c r="B359" s="882"/>
      <c r="C359" s="882"/>
      <c r="D359" s="2933"/>
      <c r="E359" s="2934">
        <f t="shared" si="206"/>
        <v>0</v>
      </c>
      <c r="F359" s="2935"/>
      <c r="G359" s="2936">
        <f t="shared" si="181"/>
        <v>0</v>
      </c>
      <c r="H359" s="2937">
        <f t="shared" si="182"/>
        <v>0</v>
      </c>
      <c r="I359" s="2944"/>
      <c r="J359" s="2944"/>
      <c r="K359" s="2944"/>
      <c r="L359" s="2944"/>
      <c r="M359" s="2944"/>
      <c r="N359" s="2944"/>
      <c r="O359" s="2944"/>
      <c r="P359" s="2944"/>
      <c r="Q359" s="2944"/>
      <c r="R359" s="2944"/>
      <c r="S359" s="2944"/>
      <c r="T359" s="2944"/>
      <c r="U359" s="2944"/>
      <c r="V359" s="2944"/>
      <c r="W359" s="2944"/>
      <c r="X359" s="2944"/>
      <c r="Y359" s="2944"/>
      <c r="Z359" s="2944"/>
      <c r="AA359" s="2944"/>
      <c r="AB359" s="2944"/>
      <c r="AC359" s="2934">
        <f t="shared" si="183"/>
        <v>0</v>
      </c>
      <c r="AD359" s="2954"/>
      <c r="AE359" s="2954"/>
      <c r="AF359" s="2954"/>
      <c r="AG359" s="2954"/>
      <c r="AH359" s="2954"/>
      <c r="AI359" s="2954"/>
      <c r="AJ359" s="2954"/>
      <c r="AK359" s="2954"/>
      <c r="AL359" s="2954"/>
      <c r="AM359" s="2954"/>
      <c r="AN359" s="2954"/>
      <c r="AO359" s="2954"/>
      <c r="AP359" s="2954"/>
      <c r="AQ359" s="2954"/>
      <c r="AR359" s="2954"/>
      <c r="AS359" s="2954"/>
      <c r="AT359" s="2935"/>
      <c r="AU359" s="2964"/>
      <c r="AV359" s="857">
        <f t="shared" si="207"/>
        <v>0</v>
      </c>
      <c r="AW359" s="857">
        <f t="shared" si="208"/>
        <v>0</v>
      </c>
      <c r="AX359" s="857">
        <f t="shared" si="209"/>
        <v>0</v>
      </c>
      <c r="AY359" s="807">
        <f t="shared" si="184"/>
        <v>0</v>
      </c>
      <c r="AZ359" s="2934">
        <f t="shared" si="185"/>
        <v>0</v>
      </c>
      <c r="BA359" s="2934">
        <f t="shared" si="186"/>
        <v>0</v>
      </c>
      <c r="BB359" s="2934">
        <f t="shared" si="187"/>
        <v>0</v>
      </c>
      <c r="BC359" s="2934">
        <f t="shared" si="188"/>
        <v>0</v>
      </c>
      <c r="BD359" s="2934">
        <f t="shared" si="189"/>
        <v>0</v>
      </c>
      <c r="BE359" s="2934">
        <f t="shared" si="190"/>
        <v>0</v>
      </c>
      <c r="BF359" s="2934">
        <f t="shared" si="191"/>
        <v>0</v>
      </c>
      <c r="BG359" s="2934">
        <f t="shared" si="192"/>
        <v>0</v>
      </c>
      <c r="BH359" s="2934">
        <f t="shared" si="193"/>
        <v>0</v>
      </c>
      <c r="BI359" s="2934">
        <f t="shared" si="194"/>
        <v>0</v>
      </c>
      <c r="BJ359" s="2934">
        <f t="shared" si="195"/>
        <v>0</v>
      </c>
      <c r="BK359" s="2934">
        <f t="shared" si="196"/>
        <v>0</v>
      </c>
      <c r="BL359" s="2934">
        <f t="shared" si="197"/>
        <v>0</v>
      </c>
      <c r="BM359" s="2934">
        <f t="shared" si="198"/>
        <v>0</v>
      </c>
      <c r="BN359" s="2934">
        <f t="shared" si="199"/>
        <v>0</v>
      </c>
      <c r="BO359" s="2934">
        <f t="shared" si="200"/>
        <v>0</v>
      </c>
      <c r="BP359" s="2934">
        <f t="shared" si="201"/>
        <v>0</v>
      </c>
      <c r="BQ359" s="2934">
        <f t="shared" si="202"/>
        <v>0</v>
      </c>
      <c r="BR359" s="2934">
        <f t="shared" si="203"/>
        <v>0</v>
      </c>
      <c r="BS359" s="2934">
        <f t="shared" si="204"/>
        <v>0</v>
      </c>
      <c r="BT359" s="2982">
        <f t="shared" si="205"/>
        <v>0</v>
      </c>
    </row>
    <row r="360" spans="1:72">
      <c r="A360" s="874"/>
      <c r="B360" s="882"/>
      <c r="C360" s="882"/>
      <c r="D360" s="2933"/>
      <c r="E360" s="2934">
        <f t="shared" si="206"/>
        <v>0</v>
      </c>
      <c r="F360" s="2935"/>
      <c r="G360" s="2936">
        <f t="shared" si="181"/>
        <v>0</v>
      </c>
      <c r="H360" s="2937">
        <f t="shared" si="182"/>
        <v>0</v>
      </c>
      <c r="I360" s="2944"/>
      <c r="J360" s="2944"/>
      <c r="K360" s="2944"/>
      <c r="L360" s="2944"/>
      <c r="M360" s="2944"/>
      <c r="N360" s="2944"/>
      <c r="O360" s="2944"/>
      <c r="P360" s="2944"/>
      <c r="Q360" s="2944"/>
      <c r="R360" s="2944"/>
      <c r="S360" s="2944"/>
      <c r="T360" s="2944"/>
      <c r="U360" s="2944"/>
      <c r="V360" s="2944"/>
      <c r="W360" s="2944"/>
      <c r="X360" s="2944"/>
      <c r="Y360" s="2944"/>
      <c r="Z360" s="2944"/>
      <c r="AA360" s="2944"/>
      <c r="AB360" s="2944"/>
      <c r="AC360" s="2934">
        <f t="shared" si="183"/>
        <v>0</v>
      </c>
      <c r="AD360" s="2954"/>
      <c r="AE360" s="2954"/>
      <c r="AF360" s="2954"/>
      <c r="AG360" s="2954"/>
      <c r="AH360" s="2954"/>
      <c r="AI360" s="2954"/>
      <c r="AJ360" s="2954"/>
      <c r="AK360" s="2954"/>
      <c r="AL360" s="2954"/>
      <c r="AM360" s="2954"/>
      <c r="AN360" s="2954"/>
      <c r="AO360" s="2954"/>
      <c r="AP360" s="2954"/>
      <c r="AQ360" s="2954"/>
      <c r="AR360" s="2954"/>
      <c r="AS360" s="2954"/>
      <c r="AT360" s="2935"/>
      <c r="AU360" s="2964"/>
      <c r="AV360" s="857">
        <f t="shared" si="207"/>
        <v>0</v>
      </c>
      <c r="AW360" s="857">
        <f t="shared" si="208"/>
        <v>0</v>
      </c>
      <c r="AX360" s="857">
        <f t="shared" si="209"/>
        <v>0</v>
      </c>
      <c r="AY360" s="807">
        <f t="shared" si="184"/>
        <v>0</v>
      </c>
      <c r="AZ360" s="2934">
        <f t="shared" si="185"/>
        <v>0</v>
      </c>
      <c r="BA360" s="2934">
        <f t="shared" si="186"/>
        <v>0</v>
      </c>
      <c r="BB360" s="2934">
        <f t="shared" si="187"/>
        <v>0</v>
      </c>
      <c r="BC360" s="2934">
        <f t="shared" si="188"/>
        <v>0</v>
      </c>
      <c r="BD360" s="2934">
        <f t="shared" si="189"/>
        <v>0</v>
      </c>
      <c r="BE360" s="2934">
        <f t="shared" si="190"/>
        <v>0</v>
      </c>
      <c r="BF360" s="2934">
        <f t="shared" si="191"/>
        <v>0</v>
      </c>
      <c r="BG360" s="2934">
        <f t="shared" si="192"/>
        <v>0</v>
      </c>
      <c r="BH360" s="2934">
        <f t="shared" si="193"/>
        <v>0</v>
      </c>
      <c r="BI360" s="2934">
        <f t="shared" si="194"/>
        <v>0</v>
      </c>
      <c r="BJ360" s="2934">
        <f t="shared" si="195"/>
        <v>0</v>
      </c>
      <c r="BK360" s="2934">
        <f t="shared" si="196"/>
        <v>0</v>
      </c>
      <c r="BL360" s="2934">
        <f t="shared" si="197"/>
        <v>0</v>
      </c>
      <c r="BM360" s="2934">
        <f t="shared" si="198"/>
        <v>0</v>
      </c>
      <c r="BN360" s="2934">
        <f t="shared" si="199"/>
        <v>0</v>
      </c>
      <c r="BO360" s="2934">
        <f t="shared" si="200"/>
        <v>0</v>
      </c>
      <c r="BP360" s="2934">
        <f t="shared" si="201"/>
        <v>0</v>
      </c>
      <c r="BQ360" s="2934">
        <f t="shared" si="202"/>
        <v>0</v>
      </c>
      <c r="BR360" s="2934">
        <f t="shared" si="203"/>
        <v>0</v>
      </c>
      <c r="BS360" s="2934">
        <f t="shared" si="204"/>
        <v>0</v>
      </c>
      <c r="BT360" s="2982">
        <f t="shared" si="205"/>
        <v>0</v>
      </c>
    </row>
    <row r="361" spans="1:72">
      <c r="A361" s="874"/>
      <c r="B361" s="882"/>
      <c r="C361" s="882"/>
      <c r="D361" s="2933"/>
      <c r="E361" s="2934">
        <f t="shared" si="206"/>
        <v>0</v>
      </c>
      <c r="F361" s="2935"/>
      <c r="G361" s="2936">
        <f t="shared" si="181"/>
        <v>0</v>
      </c>
      <c r="H361" s="2937">
        <f t="shared" si="182"/>
        <v>0</v>
      </c>
      <c r="I361" s="2944"/>
      <c r="J361" s="2944"/>
      <c r="K361" s="2944"/>
      <c r="L361" s="2944"/>
      <c r="M361" s="2944"/>
      <c r="N361" s="2944"/>
      <c r="O361" s="2944"/>
      <c r="P361" s="2944"/>
      <c r="Q361" s="2944"/>
      <c r="R361" s="2944"/>
      <c r="S361" s="2944"/>
      <c r="T361" s="2944"/>
      <c r="U361" s="2944"/>
      <c r="V361" s="2944"/>
      <c r="W361" s="2944"/>
      <c r="X361" s="2944"/>
      <c r="Y361" s="2944"/>
      <c r="Z361" s="2944"/>
      <c r="AA361" s="2944"/>
      <c r="AB361" s="2944"/>
      <c r="AC361" s="2934">
        <f t="shared" si="183"/>
        <v>0</v>
      </c>
      <c r="AD361" s="2954"/>
      <c r="AE361" s="2954"/>
      <c r="AF361" s="2954"/>
      <c r="AG361" s="2954"/>
      <c r="AH361" s="2954"/>
      <c r="AI361" s="2954"/>
      <c r="AJ361" s="2954"/>
      <c r="AK361" s="2954"/>
      <c r="AL361" s="2954"/>
      <c r="AM361" s="2954"/>
      <c r="AN361" s="2954"/>
      <c r="AO361" s="2954"/>
      <c r="AP361" s="2954"/>
      <c r="AQ361" s="2954"/>
      <c r="AR361" s="2954"/>
      <c r="AS361" s="2954"/>
      <c r="AT361" s="2935"/>
      <c r="AU361" s="2964"/>
      <c r="AV361" s="857">
        <f t="shared" si="207"/>
        <v>0</v>
      </c>
      <c r="AW361" s="857">
        <f t="shared" si="208"/>
        <v>0</v>
      </c>
      <c r="AX361" s="857">
        <f t="shared" si="209"/>
        <v>0</v>
      </c>
      <c r="AY361" s="807">
        <f t="shared" si="184"/>
        <v>0</v>
      </c>
      <c r="AZ361" s="2934">
        <f t="shared" si="185"/>
        <v>0</v>
      </c>
      <c r="BA361" s="2934">
        <f t="shared" si="186"/>
        <v>0</v>
      </c>
      <c r="BB361" s="2934">
        <f t="shared" si="187"/>
        <v>0</v>
      </c>
      <c r="BC361" s="2934">
        <f t="shared" si="188"/>
        <v>0</v>
      </c>
      <c r="BD361" s="2934">
        <f t="shared" si="189"/>
        <v>0</v>
      </c>
      <c r="BE361" s="2934">
        <f t="shared" si="190"/>
        <v>0</v>
      </c>
      <c r="BF361" s="2934">
        <f t="shared" si="191"/>
        <v>0</v>
      </c>
      <c r="BG361" s="2934">
        <f t="shared" si="192"/>
        <v>0</v>
      </c>
      <c r="BH361" s="2934">
        <f t="shared" si="193"/>
        <v>0</v>
      </c>
      <c r="BI361" s="2934">
        <f t="shared" si="194"/>
        <v>0</v>
      </c>
      <c r="BJ361" s="2934">
        <f t="shared" si="195"/>
        <v>0</v>
      </c>
      <c r="BK361" s="2934">
        <f t="shared" si="196"/>
        <v>0</v>
      </c>
      <c r="BL361" s="2934">
        <f t="shared" si="197"/>
        <v>0</v>
      </c>
      <c r="BM361" s="2934">
        <f t="shared" si="198"/>
        <v>0</v>
      </c>
      <c r="BN361" s="2934">
        <f t="shared" si="199"/>
        <v>0</v>
      </c>
      <c r="BO361" s="2934">
        <f t="shared" si="200"/>
        <v>0</v>
      </c>
      <c r="BP361" s="2934">
        <f t="shared" si="201"/>
        <v>0</v>
      </c>
      <c r="BQ361" s="2934">
        <f t="shared" si="202"/>
        <v>0</v>
      </c>
      <c r="BR361" s="2934">
        <f t="shared" si="203"/>
        <v>0</v>
      </c>
      <c r="BS361" s="2934">
        <f t="shared" si="204"/>
        <v>0</v>
      </c>
      <c r="BT361" s="2982">
        <f t="shared" si="205"/>
        <v>0</v>
      </c>
    </row>
    <row r="362" spans="1:72">
      <c r="A362" s="874"/>
      <c r="B362" s="882"/>
      <c r="C362" s="882"/>
      <c r="D362" s="2933"/>
      <c r="E362" s="2934">
        <f t="shared" si="206"/>
        <v>0</v>
      </c>
      <c r="F362" s="2935"/>
      <c r="G362" s="2936">
        <f t="shared" si="181"/>
        <v>0</v>
      </c>
      <c r="H362" s="2937">
        <f t="shared" si="182"/>
        <v>0</v>
      </c>
      <c r="I362" s="2944"/>
      <c r="J362" s="2944"/>
      <c r="K362" s="2944"/>
      <c r="L362" s="2944"/>
      <c r="M362" s="2944"/>
      <c r="N362" s="2944"/>
      <c r="O362" s="2944"/>
      <c r="P362" s="2944"/>
      <c r="Q362" s="2944"/>
      <c r="R362" s="2944"/>
      <c r="S362" s="2944"/>
      <c r="T362" s="2944"/>
      <c r="U362" s="2944"/>
      <c r="V362" s="2944"/>
      <c r="W362" s="2944"/>
      <c r="X362" s="2944"/>
      <c r="Y362" s="2944"/>
      <c r="Z362" s="2944"/>
      <c r="AA362" s="2944"/>
      <c r="AB362" s="2944"/>
      <c r="AC362" s="2934">
        <f t="shared" si="183"/>
        <v>0</v>
      </c>
      <c r="AD362" s="2954"/>
      <c r="AE362" s="2954"/>
      <c r="AF362" s="2954"/>
      <c r="AG362" s="2954"/>
      <c r="AH362" s="2954"/>
      <c r="AI362" s="2954"/>
      <c r="AJ362" s="2954"/>
      <c r="AK362" s="2954"/>
      <c r="AL362" s="2954"/>
      <c r="AM362" s="2954"/>
      <c r="AN362" s="2954"/>
      <c r="AO362" s="2954"/>
      <c r="AP362" s="2954"/>
      <c r="AQ362" s="2954"/>
      <c r="AR362" s="2954"/>
      <c r="AS362" s="2954"/>
      <c r="AT362" s="2935"/>
      <c r="AU362" s="2964"/>
      <c r="AV362" s="857">
        <f t="shared" si="207"/>
        <v>0</v>
      </c>
      <c r="AW362" s="857">
        <f t="shared" si="208"/>
        <v>0</v>
      </c>
      <c r="AX362" s="857">
        <f t="shared" si="209"/>
        <v>0</v>
      </c>
      <c r="AY362" s="807">
        <f t="shared" si="184"/>
        <v>0</v>
      </c>
      <c r="AZ362" s="2934">
        <f t="shared" si="185"/>
        <v>0</v>
      </c>
      <c r="BA362" s="2934">
        <f t="shared" si="186"/>
        <v>0</v>
      </c>
      <c r="BB362" s="2934">
        <f t="shared" si="187"/>
        <v>0</v>
      </c>
      <c r="BC362" s="2934">
        <f t="shared" si="188"/>
        <v>0</v>
      </c>
      <c r="BD362" s="2934">
        <f t="shared" si="189"/>
        <v>0</v>
      </c>
      <c r="BE362" s="2934">
        <f t="shared" si="190"/>
        <v>0</v>
      </c>
      <c r="BF362" s="2934">
        <f t="shared" si="191"/>
        <v>0</v>
      </c>
      <c r="BG362" s="2934">
        <f t="shared" si="192"/>
        <v>0</v>
      </c>
      <c r="BH362" s="2934">
        <f t="shared" si="193"/>
        <v>0</v>
      </c>
      <c r="BI362" s="2934">
        <f t="shared" si="194"/>
        <v>0</v>
      </c>
      <c r="BJ362" s="2934">
        <f t="shared" si="195"/>
        <v>0</v>
      </c>
      <c r="BK362" s="2934">
        <f t="shared" si="196"/>
        <v>0</v>
      </c>
      <c r="BL362" s="2934">
        <f t="shared" si="197"/>
        <v>0</v>
      </c>
      <c r="BM362" s="2934">
        <f t="shared" si="198"/>
        <v>0</v>
      </c>
      <c r="BN362" s="2934">
        <f t="shared" si="199"/>
        <v>0</v>
      </c>
      <c r="BO362" s="2934">
        <f t="shared" si="200"/>
        <v>0</v>
      </c>
      <c r="BP362" s="2934">
        <f t="shared" si="201"/>
        <v>0</v>
      </c>
      <c r="BQ362" s="2934">
        <f t="shared" si="202"/>
        <v>0</v>
      </c>
      <c r="BR362" s="2934">
        <f t="shared" si="203"/>
        <v>0</v>
      </c>
      <c r="BS362" s="2934">
        <f t="shared" si="204"/>
        <v>0</v>
      </c>
      <c r="BT362" s="2982">
        <f t="shared" si="205"/>
        <v>0</v>
      </c>
    </row>
    <row r="363" spans="1:72">
      <c r="A363" s="874"/>
      <c r="B363" s="882"/>
      <c r="C363" s="882"/>
      <c r="D363" s="2933"/>
      <c r="E363" s="2934">
        <f t="shared" si="206"/>
        <v>0</v>
      </c>
      <c r="F363" s="2935"/>
      <c r="G363" s="2936">
        <f t="shared" si="181"/>
        <v>0</v>
      </c>
      <c r="H363" s="2937">
        <f t="shared" si="182"/>
        <v>0</v>
      </c>
      <c r="I363" s="2944"/>
      <c r="J363" s="2944"/>
      <c r="K363" s="2944"/>
      <c r="L363" s="2944"/>
      <c r="M363" s="2944"/>
      <c r="N363" s="2944"/>
      <c r="O363" s="2944"/>
      <c r="P363" s="2944"/>
      <c r="Q363" s="2944"/>
      <c r="R363" s="2944"/>
      <c r="S363" s="2944"/>
      <c r="T363" s="2944"/>
      <c r="U363" s="2944"/>
      <c r="V363" s="2944"/>
      <c r="W363" s="2944"/>
      <c r="X363" s="2944"/>
      <c r="Y363" s="2944"/>
      <c r="Z363" s="2944"/>
      <c r="AA363" s="2944"/>
      <c r="AB363" s="2944"/>
      <c r="AC363" s="2934">
        <f t="shared" si="183"/>
        <v>0</v>
      </c>
      <c r="AD363" s="2954"/>
      <c r="AE363" s="2954"/>
      <c r="AF363" s="2954"/>
      <c r="AG363" s="2954"/>
      <c r="AH363" s="2954"/>
      <c r="AI363" s="2954"/>
      <c r="AJ363" s="2954"/>
      <c r="AK363" s="2954"/>
      <c r="AL363" s="2954"/>
      <c r="AM363" s="2954"/>
      <c r="AN363" s="2954"/>
      <c r="AO363" s="2954"/>
      <c r="AP363" s="2954"/>
      <c r="AQ363" s="2954"/>
      <c r="AR363" s="2954"/>
      <c r="AS363" s="2954"/>
      <c r="AT363" s="2935"/>
      <c r="AU363" s="2964"/>
      <c r="AV363" s="857">
        <f t="shared" si="207"/>
        <v>0</v>
      </c>
      <c r="AW363" s="857">
        <f t="shared" si="208"/>
        <v>0</v>
      </c>
      <c r="AX363" s="857">
        <f t="shared" si="209"/>
        <v>0</v>
      </c>
      <c r="AY363" s="807">
        <f t="shared" si="184"/>
        <v>0</v>
      </c>
      <c r="AZ363" s="2934">
        <f t="shared" si="185"/>
        <v>0</v>
      </c>
      <c r="BA363" s="2934">
        <f t="shared" si="186"/>
        <v>0</v>
      </c>
      <c r="BB363" s="2934">
        <f t="shared" si="187"/>
        <v>0</v>
      </c>
      <c r="BC363" s="2934">
        <f t="shared" si="188"/>
        <v>0</v>
      </c>
      <c r="BD363" s="2934">
        <f t="shared" si="189"/>
        <v>0</v>
      </c>
      <c r="BE363" s="2934">
        <f t="shared" si="190"/>
        <v>0</v>
      </c>
      <c r="BF363" s="2934">
        <f t="shared" si="191"/>
        <v>0</v>
      </c>
      <c r="BG363" s="2934">
        <f t="shared" si="192"/>
        <v>0</v>
      </c>
      <c r="BH363" s="2934">
        <f t="shared" si="193"/>
        <v>0</v>
      </c>
      <c r="BI363" s="2934">
        <f t="shared" si="194"/>
        <v>0</v>
      </c>
      <c r="BJ363" s="2934">
        <f t="shared" si="195"/>
        <v>0</v>
      </c>
      <c r="BK363" s="2934">
        <f t="shared" si="196"/>
        <v>0</v>
      </c>
      <c r="BL363" s="2934">
        <f t="shared" si="197"/>
        <v>0</v>
      </c>
      <c r="BM363" s="2934">
        <f t="shared" si="198"/>
        <v>0</v>
      </c>
      <c r="BN363" s="2934">
        <f t="shared" si="199"/>
        <v>0</v>
      </c>
      <c r="BO363" s="2934">
        <f t="shared" si="200"/>
        <v>0</v>
      </c>
      <c r="BP363" s="2934">
        <f t="shared" si="201"/>
        <v>0</v>
      </c>
      <c r="BQ363" s="2934">
        <f t="shared" si="202"/>
        <v>0</v>
      </c>
      <c r="BR363" s="2934">
        <f t="shared" si="203"/>
        <v>0</v>
      </c>
      <c r="BS363" s="2934">
        <f t="shared" si="204"/>
        <v>0</v>
      </c>
      <c r="BT363" s="2982">
        <f t="shared" si="205"/>
        <v>0</v>
      </c>
    </row>
    <row r="364" spans="1:72">
      <c r="A364" s="874"/>
      <c r="B364" s="882"/>
      <c r="C364" s="882"/>
      <c r="D364" s="2933"/>
      <c r="E364" s="2934">
        <f t="shared" si="206"/>
        <v>0</v>
      </c>
      <c r="F364" s="2935"/>
      <c r="G364" s="2936">
        <f t="shared" ref="G364:G397" si="210">H364+AC364+AT364</f>
        <v>0</v>
      </c>
      <c r="H364" s="2937">
        <f t="shared" ref="H364:H397" si="211">SUMIF(I$12:AB$12,"总值",I364:AB364)</f>
        <v>0</v>
      </c>
      <c r="I364" s="2944"/>
      <c r="J364" s="2944"/>
      <c r="K364" s="2944"/>
      <c r="L364" s="2944"/>
      <c r="M364" s="2944"/>
      <c r="N364" s="2944"/>
      <c r="O364" s="2944"/>
      <c r="P364" s="2944"/>
      <c r="Q364" s="2944"/>
      <c r="R364" s="2944"/>
      <c r="S364" s="2944"/>
      <c r="T364" s="2944"/>
      <c r="U364" s="2944"/>
      <c r="V364" s="2944"/>
      <c r="W364" s="2944"/>
      <c r="X364" s="2944"/>
      <c r="Y364" s="2944"/>
      <c r="Z364" s="2944"/>
      <c r="AA364" s="2944"/>
      <c r="AB364" s="2944"/>
      <c r="AC364" s="2934">
        <f t="shared" ref="AC364:AC397" si="212">SUMIF(AD$12:AS$12,"总值",AD364:AS364)</f>
        <v>0</v>
      </c>
      <c r="AD364" s="2954"/>
      <c r="AE364" s="2954"/>
      <c r="AF364" s="2954"/>
      <c r="AG364" s="2954"/>
      <c r="AH364" s="2954"/>
      <c r="AI364" s="2954"/>
      <c r="AJ364" s="2954"/>
      <c r="AK364" s="2954"/>
      <c r="AL364" s="2954"/>
      <c r="AM364" s="2954"/>
      <c r="AN364" s="2954"/>
      <c r="AO364" s="2954"/>
      <c r="AP364" s="2954"/>
      <c r="AQ364" s="2954"/>
      <c r="AR364" s="2954"/>
      <c r="AS364" s="2954"/>
      <c r="AT364" s="2935"/>
      <c r="AU364" s="2964"/>
      <c r="AV364" s="857">
        <f t="shared" si="207"/>
        <v>0</v>
      </c>
      <c r="AW364" s="857">
        <f t="shared" si="208"/>
        <v>0</v>
      </c>
      <c r="AX364" s="857">
        <f t="shared" si="209"/>
        <v>0</v>
      </c>
      <c r="AY364" s="807">
        <f t="shared" ref="AY364:AY397" si="213">ROUND($AY$6*AZ364/$AZ$5,2)</f>
        <v>0</v>
      </c>
      <c r="AZ364" s="2934">
        <f t="shared" ref="AZ364:AZ397" si="214">BA364+BL364</f>
        <v>0</v>
      </c>
      <c r="BA364" s="2934">
        <f t="shared" ref="BA364:BA397" si="215">SUM(BB364:BK364)</f>
        <v>0</v>
      </c>
      <c r="BB364" s="2934">
        <f t="shared" ref="BB364:BB397" si="216">IF($D364="是",I364-J364,0)</f>
        <v>0</v>
      </c>
      <c r="BC364" s="2934">
        <f t="shared" ref="BC364:BC397" si="217">IF($D364="是",K364-L364,0)</f>
        <v>0</v>
      </c>
      <c r="BD364" s="2934">
        <f t="shared" ref="BD364:BD397" si="218">IF($D364="是",M364-N364,0)</f>
        <v>0</v>
      </c>
      <c r="BE364" s="2934">
        <f t="shared" ref="BE364:BE397" si="219">IF($D364="是",O364-P364,0)</f>
        <v>0</v>
      </c>
      <c r="BF364" s="2934">
        <f t="shared" ref="BF364:BF397" si="220">IF($D364="是",Q364-R364,0)</f>
        <v>0</v>
      </c>
      <c r="BG364" s="2934">
        <f t="shared" ref="BG364:BG397" si="221">IF($D364="是",S364-T364,0)</f>
        <v>0</v>
      </c>
      <c r="BH364" s="2934">
        <f t="shared" ref="BH364:BH397" si="222">IF($D364="是",U364-V364,0)</f>
        <v>0</v>
      </c>
      <c r="BI364" s="2934">
        <f t="shared" ref="BI364:BI397" si="223">IF($D364="是",W364-X364,0)</f>
        <v>0</v>
      </c>
      <c r="BJ364" s="2934">
        <f t="shared" ref="BJ364:BJ397" si="224">IF($D364="是",Y364-Z364,0)</f>
        <v>0</v>
      </c>
      <c r="BK364" s="2934">
        <f t="shared" ref="BK364:BK397" si="225">IF($D364="是",AA364-AB364,0)</f>
        <v>0</v>
      </c>
      <c r="BL364" s="2934">
        <f t="shared" ref="BL364:BL397" si="226">SUM(BM364:BT364)</f>
        <v>0</v>
      </c>
      <c r="BM364" s="2934">
        <f t="shared" ref="BM364:BM397" si="227">IF($D364="是",AD364-AE364,0)</f>
        <v>0</v>
      </c>
      <c r="BN364" s="2934">
        <f t="shared" ref="BN364:BN397" si="228">IF($D364="是",AF364-AG364,0)</f>
        <v>0</v>
      </c>
      <c r="BO364" s="2934">
        <f t="shared" ref="BO364:BO397" si="229">IF($D364="是",AH364-AI364,0)</f>
        <v>0</v>
      </c>
      <c r="BP364" s="2934">
        <f t="shared" ref="BP364:BP397" si="230">IF($D364="是",AJ364-AK364,0)</f>
        <v>0</v>
      </c>
      <c r="BQ364" s="2934">
        <f t="shared" ref="BQ364:BQ397" si="231">IF($D364="是",AL364-AM364,0)</f>
        <v>0</v>
      </c>
      <c r="BR364" s="2934">
        <f t="shared" ref="BR364:BR397" si="232">IF($D364="是",AN364-AO364,0)</f>
        <v>0</v>
      </c>
      <c r="BS364" s="2934">
        <f t="shared" ref="BS364:BS397" si="233">IF($D364="是",AP364-AQ364,0)</f>
        <v>0</v>
      </c>
      <c r="BT364" s="2982">
        <f t="shared" ref="BT364:BT397" si="234">IF($D364="是",AR364-AS364,0)</f>
        <v>0</v>
      </c>
    </row>
    <row r="365" spans="1:72">
      <c r="A365" s="874"/>
      <c r="B365" s="882"/>
      <c r="C365" s="882"/>
      <c r="D365" s="2933"/>
      <c r="E365" s="2934">
        <f t="shared" si="206"/>
        <v>0</v>
      </c>
      <c r="F365" s="2935"/>
      <c r="G365" s="2936">
        <f t="shared" si="210"/>
        <v>0</v>
      </c>
      <c r="H365" s="2937">
        <f t="shared" si="211"/>
        <v>0</v>
      </c>
      <c r="I365" s="2944"/>
      <c r="J365" s="2944"/>
      <c r="K365" s="2944"/>
      <c r="L365" s="2944"/>
      <c r="M365" s="2944"/>
      <c r="N365" s="2944"/>
      <c r="O365" s="2944"/>
      <c r="P365" s="2944"/>
      <c r="Q365" s="2944"/>
      <c r="R365" s="2944"/>
      <c r="S365" s="2944"/>
      <c r="T365" s="2944"/>
      <c r="U365" s="2944"/>
      <c r="V365" s="2944"/>
      <c r="W365" s="2944"/>
      <c r="X365" s="2944"/>
      <c r="Y365" s="2944"/>
      <c r="Z365" s="2944"/>
      <c r="AA365" s="2944"/>
      <c r="AB365" s="2944"/>
      <c r="AC365" s="2934">
        <f t="shared" si="212"/>
        <v>0</v>
      </c>
      <c r="AD365" s="2954"/>
      <c r="AE365" s="2954"/>
      <c r="AF365" s="2954"/>
      <c r="AG365" s="2954"/>
      <c r="AH365" s="2954"/>
      <c r="AI365" s="2954"/>
      <c r="AJ365" s="2954"/>
      <c r="AK365" s="2954"/>
      <c r="AL365" s="2954"/>
      <c r="AM365" s="2954"/>
      <c r="AN365" s="2954"/>
      <c r="AO365" s="2954"/>
      <c r="AP365" s="2954"/>
      <c r="AQ365" s="2954"/>
      <c r="AR365" s="2954"/>
      <c r="AS365" s="2954"/>
      <c r="AT365" s="2935"/>
      <c r="AU365" s="2964"/>
      <c r="AV365" s="857">
        <f t="shared" si="207"/>
        <v>0</v>
      </c>
      <c r="AW365" s="857">
        <f t="shared" si="208"/>
        <v>0</v>
      </c>
      <c r="AX365" s="857">
        <f t="shared" si="209"/>
        <v>0</v>
      </c>
      <c r="AY365" s="807">
        <f t="shared" si="213"/>
        <v>0</v>
      </c>
      <c r="AZ365" s="2934">
        <f t="shared" si="214"/>
        <v>0</v>
      </c>
      <c r="BA365" s="2934">
        <f t="shared" si="215"/>
        <v>0</v>
      </c>
      <c r="BB365" s="2934">
        <f t="shared" si="216"/>
        <v>0</v>
      </c>
      <c r="BC365" s="2934">
        <f t="shared" si="217"/>
        <v>0</v>
      </c>
      <c r="BD365" s="2934">
        <f t="shared" si="218"/>
        <v>0</v>
      </c>
      <c r="BE365" s="2934">
        <f t="shared" si="219"/>
        <v>0</v>
      </c>
      <c r="BF365" s="2934">
        <f t="shared" si="220"/>
        <v>0</v>
      </c>
      <c r="BG365" s="2934">
        <f t="shared" si="221"/>
        <v>0</v>
      </c>
      <c r="BH365" s="2934">
        <f t="shared" si="222"/>
        <v>0</v>
      </c>
      <c r="BI365" s="2934">
        <f t="shared" si="223"/>
        <v>0</v>
      </c>
      <c r="BJ365" s="2934">
        <f t="shared" si="224"/>
        <v>0</v>
      </c>
      <c r="BK365" s="2934">
        <f t="shared" si="225"/>
        <v>0</v>
      </c>
      <c r="BL365" s="2934">
        <f t="shared" si="226"/>
        <v>0</v>
      </c>
      <c r="BM365" s="2934">
        <f t="shared" si="227"/>
        <v>0</v>
      </c>
      <c r="BN365" s="2934">
        <f t="shared" si="228"/>
        <v>0</v>
      </c>
      <c r="BO365" s="2934">
        <f t="shared" si="229"/>
        <v>0</v>
      </c>
      <c r="BP365" s="2934">
        <f t="shared" si="230"/>
        <v>0</v>
      </c>
      <c r="BQ365" s="2934">
        <f t="shared" si="231"/>
        <v>0</v>
      </c>
      <c r="BR365" s="2934">
        <f t="shared" si="232"/>
        <v>0</v>
      </c>
      <c r="BS365" s="2934">
        <f t="shared" si="233"/>
        <v>0</v>
      </c>
      <c r="BT365" s="2982">
        <f t="shared" si="234"/>
        <v>0</v>
      </c>
    </row>
    <row r="366" spans="1:72">
      <c r="A366" s="874"/>
      <c r="B366" s="882"/>
      <c r="C366" s="882"/>
      <c r="D366" s="2933"/>
      <c r="E366" s="2934">
        <f t="shared" si="206"/>
        <v>0</v>
      </c>
      <c r="F366" s="2935"/>
      <c r="G366" s="2936">
        <f t="shared" si="210"/>
        <v>0</v>
      </c>
      <c r="H366" s="2937">
        <f t="shared" si="211"/>
        <v>0</v>
      </c>
      <c r="I366" s="2944"/>
      <c r="J366" s="2944"/>
      <c r="K366" s="2944"/>
      <c r="L366" s="2944"/>
      <c r="M366" s="2944"/>
      <c r="N366" s="2944"/>
      <c r="O366" s="2944"/>
      <c r="P366" s="2944"/>
      <c r="Q366" s="2944"/>
      <c r="R366" s="2944"/>
      <c r="S366" s="2944"/>
      <c r="T366" s="2944"/>
      <c r="U366" s="2944"/>
      <c r="V366" s="2944"/>
      <c r="W366" s="2944"/>
      <c r="X366" s="2944"/>
      <c r="Y366" s="2944"/>
      <c r="Z366" s="2944"/>
      <c r="AA366" s="2944"/>
      <c r="AB366" s="2944"/>
      <c r="AC366" s="2934">
        <f t="shared" si="212"/>
        <v>0</v>
      </c>
      <c r="AD366" s="2954"/>
      <c r="AE366" s="2954"/>
      <c r="AF366" s="2954"/>
      <c r="AG366" s="2954"/>
      <c r="AH366" s="2954"/>
      <c r="AI366" s="2954"/>
      <c r="AJ366" s="2954"/>
      <c r="AK366" s="2954"/>
      <c r="AL366" s="2954"/>
      <c r="AM366" s="2954"/>
      <c r="AN366" s="2954"/>
      <c r="AO366" s="2954"/>
      <c r="AP366" s="2954"/>
      <c r="AQ366" s="2954"/>
      <c r="AR366" s="2954"/>
      <c r="AS366" s="2954"/>
      <c r="AT366" s="2935"/>
      <c r="AU366" s="2964"/>
      <c r="AV366" s="857">
        <f t="shared" si="207"/>
        <v>0</v>
      </c>
      <c r="AW366" s="857">
        <f t="shared" si="208"/>
        <v>0</v>
      </c>
      <c r="AX366" s="857">
        <f t="shared" si="209"/>
        <v>0</v>
      </c>
      <c r="AY366" s="807">
        <f t="shared" si="213"/>
        <v>0</v>
      </c>
      <c r="AZ366" s="2934">
        <f t="shared" si="214"/>
        <v>0</v>
      </c>
      <c r="BA366" s="2934">
        <f t="shared" si="215"/>
        <v>0</v>
      </c>
      <c r="BB366" s="2934">
        <f t="shared" si="216"/>
        <v>0</v>
      </c>
      <c r="BC366" s="2934">
        <f t="shared" si="217"/>
        <v>0</v>
      </c>
      <c r="BD366" s="2934">
        <f t="shared" si="218"/>
        <v>0</v>
      </c>
      <c r="BE366" s="2934">
        <f t="shared" si="219"/>
        <v>0</v>
      </c>
      <c r="BF366" s="2934">
        <f t="shared" si="220"/>
        <v>0</v>
      </c>
      <c r="BG366" s="2934">
        <f t="shared" si="221"/>
        <v>0</v>
      </c>
      <c r="BH366" s="2934">
        <f t="shared" si="222"/>
        <v>0</v>
      </c>
      <c r="BI366" s="2934">
        <f t="shared" si="223"/>
        <v>0</v>
      </c>
      <c r="BJ366" s="2934">
        <f t="shared" si="224"/>
        <v>0</v>
      </c>
      <c r="BK366" s="2934">
        <f t="shared" si="225"/>
        <v>0</v>
      </c>
      <c r="BL366" s="2934">
        <f t="shared" si="226"/>
        <v>0</v>
      </c>
      <c r="BM366" s="2934">
        <f t="shared" si="227"/>
        <v>0</v>
      </c>
      <c r="BN366" s="2934">
        <f t="shared" si="228"/>
        <v>0</v>
      </c>
      <c r="BO366" s="2934">
        <f t="shared" si="229"/>
        <v>0</v>
      </c>
      <c r="BP366" s="2934">
        <f t="shared" si="230"/>
        <v>0</v>
      </c>
      <c r="BQ366" s="2934">
        <f t="shared" si="231"/>
        <v>0</v>
      </c>
      <c r="BR366" s="2934">
        <f t="shared" si="232"/>
        <v>0</v>
      </c>
      <c r="BS366" s="2934">
        <f t="shared" si="233"/>
        <v>0</v>
      </c>
      <c r="BT366" s="2982">
        <f t="shared" si="234"/>
        <v>0</v>
      </c>
    </row>
    <row r="367" spans="1:72">
      <c r="A367" s="874"/>
      <c r="B367" s="882"/>
      <c r="C367" s="882"/>
      <c r="D367" s="2933"/>
      <c r="E367" s="2934">
        <f t="shared" ref="E367:E397" si="235">IF($C$3="是",ROUND($A$3*G367/$B$3,2),ROUND($A$3*(G367-AT367)/$B$3,2))</f>
        <v>0</v>
      </c>
      <c r="F367" s="2935"/>
      <c r="G367" s="2936">
        <f t="shared" si="210"/>
        <v>0</v>
      </c>
      <c r="H367" s="2937">
        <f t="shared" si="211"/>
        <v>0</v>
      </c>
      <c r="I367" s="2944"/>
      <c r="J367" s="2944"/>
      <c r="K367" s="2944"/>
      <c r="L367" s="2944"/>
      <c r="M367" s="2944"/>
      <c r="N367" s="2944"/>
      <c r="O367" s="2944"/>
      <c r="P367" s="2944"/>
      <c r="Q367" s="2944"/>
      <c r="R367" s="2944"/>
      <c r="S367" s="2944"/>
      <c r="T367" s="2944"/>
      <c r="U367" s="2944"/>
      <c r="V367" s="2944"/>
      <c r="W367" s="2944"/>
      <c r="X367" s="2944"/>
      <c r="Y367" s="2944"/>
      <c r="Z367" s="2944"/>
      <c r="AA367" s="2944"/>
      <c r="AB367" s="2944"/>
      <c r="AC367" s="2934">
        <f t="shared" si="212"/>
        <v>0</v>
      </c>
      <c r="AD367" s="2954"/>
      <c r="AE367" s="2954"/>
      <c r="AF367" s="2954"/>
      <c r="AG367" s="2954"/>
      <c r="AH367" s="2954"/>
      <c r="AI367" s="2954"/>
      <c r="AJ367" s="2954"/>
      <c r="AK367" s="2954"/>
      <c r="AL367" s="2954"/>
      <c r="AM367" s="2954"/>
      <c r="AN367" s="2954"/>
      <c r="AO367" s="2954"/>
      <c r="AP367" s="2954"/>
      <c r="AQ367" s="2954"/>
      <c r="AR367" s="2954"/>
      <c r="AS367" s="2954"/>
      <c r="AT367" s="2935"/>
      <c r="AU367" s="2964"/>
      <c r="AV367" s="857">
        <f t="shared" ref="AV367:AV397" si="236">A367</f>
        <v>0</v>
      </c>
      <c r="AW367" s="857">
        <f t="shared" ref="AW367:AW397" si="237">B367</f>
        <v>0</v>
      </c>
      <c r="AX367" s="857">
        <f t="shared" ref="AX367:AX397" si="238">C367</f>
        <v>0</v>
      </c>
      <c r="AY367" s="807">
        <f t="shared" si="213"/>
        <v>0</v>
      </c>
      <c r="AZ367" s="2934">
        <f t="shared" si="214"/>
        <v>0</v>
      </c>
      <c r="BA367" s="2934">
        <f t="shared" si="215"/>
        <v>0</v>
      </c>
      <c r="BB367" s="2934">
        <f t="shared" si="216"/>
        <v>0</v>
      </c>
      <c r="BC367" s="2934">
        <f t="shared" si="217"/>
        <v>0</v>
      </c>
      <c r="BD367" s="2934">
        <f t="shared" si="218"/>
        <v>0</v>
      </c>
      <c r="BE367" s="2934">
        <f t="shared" si="219"/>
        <v>0</v>
      </c>
      <c r="BF367" s="2934">
        <f t="shared" si="220"/>
        <v>0</v>
      </c>
      <c r="BG367" s="2934">
        <f t="shared" si="221"/>
        <v>0</v>
      </c>
      <c r="BH367" s="2934">
        <f t="shared" si="222"/>
        <v>0</v>
      </c>
      <c r="BI367" s="2934">
        <f t="shared" si="223"/>
        <v>0</v>
      </c>
      <c r="BJ367" s="2934">
        <f t="shared" si="224"/>
        <v>0</v>
      </c>
      <c r="BK367" s="2934">
        <f t="shared" si="225"/>
        <v>0</v>
      </c>
      <c r="BL367" s="2934">
        <f t="shared" si="226"/>
        <v>0</v>
      </c>
      <c r="BM367" s="2934">
        <f t="shared" si="227"/>
        <v>0</v>
      </c>
      <c r="BN367" s="2934">
        <f t="shared" si="228"/>
        <v>0</v>
      </c>
      <c r="BO367" s="2934">
        <f t="shared" si="229"/>
        <v>0</v>
      </c>
      <c r="BP367" s="2934">
        <f t="shared" si="230"/>
        <v>0</v>
      </c>
      <c r="BQ367" s="2934">
        <f t="shared" si="231"/>
        <v>0</v>
      </c>
      <c r="BR367" s="2934">
        <f t="shared" si="232"/>
        <v>0</v>
      </c>
      <c r="BS367" s="2934">
        <f t="shared" si="233"/>
        <v>0</v>
      </c>
      <c r="BT367" s="2982">
        <f t="shared" si="234"/>
        <v>0</v>
      </c>
    </row>
    <row r="368" spans="1:72">
      <c r="A368" s="874"/>
      <c r="B368" s="882"/>
      <c r="C368" s="882"/>
      <c r="D368" s="2933"/>
      <c r="E368" s="2934">
        <f t="shared" si="235"/>
        <v>0</v>
      </c>
      <c r="F368" s="2935"/>
      <c r="G368" s="2936">
        <f t="shared" si="210"/>
        <v>0</v>
      </c>
      <c r="H368" s="2937">
        <f t="shared" si="211"/>
        <v>0</v>
      </c>
      <c r="I368" s="2944"/>
      <c r="J368" s="2944"/>
      <c r="K368" s="2944"/>
      <c r="L368" s="2944"/>
      <c r="M368" s="2944"/>
      <c r="N368" s="2944"/>
      <c r="O368" s="2944"/>
      <c r="P368" s="2944"/>
      <c r="Q368" s="2944"/>
      <c r="R368" s="2944"/>
      <c r="S368" s="2944"/>
      <c r="T368" s="2944"/>
      <c r="U368" s="2944"/>
      <c r="V368" s="2944"/>
      <c r="W368" s="2944"/>
      <c r="X368" s="2944"/>
      <c r="Y368" s="2944"/>
      <c r="Z368" s="2944"/>
      <c r="AA368" s="2944"/>
      <c r="AB368" s="2944"/>
      <c r="AC368" s="2934">
        <f t="shared" si="212"/>
        <v>0</v>
      </c>
      <c r="AD368" s="2954"/>
      <c r="AE368" s="2954"/>
      <c r="AF368" s="2954"/>
      <c r="AG368" s="2954"/>
      <c r="AH368" s="2954"/>
      <c r="AI368" s="2954"/>
      <c r="AJ368" s="2954"/>
      <c r="AK368" s="2954"/>
      <c r="AL368" s="2954"/>
      <c r="AM368" s="2954"/>
      <c r="AN368" s="2954"/>
      <c r="AO368" s="2954"/>
      <c r="AP368" s="2954"/>
      <c r="AQ368" s="2954"/>
      <c r="AR368" s="2954"/>
      <c r="AS368" s="2954"/>
      <c r="AT368" s="2935"/>
      <c r="AU368" s="2964"/>
      <c r="AV368" s="857">
        <f t="shared" si="236"/>
        <v>0</v>
      </c>
      <c r="AW368" s="857">
        <f t="shared" si="237"/>
        <v>0</v>
      </c>
      <c r="AX368" s="857">
        <f t="shared" si="238"/>
        <v>0</v>
      </c>
      <c r="AY368" s="807">
        <f t="shared" si="213"/>
        <v>0</v>
      </c>
      <c r="AZ368" s="2934">
        <f t="shared" si="214"/>
        <v>0</v>
      </c>
      <c r="BA368" s="2934">
        <f t="shared" si="215"/>
        <v>0</v>
      </c>
      <c r="BB368" s="2934">
        <f t="shared" si="216"/>
        <v>0</v>
      </c>
      <c r="BC368" s="2934">
        <f t="shared" si="217"/>
        <v>0</v>
      </c>
      <c r="BD368" s="2934">
        <f t="shared" si="218"/>
        <v>0</v>
      </c>
      <c r="BE368" s="2934">
        <f t="shared" si="219"/>
        <v>0</v>
      </c>
      <c r="BF368" s="2934">
        <f t="shared" si="220"/>
        <v>0</v>
      </c>
      <c r="BG368" s="2934">
        <f t="shared" si="221"/>
        <v>0</v>
      </c>
      <c r="BH368" s="2934">
        <f t="shared" si="222"/>
        <v>0</v>
      </c>
      <c r="BI368" s="2934">
        <f t="shared" si="223"/>
        <v>0</v>
      </c>
      <c r="BJ368" s="2934">
        <f t="shared" si="224"/>
        <v>0</v>
      </c>
      <c r="BK368" s="2934">
        <f t="shared" si="225"/>
        <v>0</v>
      </c>
      <c r="BL368" s="2934">
        <f t="shared" si="226"/>
        <v>0</v>
      </c>
      <c r="BM368" s="2934">
        <f t="shared" si="227"/>
        <v>0</v>
      </c>
      <c r="BN368" s="2934">
        <f t="shared" si="228"/>
        <v>0</v>
      </c>
      <c r="BO368" s="2934">
        <f t="shared" si="229"/>
        <v>0</v>
      </c>
      <c r="BP368" s="2934">
        <f t="shared" si="230"/>
        <v>0</v>
      </c>
      <c r="BQ368" s="2934">
        <f t="shared" si="231"/>
        <v>0</v>
      </c>
      <c r="BR368" s="2934">
        <f t="shared" si="232"/>
        <v>0</v>
      </c>
      <c r="BS368" s="2934">
        <f t="shared" si="233"/>
        <v>0</v>
      </c>
      <c r="BT368" s="2982">
        <f t="shared" si="234"/>
        <v>0</v>
      </c>
    </row>
    <row r="369" spans="1:72">
      <c r="A369" s="874"/>
      <c r="B369" s="882"/>
      <c r="C369" s="882"/>
      <c r="D369" s="2933"/>
      <c r="E369" s="2934">
        <f t="shared" si="235"/>
        <v>0</v>
      </c>
      <c r="F369" s="2935"/>
      <c r="G369" s="2936">
        <f t="shared" si="210"/>
        <v>0</v>
      </c>
      <c r="H369" s="2937">
        <f t="shared" si="211"/>
        <v>0</v>
      </c>
      <c r="I369" s="2944"/>
      <c r="J369" s="2944"/>
      <c r="K369" s="2944"/>
      <c r="L369" s="2944"/>
      <c r="M369" s="2944"/>
      <c r="N369" s="2944"/>
      <c r="O369" s="2944"/>
      <c r="P369" s="2944"/>
      <c r="Q369" s="2944"/>
      <c r="R369" s="2944"/>
      <c r="S369" s="2944"/>
      <c r="T369" s="2944"/>
      <c r="U369" s="2944"/>
      <c r="V369" s="2944"/>
      <c r="W369" s="2944"/>
      <c r="X369" s="2944"/>
      <c r="Y369" s="2944"/>
      <c r="Z369" s="2944"/>
      <c r="AA369" s="2944"/>
      <c r="AB369" s="2944"/>
      <c r="AC369" s="2934">
        <f t="shared" si="212"/>
        <v>0</v>
      </c>
      <c r="AD369" s="2954"/>
      <c r="AE369" s="2954"/>
      <c r="AF369" s="2954"/>
      <c r="AG369" s="2954"/>
      <c r="AH369" s="2954"/>
      <c r="AI369" s="2954"/>
      <c r="AJ369" s="2954"/>
      <c r="AK369" s="2954"/>
      <c r="AL369" s="2954"/>
      <c r="AM369" s="2954"/>
      <c r="AN369" s="2954"/>
      <c r="AO369" s="2954"/>
      <c r="AP369" s="2954"/>
      <c r="AQ369" s="2954"/>
      <c r="AR369" s="2954"/>
      <c r="AS369" s="2954"/>
      <c r="AT369" s="2935"/>
      <c r="AU369" s="2964"/>
      <c r="AV369" s="857">
        <f t="shared" si="236"/>
        <v>0</v>
      </c>
      <c r="AW369" s="857">
        <f t="shared" si="237"/>
        <v>0</v>
      </c>
      <c r="AX369" s="857">
        <f t="shared" si="238"/>
        <v>0</v>
      </c>
      <c r="AY369" s="807">
        <f t="shared" si="213"/>
        <v>0</v>
      </c>
      <c r="AZ369" s="2934">
        <f t="shared" si="214"/>
        <v>0</v>
      </c>
      <c r="BA369" s="2934">
        <f t="shared" si="215"/>
        <v>0</v>
      </c>
      <c r="BB369" s="2934">
        <f t="shared" si="216"/>
        <v>0</v>
      </c>
      <c r="BC369" s="2934">
        <f t="shared" si="217"/>
        <v>0</v>
      </c>
      <c r="BD369" s="2934">
        <f t="shared" si="218"/>
        <v>0</v>
      </c>
      <c r="BE369" s="2934">
        <f t="shared" si="219"/>
        <v>0</v>
      </c>
      <c r="BF369" s="2934">
        <f t="shared" si="220"/>
        <v>0</v>
      </c>
      <c r="BG369" s="2934">
        <f t="shared" si="221"/>
        <v>0</v>
      </c>
      <c r="BH369" s="2934">
        <f t="shared" si="222"/>
        <v>0</v>
      </c>
      <c r="BI369" s="2934">
        <f t="shared" si="223"/>
        <v>0</v>
      </c>
      <c r="BJ369" s="2934">
        <f t="shared" si="224"/>
        <v>0</v>
      </c>
      <c r="BK369" s="2934">
        <f t="shared" si="225"/>
        <v>0</v>
      </c>
      <c r="BL369" s="2934">
        <f t="shared" si="226"/>
        <v>0</v>
      </c>
      <c r="BM369" s="2934">
        <f t="shared" si="227"/>
        <v>0</v>
      </c>
      <c r="BN369" s="2934">
        <f t="shared" si="228"/>
        <v>0</v>
      </c>
      <c r="BO369" s="2934">
        <f t="shared" si="229"/>
        <v>0</v>
      </c>
      <c r="BP369" s="2934">
        <f t="shared" si="230"/>
        <v>0</v>
      </c>
      <c r="BQ369" s="2934">
        <f t="shared" si="231"/>
        <v>0</v>
      </c>
      <c r="BR369" s="2934">
        <f t="shared" si="232"/>
        <v>0</v>
      </c>
      <c r="BS369" s="2934">
        <f t="shared" si="233"/>
        <v>0</v>
      </c>
      <c r="BT369" s="2982">
        <f t="shared" si="234"/>
        <v>0</v>
      </c>
    </row>
    <row r="370" spans="1:72">
      <c r="A370" s="874"/>
      <c r="B370" s="882"/>
      <c r="C370" s="882"/>
      <c r="D370" s="2933"/>
      <c r="E370" s="2934">
        <f t="shared" si="235"/>
        <v>0</v>
      </c>
      <c r="F370" s="2935"/>
      <c r="G370" s="2936">
        <f t="shared" si="210"/>
        <v>0</v>
      </c>
      <c r="H370" s="2937">
        <f t="shared" si="211"/>
        <v>0</v>
      </c>
      <c r="I370" s="2944"/>
      <c r="J370" s="2944"/>
      <c r="K370" s="2944"/>
      <c r="L370" s="2944"/>
      <c r="M370" s="2944"/>
      <c r="N370" s="2944"/>
      <c r="O370" s="2944"/>
      <c r="P370" s="2944"/>
      <c r="Q370" s="2944"/>
      <c r="R370" s="2944"/>
      <c r="S370" s="2944"/>
      <c r="T370" s="2944"/>
      <c r="U370" s="2944"/>
      <c r="V370" s="2944"/>
      <c r="W370" s="2944"/>
      <c r="X370" s="2944"/>
      <c r="Y370" s="2944"/>
      <c r="Z370" s="2944"/>
      <c r="AA370" s="2944"/>
      <c r="AB370" s="2944"/>
      <c r="AC370" s="2934">
        <f t="shared" si="212"/>
        <v>0</v>
      </c>
      <c r="AD370" s="2954"/>
      <c r="AE370" s="2954"/>
      <c r="AF370" s="2954"/>
      <c r="AG370" s="2954"/>
      <c r="AH370" s="2954"/>
      <c r="AI370" s="2954"/>
      <c r="AJ370" s="2954"/>
      <c r="AK370" s="2954"/>
      <c r="AL370" s="2954"/>
      <c r="AM370" s="2954"/>
      <c r="AN370" s="2954"/>
      <c r="AO370" s="2954"/>
      <c r="AP370" s="2954"/>
      <c r="AQ370" s="2954"/>
      <c r="AR370" s="2954"/>
      <c r="AS370" s="2954"/>
      <c r="AT370" s="2935"/>
      <c r="AU370" s="2964"/>
      <c r="AV370" s="857">
        <f t="shared" si="236"/>
        <v>0</v>
      </c>
      <c r="AW370" s="857">
        <f t="shared" si="237"/>
        <v>0</v>
      </c>
      <c r="AX370" s="857">
        <f t="shared" si="238"/>
        <v>0</v>
      </c>
      <c r="AY370" s="807">
        <f t="shared" si="213"/>
        <v>0</v>
      </c>
      <c r="AZ370" s="2934">
        <f t="shared" si="214"/>
        <v>0</v>
      </c>
      <c r="BA370" s="2934">
        <f t="shared" si="215"/>
        <v>0</v>
      </c>
      <c r="BB370" s="2934">
        <f t="shared" si="216"/>
        <v>0</v>
      </c>
      <c r="BC370" s="2934">
        <f t="shared" si="217"/>
        <v>0</v>
      </c>
      <c r="BD370" s="2934">
        <f t="shared" si="218"/>
        <v>0</v>
      </c>
      <c r="BE370" s="2934">
        <f t="shared" si="219"/>
        <v>0</v>
      </c>
      <c r="BF370" s="2934">
        <f t="shared" si="220"/>
        <v>0</v>
      </c>
      <c r="BG370" s="2934">
        <f t="shared" si="221"/>
        <v>0</v>
      </c>
      <c r="BH370" s="2934">
        <f t="shared" si="222"/>
        <v>0</v>
      </c>
      <c r="BI370" s="2934">
        <f t="shared" si="223"/>
        <v>0</v>
      </c>
      <c r="BJ370" s="2934">
        <f t="shared" si="224"/>
        <v>0</v>
      </c>
      <c r="BK370" s="2934">
        <f t="shared" si="225"/>
        <v>0</v>
      </c>
      <c r="BL370" s="2934">
        <f t="shared" si="226"/>
        <v>0</v>
      </c>
      <c r="BM370" s="2934">
        <f t="shared" si="227"/>
        <v>0</v>
      </c>
      <c r="BN370" s="2934">
        <f t="shared" si="228"/>
        <v>0</v>
      </c>
      <c r="BO370" s="2934">
        <f t="shared" si="229"/>
        <v>0</v>
      </c>
      <c r="BP370" s="2934">
        <f t="shared" si="230"/>
        <v>0</v>
      </c>
      <c r="BQ370" s="2934">
        <f t="shared" si="231"/>
        <v>0</v>
      </c>
      <c r="BR370" s="2934">
        <f t="shared" si="232"/>
        <v>0</v>
      </c>
      <c r="BS370" s="2934">
        <f t="shared" si="233"/>
        <v>0</v>
      </c>
      <c r="BT370" s="2982">
        <f t="shared" si="234"/>
        <v>0</v>
      </c>
    </row>
    <row r="371" spans="1:72">
      <c r="A371" s="874"/>
      <c r="B371" s="882"/>
      <c r="C371" s="882"/>
      <c r="D371" s="2933"/>
      <c r="E371" s="2934">
        <f t="shared" si="235"/>
        <v>0</v>
      </c>
      <c r="F371" s="2935"/>
      <c r="G371" s="2936">
        <f t="shared" si="210"/>
        <v>0</v>
      </c>
      <c r="H371" s="2937">
        <f t="shared" si="211"/>
        <v>0</v>
      </c>
      <c r="I371" s="2944"/>
      <c r="J371" s="2944"/>
      <c r="K371" s="2944"/>
      <c r="L371" s="2944"/>
      <c r="M371" s="2944"/>
      <c r="N371" s="2944"/>
      <c r="O371" s="2944"/>
      <c r="P371" s="2944"/>
      <c r="Q371" s="2944"/>
      <c r="R371" s="2944"/>
      <c r="S371" s="2944"/>
      <c r="T371" s="2944"/>
      <c r="U371" s="2944"/>
      <c r="V371" s="2944"/>
      <c r="W371" s="2944"/>
      <c r="X371" s="2944"/>
      <c r="Y371" s="2944"/>
      <c r="Z371" s="2944"/>
      <c r="AA371" s="2944"/>
      <c r="AB371" s="2944"/>
      <c r="AC371" s="2934">
        <f t="shared" si="212"/>
        <v>0</v>
      </c>
      <c r="AD371" s="2954"/>
      <c r="AE371" s="2954"/>
      <c r="AF371" s="2954"/>
      <c r="AG371" s="2954"/>
      <c r="AH371" s="2954"/>
      <c r="AI371" s="2954"/>
      <c r="AJ371" s="2954"/>
      <c r="AK371" s="2954"/>
      <c r="AL371" s="2954"/>
      <c r="AM371" s="2954"/>
      <c r="AN371" s="2954"/>
      <c r="AO371" s="2954"/>
      <c r="AP371" s="2954"/>
      <c r="AQ371" s="2954"/>
      <c r="AR371" s="2954"/>
      <c r="AS371" s="2954"/>
      <c r="AT371" s="2935"/>
      <c r="AU371" s="2964"/>
      <c r="AV371" s="857">
        <f t="shared" si="236"/>
        <v>0</v>
      </c>
      <c r="AW371" s="857">
        <f t="shared" si="237"/>
        <v>0</v>
      </c>
      <c r="AX371" s="857">
        <f t="shared" si="238"/>
        <v>0</v>
      </c>
      <c r="AY371" s="807">
        <f t="shared" si="213"/>
        <v>0</v>
      </c>
      <c r="AZ371" s="2934">
        <f t="shared" si="214"/>
        <v>0</v>
      </c>
      <c r="BA371" s="2934">
        <f t="shared" si="215"/>
        <v>0</v>
      </c>
      <c r="BB371" s="2934">
        <f t="shared" si="216"/>
        <v>0</v>
      </c>
      <c r="BC371" s="2934">
        <f t="shared" si="217"/>
        <v>0</v>
      </c>
      <c r="BD371" s="2934">
        <f t="shared" si="218"/>
        <v>0</v>
      </c>
      <c r="BE371" s="2934">
        <f t="shared" si="219"/>
        <v>0</v>
      </c>
      <c r="BF371" s="2934">
        <f t="shared" si="220"/>
        <v>0</v>
      </c>
      <c r="BG371" s="2934">
        <f t="shared" si="221"/>
        <v>0</v>
      </c>
      <c r="BH371" s="2934">
        <f t="shared" si="222"/>
        <v>0</v>
      </c>
      <c r="BI371" s="2934">
        <f t="shared" si="223"/>
        <v>0</v>
      </c>
      <c r="BJ371" s="2934">
        <f t="shared" si="224"/>
        <v>0</v>
      </c>
      <c r="BK371" s="2934">
        <f t="shared" si="225"/>
        <v>0</v>
      </c>
      <c r="BL371" s="2934">
        <f t="shared" si="226"/>
        <v>0</v>
      </c>
      <c r="BM371" s="2934">
        <f t="shared" si="227"/>
        <v>0</v>
      </c>
      <c r="BN371" s="2934">
        <f t="shared" si="228"/>
        <v>0</v>
      </c>
      <c r="BO371" s="2934">
        <f t="shared" si="229"/>
        <v>0</v>
      </c>
      <c r="BP371" s="2934">
        <f t="shared" si="230"/>
        <v>0</v>
      </c>
      <c r="BQ371" s="2934">
        <f t="shared" si="231"/>
        <v>0</v>
      </c>
      <c r="BR371" s="2934">
        <f t="shared" si="232"/>
        <v>0</v>
      </c>
      <c r="BS371" s="2934">
        <f t="shared" si="233"/>
        <v>0</v>
      </c>
      <c r="BT371" s="2982">
        <f t="shared" si="234"/>
        <v>0</v>
      </c>
    </row>
    <row r="372" spans="1:72">
      <c r="A372" s="874"/>
      <c r="B372" s="882"/>
      <c r="C372" s="882"/>
      <c r="D372" s="2933"/>
      <c r="E372" s="2934">
        <f t="shared" si="235"/>
        <v>0</v>
      </c>
      <c r="F372" s="2935"/>
      <c r="G372" s="2936">
        <f t="shared" si="210"/>
        <v>0</v>
      </c>
      <c r="H372" s="2937">
        <f t="shared" si="211"/>
        <v>0</v>
      </c>
      <c r="I372" s="2944"/>
      <c r="J372" s="2944"/>
      <c r="K372" s="2944"/>
      <c r="L372" s="2944"/>
      <c r="M372" s="2944"/>
      <c r="N372" s="2944"/>
      <c r="O372" s="2944"/>
      <c r="P372" s="2944"/>
      <c r="Q372" s="2944"/>
      <c r="R372" s="2944"/>
      <c r="S372" s="2944"/>
      <c r="T372" s="2944"/>
      <c r="U372" s="2944"/>
      <c r="V372" s="2944"/>
      <c r="W372" s="2944"/>
      <c r="X372" s="2944"/>
      <c r="Y372" s="2944"/>
      <c r="Z372" s="2944"/>
      <c r="AA372" s="2944"/>
      <c r="AB372" s="2944"/>
      <c r="AC372" s="2934">
        <f t="shared" si="212"/>
        <v>0</v>
      </c>
      <c r="AD372" s="2954"/>
      <c r="AE372" s="2954"/>
      <c r="AF372" s="2954"/>
      <c r="AG372" s="2954"/>
      <c r="AH372" s="2954"/>
      <c r="AI372" s="2954"/>
      <c r="AJ372" s="2954"/>
      <c r="AK372" s="2954"/>
      <c r="AL372" s="2954"/>
      <c r="AM372" s="2954"/>
      <c r="AN372" s="2954"/>
      <c r="AO372" s="2954"/>
      <c r="AP372" s="2954"/>
      <c r="AQ372" s="2954"/>
      <c r="AR372" s="2954"/>
      <c r="AS372" s="2954"/>
      <c r="AT372" s="2935"/>
      <c r="AU372" s="2964"/>
      <c r="AV372" s="857">
        <f t="shared" si="236"/>
        <v>0</v>
      </c>
      <c r="AW372" s="857">
        <f t="shared" si="237"/>
        <v>0</v>
      </c>
      <c r="AX372" s="857">
        <f t="shared" si="238"/>
        <v>0</v>
      </c>
      <c r="AY372" s="807">
        <f t="shared" si="213"/>
        <v>0</v>
      </c>
      <c r="AZ372" s="2934">
        <f t="shared" si="214"/>
        <v>0</v>
      </c>
      <c r="BA372" s="2934">
        <f t="shared" si="215"/>
        <v>0</v>
      </c>
      <c r="BB372" s="2934">
        <f t="shared" si="216"/>
        <v>0</v>
      </c>
      <c r="BC372" s="2934">
        <f t="shared" si="217"/>
        <v>0</v>
      </c>
      <c r="BD372" s="2934">
        <f t="shared" si="218"/>
        <v>0</v>
      </c>
      <c r="BE372" s="2934">
        <f t="shared" si="219"/>
        <v>0</v>
      </c>
      <c r="BF372" s="2934">
        <f t="shared" si="220"/>
        <v>0</v>
      </c>
      <c r="BG372" s="2934">
        <f t="shared" si="221"/>
        <v>0</v>
      </c>
      <c r="BH372" s="2934">
        <f t="shared" si="222"/>
        <v>0</v>
      </c>
      <c r="BI372" s="2934">
        <f t="shared" si="223"/>
        <v>0</v>
      </c>
      <c r="BJ372" s="2934">
        <f t="shared" si="224"/>
        <v>0</v>
      </c>
      <c r="BK372" s="2934">
        <f t="shared" si="225"/>
        <v>0</v>
      </c>
      <c r="BL372" s="2934">
        <f t="shared" si="226"/>
        <v>0</v>
      </c>
      <c r="BM372" s="2934">
        <f t="shared" si="227"/>
        <v>0</v>
      </c>
      <c r="BN372" s="2934">
        <f t="shared" si="228"/>
        <v>0</v>
      </c>
      <c r="BO372" s="2934">
        <f t="shared" si="229"/>
        <v>0</v>
      </c>
      <c r="BP372" s="2934">
        <f t="shared" si="230"/>
        <v>0</v>
      </c>
      <c r="BQ372" s="2934">
        <f t="shared" si="231"/>
        <v>0</v>
      </c>
      <c r="BR372" s="2934">
        <f t="shared" si="232"/>
        <v>0</v>
      </c>
      <c r="BS372" s="2934">
        <f t="shared" si="233"/>
        <v>0</v>
      </c>
      <c r="BT372" s="2982">
        <f t="shared" si="234"/>
        <v>0</v>
      </c>
    </row>
    <row r="373" spans="1:72">
      <c r="A373" s="874"/>
      <c r="B373" s="882"/>
      <c r="C373" s="882"/>
      <c r="D373" s="2933"/>
      <c r="E373" s="2934">
        <f t="shared" si="235"/>
        <v>0</v>
      </c>
      <c r="F373" s="2935"/>
      <c r="G373" s="2936">
        <f t="shared" si="210"/>
        <v>0</v>
      </c>
      <c r="H373" s="2937">
        <f t="shared" si="211"/>
        <v>0</v>
      </c>
      <c r="I373" s="2944"/>
      <c r="J373" s="2944"/>
      <c r="K373" s="2944"/>
      <c r="L373" s="2944"/>
      <c r="M373" s="2944"/>
      <c r="N373" s="2944"/>
      <c r="O373" s="2944"/>
      <c r="P373" s="2944"/>
      <c r="Q373" s="2944"/>
      <c r="R373" s="2944"/>
      <c r="S373" s="2944"/>
      <c r="T373" s="2944"/>
      <c r="U373" s="2944"/>
      <c r="V373" s="2944"/>
      <c r="W373" s="2944"/>
      <c r="X373" s="2944"/>
      <c r="Y373" s="2944"/>
      <c r="Z373" s="2944"/>
      <c r="AA373" s="2944"/>
      <c r="AB373" s="2944"/>
      <c r="AC373" s="2934">
        <f t="shared" si="212"/>
        <v>0</v>
      </c>
      <c r="AD373" s="2954"/>
      <c r="AE373" s="2954"/>
      <c r="AF373" s="2954"/>
      <c r="AG373" s="2954"/>
      <c r="AH373" s="2954"/>
      <c r="AI373" s="2954"/>
      <c r="AJ373" s="2954"/>
      <c r="AK373" s="2954"/>
      <c r="AL373" s="2954"/>
      <c r="AM373" s="2954"/>
      <c r="AN373" s="2954"/>
      <c r="AO373" s="2954"/>
      <c r="AP373" s="2954"/>
      <c r="AQ373" s="2954"/>
      <c r="AR373" s="2954"/>
      <c r="AS373" s="2954"/>
      <c r="AT373" s="2935"/>
      <c r="AU373" s="2964"/>
      <c r="AV373" s="857">
        <f t="shared" si="236"/>
        <v>0</v>
      </c>
      <c r="AW373" s="857">
        <f t="shared" si="237"/>
        <v>0</v>
      </c>
      <c r="AX373" s="857">
        <f t="shared" si="238"/>
        <v>0</v>
      </c>
      <c r="AY373" s="807">
        <f t="shared" si="213"/>
        <v>0</v>
      </c>
      <c r="AZ373" s="2934">
        <f t="shared" si="214"/>
        <v>0</v>
      </c>
      <c r="BA373" s="2934">
        <f t="shared" si="215"/>
        <v>0</v>
      </c>
      <c r="BB373" s="2934">
        <f t="shared" si="216"/>
        <v>0</v>
      </c>
      <c r="BC373" s="2934">
        <f t="shared" si="217"/>
        <v>0</v>
      </c>
      <c r="BD373" s="2934">
        <f t="shared" si="218"/>
        <v>0</v>
      </c>
      <c r="BE373" s="2934">
        <f t="shared" si="219"/>
        <v>0</v>
      </c>
      <c r="BF373" s="2934">
        <f t="shared" si="220"/>
        <v>0</v>
      </c>
      <c r="BG373" s="2934">
        <f t="shared" si="221"/>
        <v>0</v>
      </c>
      <c r="BH373" s="2934">
        <f t="shared" si="222"/>
        <v>0</v>
      </c>
      <c r="BI373" s="2934">
        <f t="shared" si="223"/>
        <v>0</v>
      </c>
      <c r="BJ373" s="2934">
        <f t="shared" si="224"/>
        <v>0</v>
      </c>
      <c r="BK373" s="2934">
        <f t="shared" si="225"/>
        <v>0</v>
      </c>
      <c r="BL373" s="2934">
        <f t="shared" si="226"/>
        <v>0</v>
      </c>
      <c r="BM373" s="2934">
        <f t="shared" si="227"/>
        <v>0</v>
      </c>
      <c r="BN373" s="2934">
        <f t="shared" si="228"/>
        <v>0</v>
      </c>
      <c r="BO373" s="2934">
        <f t="shared" si="229"/>
        <v>0</v>
      </c>
      <c r="BP373" s="2934">
        <f t="shared" si="230"/>
        <v>0</v>
      </c>
      <c r="BQ373" s="2934">
        <f t="shared" si="231"/>
        <v>0</v>
      </c>
      <c r="BR373" s="2934">
        <f t="shared" si="232"/>
        <v>0</v>
      </c>
      <c r="BS373" s="2934">
        <f t="shared" si="233"/>
        <v>0</v>
      </c>
      <c r="BT373" s="2982">
        <f t="shared" si="234"/>
        <v>0</v>
      </c>
    </row>
    <row r="374" spans="1:72">
      <c r="A374" s="874"/>
      <c r="B374" s="882"/>
      <c r="C374" s="882"/>
      <c r="D374" s="2933"/>
      <c r="E374" s="2934">
        <f t="shared" si="235"/>
        <v>0</v>
      </c>
      <c r="F374" s="2935"/>
      <c r="G374" s="2936">
        <f t="shared" si="210"/>
        <v>0</v>
      </c>
      <c r="H374" s="2937">
        <f t="shared" si="211"/>
        <v>0</v>
      </c>
      <c r="I374" s="2944"/>
      <c r="J374" s="2944"/>
      <c r="K374" s="2944"/>
      <c r="L374" s="2944"/>
      <c r="M374" s="2944"/>
      <c r="N374" s="2944"/>
      <c r="O374" s="2944"/>
      <c r="P374" s="2944"/>
      <c r="Q374" s="2944"/>
      <c r="R374" s="2944"/>
      <c r="S374" s="2944"/>
      <c r="T374" s="2944"/>
      <c r="U374" s="2944"/>
      <c r="V374" s="2944"/>
      <c r="W374" s="2944"/>
      <c r="X374" s="2944"/>
      <c r="Y374" s="2944"/>
      <c r="Z374" s="2944"/>
      <c r="AA374" s="2944"/>
      <c r="AB374" s="2944"/>
      <c r="AC374" s="2934">
        <f t="shared" si="212"/>
        <v>0</v>
      </c>
      <c r="AD374" s="2954"/>
      <c r="AE374" s="2954"/>
      <c r="AF374" s="2954"/>
      <c r="AG374" s="2954"/>
      <c r="AH374" s="2954"/>
      <c r="AI374" s="2954"/>
      <c r="AJ374" s="2954"/>
      <c r="AK374" s="2954"/>
      <c r="AL374" s="2954"/>
      <c r="AM374" s="2954"/>
      <c r="AN374" s="2954"/>
      <c r="AO374" s="2954"/>
      <c r="AP374" s="2954"/>
      <c r="AQ374" s="2954"/>
      <c r="AR374" s="2954"/>
      <c r="AS374" s="2954"/>
      <c r="AT374" s="2935"/>
      <c r="AU374" s="2964"/>
      <c r="AV374" s="857">
        <f t="shared" si="236"/>
        <v>0</v>
      </c>
      <c r="AW374" s="857">
        <f t="shared" si="237"/>
        <v>0</v>
      </c>
      <c r="AX374" s="857">
        <f t="shared" si="238"/>
        <v>0</v>
      </c>
      <c r="AY374" s="807">
        <f t="shared" si="213"/>
        <v>0</v>
      </c>
      <c r="AZ374" s="2934">
        <f t="shared" si="214"/>
        <v>0</v>
      </c>
      <c r="BA374" s="2934">
        <f t="shared" si="215"/>
        <v>0</v>
      </c>
      <c r="BB374" s="2934">
        <f t="shared" si="216"/>
        <v>0</v>
      </c>
      <c r="BC374" s="2934">
        <f t="shared" si="217"/>
        <v>0</v>
      </c>
      <c r="BD374" s="2934">
        <f t="shared" si="218"/>
        <v>0</v>
      </c>
      <c r="BE374" s="2934">
        <f t="shared" si="219"/>
        <v>0</v>
      </c>
      <c r="BF374" s="2934">
        <f t="shared" si="220"/>
        <v>0</v>
      </c>
      <c r="BG374" s="2934">
        <f t="shared" si="221"/>
        <v>0</v>
      </c>
      <c r="BH374" s="2934">
        <f t="shared" si="222"/>
        <v>0</v>
      </c>
      <c r="BI374" s="2934">
        <f t="shared" si="223"/>
        <v>0</v>
      </c>
      <c r="BJ374" s="2934">
        <f t="shared" si="224"/>
        <v>0</v>
      </c>
      <c r="BK374" s="2934">
        <f t="shared" si="225"/>
        <v>0</v>
      </c>
      <c r="BL374" s="2934">
        <f t="shared" si="226"/>
        <v>0</v>
      </c>
      <c r="BM374" s="2934">
        <f t="shared" si="227"/>
        <v>0</v>
      </c>
      <c r="BN374" s="2934">
        <f t="shared" si="228"/>
        <v>0</v>
      </c>
      <c r="BO374" s="2934">
        <f t="shared" si="229"/>
        <v>0</v>
      </c>
      <c r="BP374" s="2934">
        <f t="shared" si="230"/>
        <v>0</v>
      </c>
      <c r="BQ374" s="2934">
        <f t="shared" si="231"/>
        <v>0</v>
      </c>
      <c r="BR374" s="2934">
        <f t="shared" si="232"/>
        <v>0</v>
      </c>
      <c r="BS374" s="2934">
        <f t="shared" si="233"/>
        <v>0</v>
      </c>
      <c r="BT374" s="2982">
        <f t="shared" si="234"/>
        <v>0</v>
      </c>
    </row>
    <row r="375" spans="1:72">
      <c r="A375" s="874"/>
      <c r="B375" s="882"/>
      <c r="C375" s="882"/>
      <c r="D375" s="2933"/>
      <c r="E375" s="2934">
        <f t="shared" si="235"/>
        <v>0</v>
      </c>
      <c r="F375" s="2935"/>
      <c r="G375" s="2936">
        <f t="shared" si="210"/>
        <v>0</v>
      </c>
      <c r="H375" s="2937">
        <f t="shared" si="211"/>
        <v>0</v>
      </c>
      <c r="I375" s="2944"/>
      <c r="J375" s="2944"/>
      <c r="K375" s="2944"/>
      <c r="L375" s="2944"/>
      <c r="M375" s="2944"/>
      <c r="N375" s="2944"/>
      <c r="O375" s="2944"/>
      <c r="P375" s="2944"/>
      <c r="Q375" s="2944"/>
      <c r="R375" s="2944"/>
      <c r="S375" s="2944"/>
      <c r="T375" s="2944"/>
      <c r="U375" s="2944"/>
      <c r="V375" s="2944"/>
      <c r="W375" s="2944"/>
      <c r="X375" s="2944"/>
      <c r="Y375" s="2944"/>
      <c r="Z375" s="2944"/>
      <c r="AA375" s="2944"/>
      <c r="AB375" s="2944"/>
      <c r="AC375" s="2934">
        <f t="shared" si="212"/>
        <v>0</v>
      </c>
      <c r="AD375" s="2954"/>
      <c r="AE375" s="2954"/>
      <c r="AF375" s="2954"/>
      <c r="AG375" s="2954"/>
      <c r="AH375" s="2954"/>
      <c r="AI375" s="2954"/>
      <c r="AJ375" s="2954"/>
      <c r="AK375" s="2954"/>
      <c r="AL375" s="2954"/>
      <c r="AM375" s="2954"/>
      <c r="AN375" s="2954"/>
      <c r="AO375" s="2954"/>
      <c r="AP375" s="2954"/>
      <c r="AQ375" s="2954"/>
      <c r="AR375" s="2954"/>
      <c r="AS375" s="2954"/>
      <c r="AT375" s="2935"/>
      <c r="AU375" s="2964"/>
      <c r="AV375" s="857">
        <f t="shared" si="236"/>
        <v>0</v>
      </c>
      <c r="AW375" s="857">
        <f t="shared" si="237"/>
        <v>0</v>
      </c>
      <c r="AX375" s="857">
        <f t="shared" si="238"/>
        <v>0</v>
      </c>
      <c r="AY375" s="807">
        <f t="shared" si="213"/>
        <v>0</v>
      </c>
      <c r="AZ375" s="2934">
        <f t="shared" si="214"/>
        <v>0</v>
      </c>
      <c r="BA375" s="2934">
        <f t="shared" si="215"/>
        <v>0</v>
      </c>
      <c r="BB375" s="2934">
        <f t="shared" si="216"/>
        <v>0</v>
      </c>
      <c r="BC375" s="2934">
        <f t="shared" si="217"/>
        <v>0</v>
      </c>
      <c r="BD375" s="2934">
        <f t="shared" si="218"/>
        <v>0</v>
      </c>
      <c r="BE375" s="2934">
        <f t="shared" si="219"/>
        <v>0</v>
      </c>
      <c r="BF375" s="2934">
        <f t="shared" si="220"/>
        <v>0</v>
      </c>
      <c r="BG375" s="2934">
        <f t="shared" si="221"/>
        <v>0</v>
      </c>
      <c r="BH375" s="2934">
        <f t="shared" si="222"/>
        <v>0</v>
      </c>
      <c r="BI375" s="2934">
        <f t="shared" si="223"/>
        <v>0</v>
      </c>
      <c r="BJ375" s="2934">
        <f t="shared" si="224"/>
        <v>0</v>
      </c>
      <c r="BK375" s="2934">
        <f t="shared" si="225"/>
        <v>0</v>
      </c>
      <c r="BL375" s="2934">
        <f t="shared" si="226"/>
        <v>0</v>
      </c>
      <c r="BM375" s="2934">
        <f t="shared" si="227"/>
        <v>0</v>
      </c>
      <c r="BN375" s="2934">
        <f t="shared" si="228"/>
        <v>0</v>
      </c>
      <c r="BO375" s="2934">
        <f t="shared" si="229"/>
        <v>0</v>
      </c>
      <c r="BP375" s="2934">
        <f t="shared" si="230"/>
        <v>0</v>
      </c>
      <c r="BQ375" s="2934">
        <f t="shared" si="231"/>
        <v>0</v>
      </c>
      <c r="BR375" s="2934">
        <f t="shared" si="232"/>
        <v>0</v>
      </c>
      <c r="BS375" s="2934">
        <f t="shared" si="233"/>
        <v>0</v>
      </c>
      <c r="BT375" s="2982">
        <f t="shared" si="234"/>
        <v>0</v>
      </c>
    </row>
    <row r="376" spans="1:72">
      <c r="A376" s="874"/>
      <c r="B376" s="882"/>
      <c r="C376" s="882"/>
      <c r="D376" s="2933"/>
      <c r="E376" s="2934">
        <f t="shared" si="235"/>
        <v>0</v>
      </c>
      <c r="F376" s="2935"/>
      <c r="G376" s="2936">
        <f t="shared" si="210"/>
        <v>0</v>
      </c>
      <c r="H376" s="2937">
        <f t="shared" si="211"/>
        <v>0</v>
      </c>
      <c r="I376" s="2944"/>
      <c r="J376" s="2944"/>
      <c r="K376" s="2944"/>
      <c r="L376" s="2944"/>
      <c r="M376" s="2944"/>
      <c r="N376" s="2944"/>
      <c r="O376" s="2944"/>
      <c r="P376" s="2944"/>
      <c r="Q376" s="2944"/>
      <c r="R376" s="2944"/>
      <c r="S376" s="2944"/>
      <c r="T376" s="2944"/>
      <c r="U376" s="2944"/>
      <c r="V376" s="2944"/>
      <c r="W376" s="2944"/>
      <c r="X376" s="2944"/>
      <c r="Y376" s="2944"/>
      <c r="Z376" s="2944"/>
      <c r="AA376" s="2944"/>
      <c r="AB376" s="2944"/>
      <c r="AC376" s="2934">
        <f t="shared" si="212"/>
        <v>0</v>
      </c>
      <c r="AD376" s="2954"/>
      <c r="AE376" s="2954"/>
      <c r="AF376" s="2954"/>
      <c r="AG376" s="2954"/>
      <c r="AH376" s="2954"/>
      <c r="AI376" s="2954"/>
      <c r="AJ376" s="2954"/>
      <c r="AK376" s="2954"/>
      <c r="AL376" s="2954"/>
      <c r="AM376" s="2954"/>
      <c r="AN376" s="2954"/>
      <c r="AO376" s="2954"/>
      <c r="AP376" s="2954"/>
      <c r="AQ376" s="2954"/>
      <c r="AR376" s="2954"/>
      <c r="AS376" s="2954"/>
      <c r="AT376" s="2935"/>
      <c r="AU376" s="2964"/>
      <c r="AV376" s="857">
        <f t="shared" si="236"/>
        <v>0</v>
      </c>
      <c r="AW376" s="857">
        <f t="shared" si="237"/>
        <v>0</v>
      </c>
      <c r="AX376" s="857">
        <f t="shared" si="238"/>
        <v>0</v>
      </c>
      <c r="AY376" s="807">
        <f t="shared" si="213"/>
        <v>0</v>
      </c>
      <c r="AZ376" s="2934">
        <f t="shared" si="214"/>
        <v>0</v>
      </c>
      <c r="BA376" s="2934">
        <f t="shared" si="215"/>
        <v>0</v>
      </c>
      <c r="BB376" s="2934">
        <f t="shared" si="216"/>
        <v>0</v>
      </c>
      <c r="BC376" s="2934">
        <f t="shared" si="217"/>
        <v>0</v>
      </c>
      <c r="BD376" s="2934">
        <f t="shared" si="218"/>
        <v>0</v>
      </c>
      <c r="BE376" s="2934">
        <f t="shared" si="219"/>
        <v>0</v>
      </c>
      <c r="BF376" s="2934">
        <f t="shared" si="220"/>
        <v>0</v>
      </c>
      <c r="BG376" s="2934">
        <f t="shared" si="221"/>
        <v>0</v>
      </c>
      <c r="BH376" s="2934">
        <f t="shared" si="222"/>
        <v>0</v>
      </c>
      <c r="BI376" s="2934">
        <f t="shared" si="223"/>
        <v>0</v>
      </c>
      <c r="BJ376" s="2934">
        <f t="shared" si="224"/>
        <v>0</v>
      </c>
      <c r="BK376" s="2934">
        <f t="shared" si="225"/>
        <v>0</v>
      </c>
      <c r="BL376" s="2934">
        <f t="shared" si="226"/>
        <v>0</v>
      </c>
      <c r="BM376" s="2934">
        <f t="shared" si="227"/>
        <v>0</v>
      </c>
      <c r="BN376" s="2934">
        <f t="shared" si="228"/>
        <v>0</v>
      </c>
      <c r="BO376" s="2934">
        <f t="shared" si="229"/>
        <v>0</v>
      </c>
      <c r="BP376" s="2934">
        <f t="shared" si="230"/>
        <v>0</v>
      </c>
      <c r="BQ376" s="2934">
        <f t="shared" si="231"/>
        <v>0</v>
      </c>
      <c r="BR376" s="2934">
        <f t="shared" si="232"/>
        <v>0</v>
      </c>
      <c r="BS376" s="2934">
        <f t="shared" si="233"/>
        <v>0</v>
      </c>
      <c r="BT376" s="2982">
        <f t="shared" si="234"/>
        <v>0</v>
      </c>
    </row>
    <row r="377" spans="1:72">
      <c r="A377" s="874"/>
      <c r="B377" s="882"/>
      <c r="C377" s="882"/>
      <c r="D377" s="2933"/>
      <c r="E377" s="2934">
        <f t="shared" si="235"/>
        <v>0</v>
      </c>
      <c r="F377" s="2935"/>
      <c r="G377" s="2936">
        <f t="shared" si="210"/>
        <v>0</v>
      </c>
      <c r="H377" s="2937">
        <f t="shared" si="211"/>
        <v>0</v>
      </c>
      <c r="I377" s="2944"/>
      <c r="J377" s="2944"/>
      <c r="K377" s="2944"/>
      <c r="L377" s="2944"/>
      <c r="M377" s="2944"/>
      <c r="N377" s="2944"/>
      <c r="O377" s="2944"/>
      <c r="P377" s="2944"/>
      <c r="Q377" s="2944"/>
      <c r="R377" s="2944"/>
      <c r="S377" s="2944"/>
      <c r="T377" s="2944"/>
      <c r="U377" s="2944"/>
      <c r="V377" s="2944"/>
      <c r="W377" s="2944"/>
      <c r="X377" s="2944"/>
      <c r="Y377" s="2944"/>
      <c r="Z377" s="2944"/>
      <c r="AA377" s="2944"/>
      <c r="AB377" s="2944"/>
      <c r="AC377" s="2934">
        <f t="shared" si="212"/>
        <v>0</v>
      </c>
      <c r="AD377" s="2954"/>
      <c r="AE377" s="2954"/>
      <c r="AF377" s="2954"/>
      <c r="AG377" s="2954"/>
      <c r="AH377" s="2954"/>
      <c r="AI377" s="2954"/>
      <c r="AJ377" s="2954"/>
      <c r="AK377" s="2954"/>
      <c r="AL377" s="2954"/>
      <c r="AM377" s="2954"/>
      <c r="AN377" s="2954"/>
      <c r="AO377" s="2954"/>
      <c r="AP377" s="2954"/>
      <c r="AQ377" s="2954"/>
      <c r="AR377" s="2954"/>
      <c r="AS377" s="2954"/>
      <c r="AT377" s="2935"/>
      <c r="AU377" s="2964"/>
      <c r="AV377" s="857">
        <f t="shared" si="236"/>
        <v>0</v>
      </c>
      <c r="AW377" s="857">
        <f t="shared" si="237"/>
        <v>0</v>
      </c>
      <c r="AX377" s="857">
        <f t="shared" si="238"/>
        <v>0</v>
      </c>
      <c r="AY377" s="807">
        <f t="shared" si="213"/>
        <v>0</v>
      </c>
      <c r="AZ377" s="2934">
        <f t="shared" si="214"/>
        <v>0</v>
      </c>
      <c r="BA377" s="2934">
        <f t="shared" si="215"/>
        <v>0</v>
      </c>
      <c r="BB377" s="2934">
        <f t="shared" si="216"/>
        <v>0</v>
      </c>
      <c r="BC377" s="2934">
        <f t="shared" si="217"/>
        <v>0</v>
      </c>
      <c r="BD377" s="2934">
        <f t="shared" si="218"/>
        <v>0</v>
      </c>
      <c r="BE377" s="2934">
        <f t="shared" si="219"/>
        <v>0</v>
      </c>
      <c r="BF377" s="2934">
        <f t="shared" si="220"/>
        <v>0</v>
      </c>
      <c r="BG377" s="2934">
        <f t="shared" si="221"/>
        <v>0</v>
      </c>
      <c r="BH377" s="2934">
        <f t="shared" si="222"/>
        <v>0</v>
      </c>
      <c r="BI377" s="2934">
        <f t="shared" si="223"/>
        <v>0</v>
      </c>
      <c r="BJ377" s="2934">
        <f t="shared" si="224"/>
        <v>0</v>
      </c>
      <c r="BK377" s="2934">
        <f t="shared" si="225"/>
        <v>0</v>
      </c>
      <c r="BL377" s="2934">
        <f t="shared" si="226"/>
        <v>0</v>
      </c>
      <c r="BM377" s="2934">
        <f t="shared" si="227"/>
        <v>0</v>
      </c>
      <c r="BN377" s="2934">
        <f t="shared" si="228"/>
        <v>0</v>
      </c>
      <c r="BO377" s="2934">
        <f t="shared" si="229"/>
        <v>0</v>
      </c>
      <c r="BP377" s="2934">
        <f t="shared" si="230"/>
        <v>0</v>
      </c>
      <c r="BQ377" s="2934">
        <f t="shared" si="231"/>
        <v>0</v>
      </c>
      <c r="BR377" s="2934">
        <f t="shared" si="232"/>
        <v>0</v>
      </c>
      <c r="BS377" s="2934">
        <f t="shared" si="233"/>
        <v>0</v>
      </c>
      <c r="BT377" s="2982">
        <f t="shared" si="234"/>
        <v>0</v>
      </c>
    </row>
    <row r="378" spans="1:72">
      <c r="A378" s="874"/>
      <c r="B378" s="882"/>
      <c r="C378" s="882"/>
      <c r="D378" s="2933"/>
      <c r="E378" s="2934">
        <f t="shared" si="235"/>
        <v>0</v>
      </c>
      <c r="F378" s="2935"/>
      <c r="G378" s="2936">
        <f t="shared" si="210"/>
        <v>0</v>
      </c>
      <c r="H378" s="2937">
        <f t="shared" si="211"/>
        <v>0</v>
      </c>
      <c r="I378" s="2944"/>
      <c r="J378" s="2944"/>
      <c r="K378" s="2944"/>
      <c r="L378" s="2944"/>
      <c r="M378" s="2944"/>
      <c r="N378" s="2944"/>
      <c r="O378" s="2944"/>
      <c r="P378" s="2944"/>
      <c r="Q378" s="2944"/>
      <c r="R378" s="2944"/>
      <c r="S378" s="2944"/>
      <c r="T378" s="2944"/>
      <c r="U378" s="2944"/>
      <c r="V378" s="2944"/>
      <c r="W378" s="2944"/>
      <c r="X378" s="2944"/>
      <c r="Y378" s="2944"/>
      <c r="Z378" s="2944"/>
      <c r="AA378" s="2944"/>
      <c r="AB378" s="2944"/>
      <c r="AC378" s="2934">
        <f t="shared" si="212"/>
        <v>0</v>
      </c>
      <c r="AD378" s="2954"/>
      <c r="AE378" s="2954"/>
      <c r="AF378" s="2954"/>
      <c r="AG378" s="2954"/>
      <c r="AH378" s="2954"/>
      <c r="AI378" s="2954"/>
      <c r="AJ378" s="2954"/>
      <c r="AK378" s="2954"/>
      <c r="AL378" s="2954"/>
      <c r="AM378" s="2954"/>
      <c r="AN378" s="2954"/>
      <c r="AO378" s="2954"/>
      <c r="AP378" s="2954"/>
      <c r="AQ378" s="2954"/>
      <c r="AR378" s="2954"/>
      <c r="AS378" s="2954"/>
      <c r="AT378" s="2935"/>
      <c r="AU378" s="2964"/>
      <c r="AV378" s="857">
        <f t="shared" si="236"/>
        <v>0</v>
      </c>
      <c r="AW378" s="857">
        <f t="shared" si="237"/>
        <v>0</v>
      </c>
      <c r="AX378" s="857">
        <f t="shared" si="238"/>
        <v>0</v>
      </c>
      <c r="AY378" s="807">
        <f t="shared" si="213"/>
        <v>0</v>
      </c>
      <c r="AZ378" s="2934">
        <f t="shared" si="214"/>
        <v>0</v>
      </c>
      <c r="BA378" s="2934">
        <f t="shared" si="215"/>
        <v>0</v>
      </c>
      <c r="BB378" s="2934">
        <f t="shared" si="216"/>
        <v>0</v>
      </c>
      <c r="BC378" s="2934">
        <f t="shared" si="217"/>
        <v>0</v>
      </c>
      <c r="BD378" s="2934">
        <f t="shared" si="218"/>
        <v>0</v>
      </c>
      <c r="BE378" s="2934">
        <f t="shared" si="219"/>
        <v>0</v>
      </c>
      <c r="BF378" s="2934">
        <f t="shared" si="220"/>
        <v>0</v>
      </c>
      <c r="BG378" s="2934">
        <f t="shared" si="221"/>
        <v>0</v>
      </c>
      <c r="BH378" s="2934">
        <f t="shared" si="222"/>
        <v>0</v>
      </c>
      <c r="BI378" s="2934">
        <f t="shared" si="223"/>
        <v>0</v>
      </c>
      <c r="BJ378" s="2934">
        <f t="shared" si="224"/>
        <v>0</v>
      </c>
      <c r="BK378" s="2934">
        <f t="shared" si="225"/>
        <v>0</v>
      </c>
      <c r="BL378" s="2934">
        <f t="shared" si="226"/>
        <v>0</v>
      </c>
      <c r="BM378" s="2934">
        <f t="shared" si="227"/>
        <v>0</v>
      </c>
      <c r="BN378" s="2934">
        <f t="shared" si="228"/>
        <v>0</v>
      </c>
      <c r="BO378" s="2934">
        <f t="shared" si="229"/>
        <v>0</v>
      </c>
      <c r="BP378" s="2934">
        <f t="shared" si="230"/>
        <v>0</v>
      </c>
      <c r="BQ378" s="2934">
        <f t="shared" si="231"/>
        <v>0</v>
      </c>
      <c r="BR378" s="2934">
        <f t="shared" si="232"/>
        <v>0</v>
      </c>
      <c r="BS378" s="2934">
        <f t="shared" si="233"/>
        <v>0</v>
      </c>
      <c r="BT378" s="2982">
        <f t="shared" si="234"/>
        <v>0</v>
      </c>
    </row>
    <row r="379" spans="1:72">
      <c r="A379" s="874"/>
      <c r="B379" s="882"/>
      <c r="C379" s="882"/>
      <c r="D379" s="2933"/>
      <c r="E379" s="2934">
        <f t="shared" si="235"/>
        <v>0</v>
      </c>
      <c r="F379" s="2935"/>
      <c r="G379" s="2936">
        <f t="shared" si="210"/>
        <v>0</v>
      </c>
      <c r="H379" s="2937">
        <f t="shared" si="211"/>
        <v>0</v>
      </c>
      <c r="I379" s="2944"/>
      <c r="J379" s="2944"/>
      <c r="K379" s="2944"/>
      <c r="L379" s="2944"/>
      <c r="M379" s="2944"/>
      <c r="N379" s="2944"/>
      <c r="O379" s="2944"/>
      <c r="P379" s="2944"/>
      <c r="Q379" s="2944"/>
      <c r="R379" s="2944"/>
      <c r="S379" s="2944"/>
      <c r="T379" s="2944"/>
      <c r="U379" s="2944"/>
      <c r="V379" s="2944"/>
      <c r="W379" s="2944"/>
      <c r="X379" s="2944"/>
      <c r="Y379" s="2944"/>
      <c r="Z379" s="2944"/>
      <c r="AA379" s="2944"/>
      <c r="AB379" s="2944"/>
      <c r="AC379" s="2934">
        <f t="shared" si="212"/>
        <v>0</v>
      </c>
      <c r="AD379" s="2954"/>
      <c r="AE379" s="2954"/>
      <c r="AF379" s="2954"/>
      <c r="AG379" s="2954"/>
      <c r="AH379" s="2954"/>
      <c r="AI379" s="2954"/>
      <c r="AJ379" s="2954"/>
      <c r="AK379" s="2954"/>
      <c r="AL379" s="2954"/>
      <c r="AM379" s="2954"/>
      <c r="AN379" s="2954"/>
      <c r="AO379" s="2954"/>
      <c r="AP379" s="2954"/>
      <c r="AQ379" s="2954"/>
      <c r="AR379" s="2954"/>
      <c r="AS379" s="2954"/>
      <c r="AT379" s="2935"/>
      <c r="AU379" s="2964"/>
      <c r="AV379" s="857">
        <f t="shared" si="236"/>
        <v>0</v>
      </c>
      <c r="AW379" s="857">
        <f t="shared" si="237"/>
        <v>0</v>
      </c>
      <c r="AX379" s="857">
        <f t="shared" si="238"/>
        <v>0</v>
      </c>
      <c r="AY379" s="807">
        <f t="shared" si="213"/>
        <v>0</v>
      </c>
      <c r="AZ379" s="2934">
        <f t="shared" si="214"/>
        <v>0</v>
      </c>
      <c r="BA379" s="2934">
        <f t="shared" si="215"/>
        <v>0</v>
      </c>
      <c r="BB379" s="2934">
        <f t="shared" si="216"/>
        <v>0</v>
      </c>
      <c r="BC379" s="2934">
        <f t="shared" si="217"/>
        <v>0</v>
      </c>
      <c r="BD379" s="2934">
        <f t="shared" si="218"/>
        <v>0</v>
      </c>
      <c r="BE379" s="2934">
        <f t="shared" si="219"/>
        <v>0</v>
      </c>
      <c r="BF379" s="2934">
        <f t="shared" si="220"/>
        <v>0</v>
      </c>
      <c r="BG379" s="2934">
        <f t="shared" si="221"/>
        <v>0</v>
      </c>
      <c r="BH379" s="2934">
        <f t="shared" si="222"/>
        <v>0</v>
      </c>
      <c r="BI379" s="2934">
        <f t="shared" si="223"/>
        <v>0</v>
      </c>
      <c r="BJ379" s="2934">
        <f t="shared" si="224"/>
        <v>0</v>
      </c>
      <c r="BK379" s="2934">
        <f t="shared" si="225"/>
        <v>0</v>
      </c>
      <c r="BL379" s="2934">
        <f t="shared" si="226"/>
        <v>0</v>
      </c>
      <c r="BM379" s="2934">
        <f t="shared" si="227"/>
        <v>0</v>
      </c>
      <c r="BN379" s="2934">
        <f t="shared" si="228"/>
        <v>0</v>
      </c>
      <c r="BO379" s="2934">
        <f t="shared" si="229"/>
        <v>0</v>
      </c>
      <c r="BP379" s="2934">
        <f t="shared" si="230"/>
        <v>0</v>
      </c>
      <c r="BQ379" s="2934">
        <f t="shared" si="231"/>
        <v>0</v>
      </c>
      <c r="BR379" s="2934">
        <f t="shared" si="232"/>
        <v>0</v>
      </c>
      <c r="BS379" s="2934">
        <f t="shared" si="233"/>
        <v>0</v>
      </c>
      <c r="BT379" s="2982">
        <f t="shared" si="234"/>
        <v>0</v>
      </c>
    </row>
    <row r="380" spans="1:72">
      <c r="A380" s="874"/>
      <c r="B380" s="882"/>
      <c r="C380" s="882"/>
      <c r="D380" s="2933"/>
      <c r="E380" s="2934">
        <f t="shared" si="235"/>
        <v>0</v>
      </c>
      <c r="F380" s="2935"/>
      <c r="G380" s="2936">
        <f t="shared" si="210"/>
        <v>0</v>
      </c>
      <c r="H380" s="2937">
        <f t="shared" si="211"/>
        <v>0</v>
      </c>
      <c r="I380" s="2944"/>
      <c r="J380" s="2944"/>
      <c r="K380" s="2944"/>
      <c r="L380" s="2944"/>
      <c r="M380" s="2944"/>
      <c r="N380" s="2944"/>
      <c r="O380" s="2944"/>
      <c r="P380" s="2944"/>
      <c r="Q380" s="2944"/>
      <c r="R380" s="2944"/>
      <c r="S380" s="2944"/>
      <c r="T380" s="2944"/>
      <c r="U380" s="2944"/>
      <c r="V380" s="2944"/>
      <c r="W380" s="2944"/>
      <c r="X380" s="2944"/>
      <c r="Y380" s="2944"/>
      <c r="Z380" s="2944"/>
      <c r="AA380" s="2944"/>
      <c r="AB380" s="2944"/>
      <c r="AC380" s="2934">
        <f t="shared" si="212"/>
        <v>0</v>
      </c>
      <c r="AD380" s="2954"/>
      <c r="AE380" s="2954"/>
      <c r="AF380" s="2954"/>
      <c r="AG380" s="2954"/>
      <c r="AH380" s="2954"/>
      <c r="AI380" s="2954"/>
      <c r="AJ380" s="2954"/>
      <c r="AK380" s="2954"/>
      <c r="AL380" s="2954"/>
      <c r="AM380" s="2954"/>
      <c r="AN380" s="2954"/>
      <c r="AO380" s="2954"/>
      <c r="AP380" s="2954"/>
      <c r="AQ380" s="2954"/>
      <c r="AR380" s="2954"/>
      <c r="AS380" s="2954"/>
      <c r="AT380" s="2935"/>
      <c r="AU380" s="2964"/>
      <c r="AV380" s="857">
        <f t="shared" si="236"/>
        <v>0</v>
      </c>
      <c r="AW380" s="857">
        <f t="shared" si="237"/>
        <v>0</v>
      </c>
      <c r="AX380" s="857">
        <f t="shared" si="238"/>
        <v>0</v>
      </c>
      <c r="AY380" s="807">
        <f t="shared" si="213"/>
        <v>0</v>
      </c>
      <c r="AZ380" s="2934">
        <f t="shared" si="214"/>
        <v>0</v>
      </c>
      <c r="BA380" s="2934">
        <f t="shared" si="215"/>
        <v>0</v>
      </c>
      <c r="BB380" s="2934">
        <f t="shared" si="216"/>
        <v>0</v>
      </c>
      <c r="BC380" s="2934">
        <f t="shared" si="217"/>
        <v>0</v>
      </c>
      <c r="BD380" s="2934">
        <f t="shared" si="218"/>
        <v>0</v>
      </c>
      <c r="BE380" s="2934">
        <f t="shared" si="219"/>
        <v>0</v>
      </c>
      <c r="BF380" s="2934">
        <f t="shared" si="220"/>
        <v>0</v>
      </c>
      <c r="BG380" s="2934">
        <f t="shared" si="221"/>
        <v>0</v>
      </c>
      <c r="BH380" s="2934">
        <f t="shared" si="222"/>
        <v>0</v>
      </c>
      <c r="BI380" s="2934">
        <f t="shared" si="223"/>
        <v>0</v>
      </c>
      <c r="BJ380" s="2934">
        <f t="shared" si="224"/>
        <v>0</v>
      </c>
      <c r="BK380" s="2934">
        <f t="shared" si="225"/>
        <v>0</v>
      </c>
      <c r="BL380" s="2934">
        <f t="shared" si="226"/>
        <v>0</v>
      </c>
      <c r="BM380" s="2934">
        <f t="shared" si="227"/>
        <v>0</v>
      </c>
      <c r="BN380" s="2934">
        <f t="shared" si="228"/>
        <v>0</v>
      </c>
      <c r="BO380" s="2934">
        <f t="shared" si="229"/>
        <v>0</v>
      </c>
      <c r="BP380" s="2934">
        <f t="shared" si="230"/>
        <v>0</v>
      </c>
      <c r="BQ380" s="2934">
        <f t="shared" si="231"/>
        <v>0</v>
      </c>
      <c r="BR380" s="2934">
        <f t="shared" si="232"/>
        <v>0</v>
      </c>
      <c r="BS380" s="2934">
        <f t="shared" si="233"/>
        <v>0</v>
      </c>
      <c r="BT380" s="2982">
        <f t="shared" si="234"/>
        <v>0</v>
      </c>
    </row>
    <row r="381" spans="1:72">
      <c r="A381" s="874"/>
      <c r="B381" s="882"/>
      <c r="C381" s="882"/>
      <c r="D381" s="2933"/>
      <c r="E381" s="2934">
        <f t="shared" si="235"/>
        <v>0</v>
      </c>
      <c r="F381" s="2935"/>
      <c r="G381" s="2936">
        <f t="shared" si="210"/>
        <v>0</v>
      </c>
      <c r="H381" s="2937">
        <f t="shared" si="211"/>
        <v>0</v>
      </c>
      <c r="I381" s="2944"/>
      <c r="J381" s="2944"/>
      <c r="K381" s="2944"/>
      <c r="L381" s="2944"/>
      <c r="M381" s="2944"/>
      <c r="N381" s="2944"/>
      <c r="O381" s="2944"/>
      <c r="P381" s="2944"/>
      <c r="Q381" s="2944"/>
      <c r="R381" s="2944"/>
      <c r="S381" s="2944"/>
      <c r="T381" s="2944"/>
      <c r="U381" s="2944"/>
      <c r="V381" s="2944"/>
      <c r="W381" s="2944"/>
      <c r="X381" s="2944"/>
      <c r="Y381" s="2944"/>
      <c r="Z381" s="2944"/>
      <c r="AA381" s="2944"/>
      <c r="AB381" s="2944"/>
      <c r="AC381" s="2934">
        <f t="shared" si="212"/>
        <v>0</v>
      </c>
      <c r="AD381" s="2954"/>
      <c r="AE381" s="2954"/>
      <c r="AF381" s="2954"/>
      <c r="AG381" s="2954"/>
      <c r="AH381" s="2954"/>
      <c r="AI381" s="2954"/>
      <c r="AJ381" s="2954"/>
      <c r="AK381" s="2954"/>
      <c r="AL381" s="2954"/>
      <c r="AM381" s="2954"/>
      <c r="AN381" s="2954"/>
      <c r="AO381" s="2954"/>
      <c r="AP381" s="2954"/>
      <c r="AQ381" s="2954"/>
      <c r="AR381" s="2954"/>
      <c r="AS381" s="2954"/>
      <c r="AT381" s="2935"/>
      <c r="AU381" s="2964"/>
      <c r="AV381" s="857">
        <f t="shared" si="236"/>
        <v>0</v>
      </c>
      <c r="AW381" s="857">
        <f t="shared" si="237"/>
        <v>0</v>
      </c>
      <c r="AX381" s="857">
        <f t="shared" si="238"/>
        <v>0</v>
      </c>
      <c r="AY381" s="807">
        <f t="shared" si="213"/>
        <v>0</v>
      </c>
      <c r="AZ381" s="2934">
        <f t="shared" si="214"/>
        <v>0</v>
      </c>
      <c r="BA381" s="2934">
        <f t="shared" si="215"/>
        <v>0</v>
      </c>
      <c r="BB381" s="2934">
        <f t="shared" si="216"/>
        <v>0</v>
      </c>
      <c r="BC381" s="2934">
        <f t="shared" si="217"/>
        <v>0</v>
      </c>
      <c r="BD381" s="2934">
        <f t="shared" si="218"/>
        <v>0</v>
      </c>
      <c r="BE381" s="2934">
        <f t="shared" si="219"/>
        <v>0</v>
      </c>
      <c r="BF381" s="2934">
        <f t="shared" si="220"/>
        <v>0</v>
      </c>
      <c r="BG381" s="2934">
        <f t="shared" si="221"/>
        <v>0</v>
      </c>
      <c r="BH381" s="2934">
        <f t="shared" si="222"/>
        <v>0</v>
      </c>
      <c r="BI381" s="2934">
        <f t="shared" si="223"/>
        <v>0</v>
      </c>
      <c r="BJ381" s="2934">
        <f t="shared" si="224"/>
        <v>0</v>
      </c>
      <c r="BK381" s="2934">
        <f t="shared" si="225"/>
        <v>0</v>
      </c>
      <c r="BL381" s="2934">
        <f t="shared" si="226"/>
        <v>0</v>
      </c>
      <c r="BM381" s="2934">
        <f t="shared" si="227"/>
        <v>0</v>
      </c>
      <c r="BN381" s="2934">
        <f t="shared" si="228"/>
        <v>0</v>
      </c>
      <c r="BO381" s="2934">
        <f t="shared" si="229"/>
        <v>0</v>
      </c>
      <c r="BP381" s="2934">
        <f t="shared" si="230"/>
        <v>0</v>
      </c>
      <c r="BQ381" s="2934">
        <f t="shared" si="231"/>
        <v>0</v>
      </c>
      <c r="BR381" s="2934">
        <f t="shared" si="232"/>
        <v>0</v>
      </c>
      <c r="BS381" s="2934">
        <f t="shared" si="233"/>
        <v>0</v>
      </c>
      <c r="BT381" s="2982">
        <f t="shared" si="234"/>
        <v>0</v>
      </c>
    </row>
    <row r="382" spans="1:72">
      <c r="A382" s="874"/>
      <c r="B382" s="882"/>
      <c r="C382" s="882"/>
      <c r="D382" s="2933"/>
      <c r="E382" s="2934">
        <f t="shared" si="235"/>
        <v>0</v>
      </c>
      <c r="F382" s="2935"/>
      <c r="G382" s="2936">
        <f t="shared" si="210"/>
        <v>0</v>
      </c>
      <c r="H382" s="2937">
        <f t="shared" si="211"/>
        <v>0</v>
      </c>
      <c r="I382" s="2944"/>
      <c r="J382" s="2944"/>
      <c r="K382" s="2944"/>
      <c r="L382" s="2944"/>
      <c r="M382" s="2944"/>
      <c r="N382" s="2944"/>
      <c r="O382" s="2944"/>
      <c r="P382" s="2944"/>
      <c r="Q382" s="2944"/>
      <c r="R382" s="2944"/>
      <c r="S382" s="2944"/>
      <c r="T382" s="2944"/>
      <c r="U382" s="2944"/>
      <c r="V382" s="2944"/>
      <c r="W382" s="2944"/>
      <c r="X382" s="2944"/>
      <c r="Y382" s="2944"/>
      <c r="Z382" s="2944"/>
      <c r="AA382" s="2944"/>
      <c r="AB382" s="2944"/>
      <c r="AC382" s="2934">
        <f t="shared" si="212"/>
        <v>0</v>
      </c>
      <c r="AD382" s="2954"/>
      <c r="AE382" s="2954"/>
      <c r="AF382" s="2954"/>
      <c r="AG382" s="2954"/>
      <c r="AH382" s="2954"/>
      <c r="AI382" s="2954"/>
      <c r="AJ382" s="2954"/>
      <c r="AK382" s="2954"/>
      <c r="AL382" s="2954"/>
      <c r="AM382" s="2954"/>
      <c r="AN382" s="2954"/>
      <c r="AO382" s="2954"/>
      <c r="AP382" s="2954"/>
      <c r="AQ382" s="2954"/>
      <c r="AR382" s="2954"/>
      <c r="AS382" s="2954"/>
      <c r="AT382" s="2935"/>
      <c r="AU382" s="2964"/>
      <c r="AV382" s="857">
        <f t="shared" si="236"/>
        <v>0</v>
      </c>
      <c r="AW382" s="857">
        <f t="shared" si="237"/>
        <v>0</v>
      </c>
      <c r="AX382" s="857">
        <f t="shared" si="238"/>
        <v>0</v>
      </c>
      <c r="AY382" s="807">
        <f t="shared" si="213"/>
        <v>0</v>
      </c>
      <c r="AZ382" s="2934">
        <f t="shared" si="214"/>
        <v>0</v>
      </c>
      <c r="BA382" s="2934">
        <f t="shared" si="215"/>
        <v>0</v>
      </c>
      <c r="BB382" s="2934">
        <f t="shared" si="216"/>
        <v>0</v>
      </c>
      <c r="BC382" s="2934">
        <f t="shared" si="217"/>
        <v>0</v>
      </c>
      <c r="BD382" s="2934">
        <f t="shared" si="218"/>
        <v>0</v>
      </c>
      <c r="BE382" s="2934">
        <f t="shared" si="219"/>
        <v>0</v>
      </c>
      <c r="BF382" s="2934">
        <f t="shared" si="220"/>
        <v>0</v>
      </c>
      <c r="BG382" s="2934">
        <f t="shared" si="221"/>
        <v>0</v>
      </c>
      <c r="BH382" s="2934">
        <f t="shared" si="222"/>
        <v>0</v>
      </c>
      <c r="BI382" s="2934">
        <f t="shared" si="223"/>
        <v>0</v>
      </c>
      <c r="BJ382" s="2934">
        <f t="shared" si="224"/>
        <v>0</v>
      </c>
      <c r="BK382" s="2934">
        <f t="shared" si="225"/>
        <v>0</v>
      </c>
      <c r="BL382" s="2934">
        <f t="shared" si="226"/>
        <v>0</v>
      </c>
      <c r="BM382" s="2934">
        <f t="shared" si="227"/>
        <v>0</v>
      </c>
      <c r="BN382" s="2934">
        <f t="shared" si="228"/>
        <v>0</v>
      </c>
      <c r="BO382" s="2934">
        <f t="shared" si="229"/>
        <v>0</v>
      </c>
      <c r="BP382" s="2934">
        <f t="shared" si="230"/>
        <v>0</v>
      </c>
      <c r="BQ382" s="2934">
        <f t="shared" si="231"/>
        <v>0</v>
      </c>
      <c r="BR382" s="2934">
        <f t="shared" si="232"/>
        <v>0</v>
      </c>
      <c r="BS382" s="2934">
        <f t="shared" si="233"/>
        <v>0</v>
      </c>
      <c r="BT382" s="2982">
        <f t="shared" si="234"/>
        <v>0</v>
      </c>
    </row>
    <row r="383" spans="1:72">
      <c r="A383" s="874"/>
      <c r="B383" s="882"/>
      <c r="C383" s="882"/>
      <c r="D383" s="2933"/>
      <c r="E383" s="2934">
        <f t="shared" si="235"/>
        <v>0</v>
      </c>
      <c r="F383" s="2935"/>
      <c r="G383" s="2936">
        <f t="shared" si="210"/>
        <v>0</v>
      </c>
      <c r="H383" s="2937">
        <f t="shared" si="211"/>
        <v>0</v>
      </c>
      <c r="I383" s="2944"/>
      <c r="J383" s="2944"/>
      <c r="K383" s="2944"/>
      <c r="L383" s="2944"/>
      <c r="M383" s="2944"/>
      <c r="N383" s="2944"/>
      <c r="O383" s="2944"/>
      <c r="P383" s="2944"/>
      <c r="Q383" s="2944"/>
      <c r="R383" s="2944"/>
      <c r="S383" s="2944"/>
      <c r="T383" s="2944"/>
      <c r="U383" s="2944"/>
      <c r="V383" s="2944"/>
      <c r="W383" s="2944"/>
      <c r="X383" s="2944"/>
      <c r="Y383" s="2944"/>
      <c r="Z383" s="2944"/>
      <c r="AA383" s="2944"/>
      <c r="AB383" s="2944"/>
      <c r="AC383" s="2934">
        <f t="shared" si="212"/>
        <v>0</v>
      </c>
      <c r="AD383" s="2954"/>
      <c r="AE383" s="2954"/>
      <c r="AF383" s="2954"/>
      <c r="AG383" s="2954"/>
      <c r="AH383" s="2954"/>
      <c r="AI383" s="2954"/>
      <c r="AJ383" s="2954"/>
      <c r="AK383" s="2954"/>
      <c r="AL383" s="2954"/>
      <c r="AM383" s="2954"/>
      <c r="AN383" s="2954"/>
      <c r="AO383" s="2954"/>
      <c r="AP383" s="2954"/>
      <c r="AQ383" s="2954"/>
      <c r="AR383" s="2954"/>
      <c r="AS383" s="2954"/>
      <c r="AT383" s="2935"/>
      <c r="AU383" s="2964"/>
      <c r="AV383" s="857">
        <f t="shared" si="236"/>
        <v>0</v>
      </c>
      <c r="AW383" s="857">
        <f t="shared" si="237"/>
        <v>0</v>
      </c>
      <c r="AX383" s="857">
        <f t="shared" si="238"/>
        <v>0</v>
      </c>
      <c r="AY383" s="807">
        <f t="shared" si="213"/>
        <v>0</v>
      </c>
      <c r="AZ383" s="2934">
        <f t="shared" si="214"/>
        <v>0</v>
      </c>
      <c r="BA383" s="2934">
        <f t="shared" si="215"/>
        <v>0</v>
      </c>
      <c r="BB383" s="2934">
        <f t="shared" si="216"/>
        <v>0</v>
      </c>
      <c r="BC383" s="2934">
        <f t="shared" si="217"/>
        <v>0</v>
      </c>
      <c r="BD383" s="2934">
        <f t="shared" si="218"/>
        <v>0</v>
      </c>
      <c r="BE383" s="2934">
        <f t="shared" si="219"/>
        <v>0</v>
      </c>
      <c r="BF383" s="2934">
        <f t="shared" si="220"/>
        <v>0</v>
      </c>
      <c r="BG383" s="2934">
        <f t="shared" si="221"/>
        <v>0</v>
      </c>
      <c r="BH383" s="2934">
        <f t="shared" si="222"/>
        <v>0</v>
      </c>
      <c r="BI383" s="2934">
        <f t="shared" si="223"/>
        <v>0</v>
      </c>
      <c r="BJ383" s="2934">
        <f t="shared" si="224"/>
        <v>0</v>
      </c>
      <c r="BK383" s="2934">
        <f t="shared" si="225"/>
        <v>0</v>
      </c>
      <c r="BL383" s="2934">
        <f t="shared" si="226"/>
        <v>0</v>
      </c>
      <c r="BM383" s="2934">
        <f t="shared" si="227"/>
        <v>0</v>
      </c>
      <c r="BN383" s="2934">
        <f t="shared" si="228"/>
        <v>0</v>
      </c>
      <c r="BO383" s="2934">
        <f t="shared" si="229"/>
        <v>0</v>
      </c>
      <c r="BP383" s="2934">
        <f t="shared" si="230"/>
        <v>0</v>
      </c>
      <c r="BQ383" s="2934">
        <f t="shared" si="231"/>
        <v>0</v>
      </c>
      <c r="BR383" s="2934">
        <f t="shared" si="232"/>
        <v>0</v>
      </c>
      <c r="BS383" s="2934">
        <f t="shared" si="233"/>
        <v>0</v>
      </c>
      <c r="BT383" s="2982">
        <f t="shared" si="234"/>
        <v>0</v>
      </c>
    </row>
    <row r="384" spans="1:72">
      <c r="A384" s="874"/>
      <c r="B384" s="882"/>
      <c r="C384" s="882"/>
      <c r="D384" s="2933"/>
      <c r="E384" s="2934">
        <f t="shared" si="235"/>
        <v>0</v>
      </c>
      <c r="F384" s="2935"/>
      <c r="G384" s="2936">
        <f t="shared" si="210"/>
        <v>0</v>
      </c>
      <c r="H384" s="2937">
        <f t="shared" si="211"/>
        <v>0</v>
      </c>
      <c r="I384" s="2944"/>
      <c r="J384" s="2944"/>
      <c r="K384" s="2944"/>
      <c r="L384" s="2944"/>
      <c r="M384" s="2944"/>
      <c r="N384" s="2944"/>
      <c r="O384" s="2944"/>
      <c r="P384" s="2944"/>
      <c r="Q384" s="2944"/>
      <c r="R384" s="2944"/>
      <c r="S384" s="2944"/>
      <c r="T384" s="2944"/>
      <c r="U384" s="2944"/>
      <c r="V384" s="2944"/>
      <c r="W384" s="2944"/>
      <c r="X384" s="2944"/>
      <c r="Y384" s="2944"/>
      <c r="Z384" s="2944"/>
      <c r="AA384" s="2944"/>
      <c r="AB384" s="2944"/>
      <c r="AC384" s="2934">
        <f t="shared" si="212"/>
        <v>0</v>
      </c>
      <c r="AD384" s="2954"/>
      <c r="AE384" s="2954"/>
      <c r="AF384" s="2954"/>
      <c r="AG384" s="2954"/>
      <c r="AH384" s="2954"/>
      <c r="AI384" s="2954"/>
      <c r="AJ384" s="2954"/>
      <c r="AK384" s="2954"/>
      <c r="AL384" s="2954"/>
      <c r="AM384" s="2954"/>
      <c r="AN384" s="2954"/>
      <c r="AO384" s="2954"/>
      <c r="AP384" s="2954"/>
      <c r="AQ384" s="2954"/>
      <c r="AR384" s="2954"/>
      <c r="AS384" s="2954"/>
      <c r="AT384" s="2935"/>
      <c r="AU384" s="2964"/>
      <c r="AV384" s="857">
        <f t="shared" si="236"/>
        <v>0</v>
      </c>
      <c r="AW384" s="857">
        <f t="shared" si="237"/>
        <v>0</v>
      </c>
      <c r="AX384" s="857">
        <f t="shared" si="238"/>
        <v>0</v>
      </c>
      <c r="AY384" s="807">
        <f t="shared" si="213"/>
        <v>0</v>
      </c>
      <c r="AZ384" s="2934">
        <f t="shared" si="214"/>
        <v>0</v>
      </c>
      <c r="BA384" s="2934">
        <f t="shared" si="215"/>
        <v>0</v>
      </c>
      <c r="BB384" s="2934">
        <f t="shared" si="216"/>
        <v>0</v>
      </c>
      <c r="BC384" s="2934">
        <f t="shared" si="217"/>
        <v>0</v>
      </c>
      <c r="BD384" s="2934">
        <f t="shared" si="218"/>
        <v>0</v>
      </c>
      <c r="BE384" s="2934">
        <f t="shared" si="219"/>
        <v>0</v>
      </c>
      <c r="BF384" s="2934">
        <f t="shared" si="220"/>
        <v>0</v>
      </c>
      <c r="BG384" s="2934">
        <f t="shared" si="221"/>
        <v>0</v>
      </c>
      <c r="BH384" s="2934">
        <f t="shared" si="222"/>
        <v>0</v>
      </c>
      <c r="BI384" s="2934">
        <f t="shared" si="223"/>
        <v>0</v>
      </c>
      <c r="BJ384" s="2934">
        <f t="shared" si="224"/>
        <v>0</v>
      </c>
      <c r="BK384" s="2934">
        <f t="shared" si="225"/>
        <v>0</v>
      </c>
      <c r="BL384" s="2934">
        <f t="shared" si="226"/>
        <v>0</v>
      </c>
      <c r="BM384" s="2934">
        <f t="shared" si="227"/>
        <v>0</v>
      </c>
      <c r="BN384" s="2934">
        <f t="shared" si="228"/>
        <v>0</v>
      </c>
      <c r="BO384" s="2934">
        <f t="shared" si="229"/>
        <v>0</v>
      </c>
      <c r="BP384" s="2934">
        <f t="shared" si="230"/>
        <v>0</v>
      </c>
      <c r="BQ384" s="2934">
        <f t="shared" si="231"/>
        <v>0</v>
      </c>
      <c r="BR384" s="2934">
        <f t="shared" si="232"/>
        <v>0</v>
      </c>
      <c r="BS384" s="2934">
        <f t="shared" si="233"/>
        <v>0</v>
      </c>
      <c r="BT384" s="2982">
        <f t="shared" si="234"/>
        <v>0</v>
      </c>
    </row>
    <row r="385" spans="1:72">
      <c r="A385" s="874"/>
      <c r="B385" s="882"/>
      <c r="C385" s="882"/>
      <c r="D385" s="2933"/>
      <c r="E385" s="2934">
        <f t="shared" si="235"/>
        <v>0</v>
      </c>
      <c r="F385" s="2935"/>
      <c r="G385" s="2936">
        <f t="shared" si="210"/>
        <v>0</v>
      </c>
      <c r="H385" s="2937">
        <f t="shared" si="211"/>
        <v>0</v>
      </c>
      <c r="I385" s="2944"/>
      <c r="J385" s="2944"/>
      <c r="K385" s="2944"/>
      <c r="L385" s="2944"/>
      <c r="M385" s="2944"/>
      <c r="N385" s="2944"/>
      <c r="O385" s="2944"/>
      <c r="P385" s="2944"/>
      <c r="Q385" s="2944"/>
      <c r="R385" s="2944"/>
      <c r="S385" s="2944"/>
      <c r="T385" s="2944"/>
      <c r="U385" s="2944"/>
      <c r="V385" s="2944"/>
      <c r="W385" s="2944"/>
      <c r="X385" s="2944"/>
      <c r="Y385" s="2944"/>
      <c r="Z385" s="2944"/>
      <c r="AA385" s="2944"/>
      <c r="AB385" s="2944"/>
      <c r="AC385" s="2934">
        <f t="shared" si="212"/>
        <v>0</v>
      </c>
      <c r="AD385" s="2954"/>
      <c r="AE385" s="2954"/>
      <c r="AF385" s="2954"/>
      <c r="AG385" s="2954"/>
      <c r="AH385" s="2954"/>
      <c r="AI385" s="2954"/>
      <c r="AJ385" s="2954"/>
      <c r="AK385" s="2954"/>
      <c r="AL385" s="2954"/>
      <c r="AM385" s="2954"/>
      <c r="AN385" s="2954"/>
      <c r="AO385" s="2954"/>
      <c r="AP385" s="2954"/>
      <c r="AQ385" s="2954"/>
      <c r="AR385" s="2954"/>
      <c r="AS385" s="2954"/>
      <c r="AT385" s="2935"/>
      <c r="AU385" s="2964"/>
      <c r="AV385" s="857">
        <f t="shared" si="236"/>
        <v>0</v>
      </c>
      <c r="AW385" s="857">
        <f t="shared" si="237"/>
        <v>0</v>
      </c>
      <c r="AX385" s="857">
        <f t="shared" si="238"/>
        <v>0</v>
      </c>
      <c r="AY385" s="807">
        <f t="shared" si="213"/>
        <v>0</v>
      </c>
      <c r="AZ385" s="2934">
        <f t="shared" si="214"/>
        <v>0</v>
      </c>
      <c r="BA385" s="2934">
        <f t="shared" si="215"/>
        <v>0</v>
      </c>
      <c r="BB385" s="2934">
        <f t="shared" si="216"/>
        <v>0</v>
      </c>
      <c r="BC385" s="2934">
        <f t="shared" si="217"/>
        <v>0</v>
      </c>
      <c r="BD385" s="2934">
        <f t="shared" si="218"/>
        <v>0</v>
      </c>
      <c r="BE385" s="2934">
        <f t="shared" si="219"/>
        <v>0</v>
      </c>
      <c r="BF385" s="2934">
        <f t="shared" si="220"/>
        <v>0</v>
      </c>
      <c r="BG385" s="2934">
        <f t="shared" si="221"/>
        <v>0</v>
      </c>
      <c r="BH385" s="2934">
        <f t="shared" si="222"/>
        <v>0</v>
      </c>
      <c r="BI385" s="2934">
        <f t="shared" si="223"/>
        <v>0</v>
      </c>
      <c r="BJ385" s="2934">
        <f t="shared" si="224"/>
        <v>0</v>
      </c>
      <c r="BK385" s="2934">
        <f t="shared" si="225"/>
        <v>0</v>
      </c>
      <c r="BL385" s="2934">
        <f t="shared" si="226"/>
        <v>0</v>
      </c>
      <c r="BM385" s="2934">
        <f t="shared" si="227"/>
        <v>0</v>
      </c>
      <c r="BN385" s="2934">
        <f t="shared" si="228"/>
        <v>0</v>
      </c>
      <c r="BO385" s="2934">
        <f t="shared" si="229"/>
        <v>0</v>
      </c>
      <c r="BP385" s="2934">
        <f t="shared" si="230"/>
        <v>0</v>
      </c>
      <c r="BQ385" s="2934">
        <f t="shared" si="231"/>
        <v>0</v>
      </c>
      <c r="BR385" s="2934">
        <f t="shared" si="232"/>
        <v>0</v>
      </c>
      <c r="BS385" s="2934">
        <f t="shared" si="233"/>
        <v>0</v>
      </c>
      <c r="BT385" s="2982">
        <f t="shared" si="234"/>
        <v>0</v>
      </c>
    </row>
    <row r="386" spans="1:72">
      <c r="A386" s="874"/>
      <c r="B386" s="882"/>
      <c r="C386" s="882"/>
      <c r="D386" s="2933"/>
      <c r="E386" s="2934">
        <f t="shared" si="235"/>
        <v>0</v>
      </c>
      <c r="F386" s="2935"/>
      <c r="G386" s="2936">
        <f t="shared" si="210"/>
        <v>0</v>
      </c>
      <c r="H386" s="2937">
        <f t="shared" si="211"/>
        <v>0</v>
      </c>
      <c r="I386" s="2944"/>
      <c r="J386" s="2944"/>
      <c r="K386" s="2944"/>
      <c r="L386" s="2944"/>
      <c r="M386" s="2944"/>
      <c r="N386" s="2944"/>
      <c r="O386" s="2944"/>
      <c r="P386" s="2944"/>
      <c r="Q386" s="2944"/>
      <c r="R386" s="2944"/>
      <c r="S386" s="2944"/>
      <c r="T386" s="2944"/>
      <c r="U386" s="2944"/>
      <c r="V386" s="2944"/>
      <c r="W386" s="2944"/>
      <c r="X386" s="2944"/>
      <c r="Y386" s="2944"/>
      <c r="Z386" s="2944"/>
      <c r="AA386" s="2944"/>
      <c r="AB386" s="2944"/>
      <c r="AC386" s="2934">
        <f t="shared" si="212"/>
        <v>0</v>
      </c>
      <c r="AD386" s="2954"/>
      <c r="AE386" s="2954"/>
      <c r="AF386" s="2954"/>
      <c r="AG386" s="2954"/>
      <c r="AH386" s="2954"/>
      <c r="AI386" s="2954"/>
      <c r="AJ386" s="2954"/>
      <c r="AK386" s="2954"/>
      <c r="AL386" s="2954"/>
      <c r="AM386" s="2954"/>
      <c r="AN386" s="2954"/>
      <c r="AO386" s="2954"/>
      <c r="AP386" s="2954"/>
      <c r="AQ386" s="2954"/>
      <c r="AR386" s="2954"/>
      <c r="AS386" s="2954"/>
      <c r="AT386" s="2935"/>
      <c r="AU386" s="2964"/>
      <c r="AV386" s="857">
        <f t="shared" si="236"/>
        <v>0</v>
      </c>
      <c r="AW386" s="857">
        <f t="shared" si="237"/>
        <v>0</v>
      </c>
      <c r="AX386" s="857">
        <f t="shared" si="238"/>
        <v>0</v>
      </c>
      <c r="AY386" s="807">
        <f t="shared" si="213"/>
        <v>0</v>
      </c>
      <c r="AZ386" s="2934">
        <f t="shared" si="214"/>
        <v>0</v>
      </c>
      <c r="BA386" s="2934">
        <f t="shared" si="215"/>
        <v>0</v>
      </c>
      <c r="BB386" s="2934">
        <f t="shared" si="216"/>
        <v>0</v>
      </c>
      <c r="BC386" s="2934">
        <f t="shared" si="217"/>
        <v>0</v>
      </c>
      <c r="BD386" s="2934">
        <f t="shared" si="218"/>
        <v>0</v>
      </c>
      <c r="BE386" s="2934">
        <f t="shared" si="219"/>
        <v>0</v>
      </c>
      <c r="BF386" s="2934">
        <f t="shared" si="220"/>
        <v>0</v>
      </c>
      <c r="BG386" s="2934">
        <f t="shared" si="221"/>
        <v>0</v>
      </c>
      <c r="BH386" s="2934">
        <f t="shared" si="222"/>
        <v>0</v>
      </c>
      <c r="BI386" s="2934">
        <f t="shared" si="223"/>
        <v>0</v>
      </c>
      <c r="BJ386" s="2934">
        <f t="shared" si="224"/>
        <v>0</v>
      </c>
      <c r="BK386" s="2934">
        <f t="shared" si="225"/>
        <v>0</v>
      </c>
      <c r="BL386" s="2934">
        <f t="shared" si="226"/>
        <v>0</v>
      </c>
      <c r="BM386" s="2934">
        <f t="shared" si="227"/>
        <v>0</v>
      </c>
      <c r="BN386" s="2934">
        <f t="shared" si="228"/>
        <v>0</v>
      </c>
      <c r="BO386" s="2934">
        <f t="shared" si="229"/>
        <v>0</v>
      </c>
      <c r="BP386" s="2934">
        <f t="shared" si="230"/>
        <v>0</v>
      </c>
      <c r="BQ386" s="2934">
        <f t="shared" si="231"/>
        <v>0</v>
      </c>
      <c r="BR386" s="2934">
        <f t="shared" si="232"/>
        <v>0</v>
      </c>
      <c r="BS386" s="2934">
        <f t="shared" si="233"/>
        <v>0</v>
      </c>
      <c r="BT386" s="2982">
        <f t="shared" si="234"/>
        <v>0</v>
      </c>
    </row>
    <row r="387" spans="1:72">
      <c r="A387" s="874"/>
      <c r="B387" s="882"/>
      <c r="C387" s="882"/>
      <c r="D387" s="2933"/>
      <c r="E387" s="2934">
        <f t="shared" si="235"/>
        <v>0</v>
      </c>
      <c r="F387" s="2935"/>
      <c r="G387" s="2936">
        <f t="shared" si="210"/>
        <v>0</v>
      </c>
      <c r="H387" s="2937">
        <f t="shared" si="211"/>
        <v>0</v>
      </c>
      <c r="I387" s="2944"/>
      <c r="J387" s="2944"/>
      <c r="K387" s="2944"/>
      <c r="L387" s="2944"/>
      <c r="M387" s="2944"/>
      <c r="N387" s="2944"/>
      <c r="O387" s="2944"/>
      <c r="P387" s="2944"/>
      <c r="Q387" s="2944"/>
      <c r="R387" s="2944"/>
      <c r="S387" s="2944"/>
      <c r="T387" s="2944"/>
      <c r="U387" s="2944"/>
      <c r="V387" s="2944"/>
      <c r="W387" s="2944"/>
      <c r="X387" s="2944"/>
      <c r="Y387" s="2944"/>
      <c r="Z387" s="2944"/>
      <c r="AA387" s="2944"/>
      <c r="AB387" s="2944"/>
      <c r="AC387" s="2934">
        <f t="shared" si="212"/>
        <v>0</v>
      </c>
      <c r="AD387" s="2954"/>
      <c r="AE387" s="2954"/>
      <c r="AF387" s="2954"/>
      <c r="AG387" s="2954"/>
      <c r="AH387" s="2954"/>
      <c r="AI387" s="2954"/>
      <c r="AJ387" s="2954"/>
      <c r="AK387" s="2954"/>
      <c r="AL387" s="2954"/>
      <c r="AM387" s="2954"/>
      <c r="AN387" s="2954"/>
      <c r="AO387" s="2954"/>
      <c r="AP387" s="2954"/>
      <c r="AQ387" s="2954"/>
      <c r="AR387" s="2954"/>
      <c r="AS387" s="2954"/>
      <c r="AT387" s="2935"/>
      <c r="AU387" s="2964"/>
      <c r="AV387" s="857">
        <f t="shared" si="236"/>
        <v>0</v>
      </c>
      <c r="AW387" s="857">
        <f t="shared" si="237"/>
        <v>0</v>
      </c>
      <c r="AX387" s="857">
        <f t="shared" si="238"/>
        <v>0</v>
      </c>
      <c r="AY387" s="807">
        <f t="shared" si="213"/>
        <v>0</v>
      </c>
      <c r="AZ387" s="2934">
        <f t="shared" si="214"/>
        <v>0</v>
      </c>
      <c r="BA387" s="2934">
        <f t="shared" si="215"/>
        <v>0</v>
      </c>
      <c r="BB387" s="2934">
        <f t="shared" si="216"/>
        <v>0</v>
      </c>
      <c r="BC387" s="2934">
        <f t="shared" si="217"/>
        <v>0</v>
      </c>
      <c r="BD387" s="2934">
        <f t="shared" si="218"/>
        <v>0</v>
      </c>
      <c r="BE387" s="2934">
        <f t="shared" si="219"/>
        <v>0</v>
      </c>
      <c r="BF387" s="2934">
        <f t="shared" si="220"/>
        <v>0</v>
      </c>
      <c r="BG387" s="2934">
        <f t="shared" si="221"/>
        <v>0</v>
      </c>
      <c r="BH387" s="2934">
        <f t="shared" si="222"/>
        <v>0</v>
      </c>
      <c r="BI387" s="2934">
        <f t="shared" si="223"/>
        <v>0</v>
      </c>
      <c r="BJ387" s="2934">
        <f t="shared" si="224"/>
        <v>0</v>
      </c>
      <c r="BK387" s="2934">
        <f t="shared" si="225"/>
        <v>0</v>
      </c>
      <c r="BL387" s="2934">
        <f t="shared" si="226"/>
        <v>0</v>
      </c>
      <c r="BM387" s="2934">
        <f t="shared" si="227"/>
        <v>0</v>
      </c>
      <c r="BN387" s="2934">
        <f t="shared" si="228"/>
        <v>0</v>
      </c>
      <c r="BO387" s="2934">
        <f t="shared" si="229"/>
        <v>0</v>
      </c>
      <c r="BP387" s="2934">
        <f t="shared" si="230"/>
        <v>0</v>
      </c>
      <c r="BQ387" s="2934">
        <f t="shared" si="231"/>
        <v>0</v>
      </c>
      <c r="BR387" s="2934">
        <f t="shared" si="232"/>
        <v>0</v>
      </c>
      <c r="BS387" s="2934">
        <f t="shared" si="233"/>
        <v>0</v>
      </c>
      <c r="BT387" s="2982">
        <f t="shared" si="234"/>
        <v>0</v>
      </c>
    </row>
    <row r="388" spans="1:72">
      <c r="A388" s="874"/>
      <c r="B388" s="882"/>
      <c r="C388" s="882"/>
      <c r="D388" s="2933"/>
      <c r="E388" s="2934">
        <f t="shared" si="235"/>
        <v>0</v>
      </c>
      <c r="F388" s="2935"/>
      <c r="G388" s="2936">
        <f t="shared" si="210"/>
        <v>0</v>
      </c>
      <c r="H388" s="2937">
        <f t="shared" si="211"/>
        <v>0</v>
      </c>
      <c r="I388" s="2944"/>
      <c r="J388" s="2944"/>
      <c r="K388" s="2944"/>
      <c r="L388" s="2944"/>
      <c r="M388" s="2944"/>
      <c r="N388" s="2944"/>
      <c r="O388" s="2944"/>
      <c r="P388" s="2944"/>
      <c r="Q388" s="2944"/>
      <c r="R388" s="2944"/>
      <c r="S388" s="2944"/>
      <c r="T388" s="2944"/>
      <c r="U388" s="2944"/>
      <c r="V388" s="2944"/>
      <c r="W388" s="2944"/>
      <c r="X388" s="2944"/>
      <c r="Y388" s="2944"/>
      <c r="Z388" s="2944"/>
      <c r="AA388" s="2944"/>
      <c r="AB388" s="2944"/>
      <c r="AC388" s="2934">
        <f t="shared" si="212"/>
        <v>0</v>
      </c>
      <c r="AD388" s="2954"/>
      <c r="AE388" s="2954"/>
      <c r="AF388" s="2954"/>
      <c r="AG388" s="2954"/>
      <c r="AH388" s="2954"/>
      <c r="AI388" s="2954"/>
      <c r="AJ388" s="2954"/>
      <c r="AK388" s="2954"/>
      <c r="AL388" s="2954"/>
      <c r="AM388" s="2954"/>
      <c r="AN388" s="2954"/>
      <c r="AO388" s="2954"/>
      <c r="AP388" s="2954"/>
      <c r="AQ388" s="2954"/>
      <c r="AR388" s="2954"/>
      <c r="AS388" s="2954"/>
      <c r="AT388" s="2935"/>
      <c r="AU388" s="2964"/>
      <c r="AV388" s="857">
        <f t="shared" si="236"/>
        <v>0</v>
      </c>
      <c r="AW388" s="857">
        <f t="shared" si="237"/>
        <v>0</v>
      </c>
      <c r="AX388" s="857">
        <f t="shared" si="238"/>
        <v>0</v>
      </c>
      <c r="AY388" s="807">
        <f t="shared" si="213"/>
        <v>0</v>
      </c>
      <c r="AZ388" s="2934">
        <f t="shared" si="214"/>
        <v>0</v>
      </c>
      <c r="BA388" s="2934">
        <f t="shared" si="215"/>
        <v>0</v>
      </c>
      <c r="BB388" s="2934">
        <f t="shared" si="216"/>
        <v>0</v>
      </c>
      <c r="BC388" s="2934">
        <f t="shared" si="217"/>
        <v>0</v>
      </c>
      <c r="BD388" s="2934">
        <f t="shared" si="218"/>
        <v>0</v>
      </c>
      <c r="BE388" s="2934">
        <f t="shared" si="219"/>
        <v>0</v>
      </c>
      <c r="BF388" s="2934">
        <f t="shared" si="220"/>
        <v>0</v>
      </c>
      <c r="BG388" s="2934">
        <f t="shared" si="221"/>
        <v>0</v>
      </c>
      <c r="BH388" s="2934">
        <f t="shared" si="222"/>
        <v>0</v>
      </c>
      <c r="BI388" s="2934">
        <f t="shared" si="223"/>
        <v>0</v>
      </c>
      <c r="BJ388" s="2934">
        <f t="shared" si="224"/>
        <v>0</v>
      </c>
      <c r="BK388" s="2934">
        <f t="shared" si="225"/>
        <v>0</v>
      </c>
      <c r="BL388" s="2934">
        <f t="shared" si="226"/>
        <v>0</v>
      </c>
      <c r="BM388" s="2934">
        <f t="shared" si="227"/>
        <v>0</v>
      </c>
      <c r="BN388" s="2934">
        <f t="shared" si="228"/>
        <v>0</v>
      </c>
      <c r="BO388" s="2934">
        <f t="shared" si="229"/>
        <v>0</v>
      </c>
      <c r="BP388" s="2934">
        <f t="shared" si="230"/>
        <v>0</v>
      </c>
      <c r="BQ388" s="2934">
        <f t="shared" si="231"/>
        <v>0</v>
      </c>
      <c r="BR388" s="2934">
        <f t="shared" si="232"/>
        <v>0</v>
      </c>
      <c r="BS388" s="2934">
        <f t="shared" si="233"/>
        <v>0</v>
      </c>
      <c r="BT388" s="2982">
        <f t="shared" si="234"/>
        <v>0</v>
      </c>
    </row>
    <row r="389" spans="1:72">
      <c r="A389" s="874"/>
      <c r="B389" s="882"/>
      <c r="C389" s="882"/>
      <c r="D389" s="2933"/>
      <c r="E389" s="2934">
        <f t="shared" si="235"/>
        <v>0</v>
      </c>
      <c r="F389" s="2935"/>
      <c r="G389" s="2936">
        <f t="shared" si="210"/>
        <v>0</v>
      </c>
      <c r="H389" s="2937">
        <f t="shared" si="211"/>
        <v>0</v>
      </c>
      <c r="I389" s="2944"/>
      <c r="J389" s="2944"/>
      <c r="K389" s="2944"/>
      <c r="L389" s="2944"/>
      <c r="M389" s="2944"/>
      <c r="N389" s="2944"/>
      <c r="O389" s="2944"/>
      <c r="P389" s="2944"/>
      <c r="Q389" s="2944"/>
      <c r="R389" s="2944"/>
      <c r="S389" s="2944"/>
      <c r="T389" s="2944"/>
      <c r="U389" s="2944"/>
      <c r="V389" s="2944"/>
      <c r="W389" s="2944"/>
      <c r="X389" s="2944"/>
      <c r="Y389" s="2944"/>
      <c r="Z389" s="2944"/>
      <c r="AA389" s="2944"/>
      <c r="AB389" s="2944"/>
      <c r="AC389" s="2934">
        <f t="shared" si="212"/>
        <v>0</v>
      </c>
      <c r="AD389" s="2954"/>
      <c r="AE389" s="2954"/>
      <c r="AF389" s="2954"/>
      <c r="AG389" s="2954"/>
      <c r="AH389" s="2954"/>
      <c r="AI389" s="2954"/>
      <c r="AJ389" s="2954"/>
      <c r="AK389" s="2954"/>
      <c r="AL389" s="2954"/>
      <c r="AM389" s="2954"/>
      <c r="AN389" s="2954"/>
      <c r="AO389" s="2954"/>
      <c r="AP389" s="2954"/>
      <c r="AQ389" s="2954"/>
      <c r="AR389" s="2954"/>
      <c r="AS389" s="2954"/>
      <c r="AT389" s="2935"/>
      <c r="AU389" s="2964"/>
      <c r="AV389" s="857">
        <f t="shared" si="236"/>
        <v>0</v>
      </c>
      <c r="AW389" s="857">
        <f t="shared" si="237"/>
        <v>0</v>
      </c>
      <c r="AX389" s="857">
        <f t="shared" si="238"/>
        <v>0</v>
      </c>
      <c r="AY389" s="807">
        <f t="shared" si="213"/>
        <v>0</v>
      </c>
      <c r="AZ389" s="2934">
        <f t="shared" si="214"/>
        <v>0</v>
      </c>
      <c r="BA389" s="2934">
        <f t="shared" si="215"/>
        <v>0</v>
      </c>
      <c r="BB389" s="2934">
        <f t="shared" si="216"/>
        <v>0</v>
      </c>
      <c r="BC389" s="2934">
        <f t="shared" si="217"/>
        <v>0</v>
      </c>
      <c r="BD389" s="2934">
        <f t="shared" si="218"/>
        <v>0</v>
      </c>
      <c r="BE389" s="2934">
        <f t="shared" si="219"/>
        <v>0</v>
      </c>
      <c r="BF389" s="2934">
        <f t="shared" si="220"/>
        <v>0</v>
      </c>
      <c r="BG389" s="2934">
        <f t="shared" si="221"/>
        <v>0</v>
      </c>
      <c r="BH389" s="2934">
        <f t="shared" si="222"/>
        <v>0</v>
      </c>
      <c r="BI389" s="2934">
        <f t="shared" si="223"/>
        <v>0</v>
      </c>
      <c r="BJ389" s="2934">
        <f t="shared" si="224"/>
        <v>0</v>
      </c>
      <c r="BK389" s="2934">
        <f t="shared" si="225"/>
        <v>0</v>
      </c>
      <c r="BL389" s="2934">
        <f t="shared" si="226"/>
        <v>0</v>
      </c>
      <c r="BM389" s="2934">
        <f t="shared" si="227"/>
        <v>0</v>
      </c>
      <c r="BN389" s="2934">
        <f t="shared" si="228"/>
        <v>0</v>
      </c>
      <c r="BO389" s="2934">
        <f t="shared" si="229"/>
        <v>0</v>
      </c>
      <c r="BP389" s="2934">
        <f t="shared" si="230"/>
        <v>0</v>
      </c>
      <c r="BQ389" s="2934">
        <f t="shared" si="231"/>
        <v>0</v>
      </c>
      <c r="BR389" s="2934">
        <f t="shared" si="232"/>
        <v>0</v>
      </c>
      <c r="BS389" s="2934">
        <f t="shared" si="233"/>
        <v>0</v>
      </c>
      <c r="BT389" s="2982">
        <f t="shared" si="234"/>
        <v>0</v>
      </c>
    </row>
    <row r="390" spans="1:72">
      <c r="A390" s="874"/>
      <c r="B390" s="882"/>
      <c r="C390" s="882"/>
      <c r="D390" s="2933"/>
      <c r="E390" s="2934">
        <f t="shared" si="235"/>
        <v>0</v>
      </c>
      <c r="F390" s="2935"/>
      <c r="G390" s="2936">
        <f t="shared" si="210"/>
        <v>0</v>
      </c>
      <c r="H390" s="2937">
        <f t="shared" si="211"/>
        <v>0</v>
      </c>
      <c r="I390" s="2944"/>
      <c r="J390" s="2944"/>
      <c r="K390" s="2944"/>
      <c r="L390" s="2944"/>
      <c r="M390" s="2944"/>
      <c r="N390" s="2944"/>
      <c r="O390" s="2944"/>
      <c r="P390" s="2944"/>
      <c r="Q390" s="2944"/>
      <c r="R390" s="2944"/>
      <c r="S390" s="2944"/>
      <c r="T390" s="2944"/>
      <c r="U390" s="2944"/>
      <c r="V390" s="2944"/>
      <c r="W390" s="2944"/>
      <c r="X390" s="2944"/>
      <c r="Y390" s="2944"/>
      <c r="Z390" s="2944"/>
      <c r="AA390" s="2944"/>
      <c r="AB390" s="2944"/>
      <c r="AC390" s="2934">
        <f t="shared" si="212"/>
        <v>0</v>
      </c>
      <c r="AD390" s="2954"/>
      <c r="AE390" s="2954"/>
      <c r="AF390" s="2954"/>
      <c r="AG390" s="2954"/>
      <c r="AH390" s="2954"/>
      <c r="AI390" s="2954"/>
      <c r="AJ390" s="2954"/>
      <c r="AK390" s="2954"/>
      <c r="AL390" s="2954"/>
      <c r="AM390" s="2954"/>
      <c r="AN390" s="2954"/>
      <c r="AO390" s="2954"/>
      <c r="AP390" s="2954"/>
      <c r="AQ390" s="2954"/>
      <c r="AR390" s="2954"/>
      <c r="AS390" s="2954"/>
      <c r="AT390" s="2935"/>
      <c r="AU390" s="2964"/>
      <c r="AV390" s="857">
        <f t="shared" si="236"/>
        <v>0</v>
      </c>
      <c r="AW390" s="857">
        <f t="shared" si="237"/>
        <v>0</v>
      </c>
      <c r="AX390" s="857">
        <f t="shared" si="238"/>
        <v>0</v>
      </c>
      <c r="AY390" s="807">
        <f t="shared" si="213"/>
        <v>0</v>
      </c>
      <c r="AZ390" s="2934">
        <f t="shared" si="214"/>
        <v>0</v>
      </c>
      <c r="BA390" s="2934">
        <f t="shared" si="215"/>
        <v>0</v>
      </c>
      <c r="BB390" s="2934">
        <f t="shared" si="216"/>
        <v>0</v>
      </c>
      <c r="BC390" s="2934">
        <f t="shared" si="217"/>
        <v>0</v>
      </c>
      <c r="BD390" s="2934">
        <f t="shared" si="218"/>
        <v>0</v>
      </c>
      <c r="BE390" s="2934">
        <f t="shared" si="219"/>
        <v>0</v>
      </c>
      <c r="BF390" s="2934">
        <f t="shared" si="220"/>
        <v>0</v>
      </c>
      <c r="BG390" s="2934">
        <f t="shared" si="221"/>
        <v>0</v>
      </c>
      <c r="BH390" s="2934">
        <f t="shared" si="222"/>
        <v>0</v>
      </c>
      <c r="BI390" s="2934">
        <f t="shared" si="223"/>
        <v>0</v>
      </c>
      <c r="BJ390" s="2934">
        <f t="shared" si="224"/>
        <v>0</v>
      </c>
      <c r="BK390" s="2934">
        <f t="shared" si="225"/>
        <v>0</v>
      </c>
      <c r="BL390" s="2934">
        <f t="shared" si="226"/>
        <v>0</v>
      </c>
      <c r="BM390" s="2934">
        <f t="shared" si="227"/>
        <v>0</v>
      </c>
      <c r="BN390" s="2934">
        <f t="shared" si="228"/>
        <v>0</v>
      </c>
      <c r="BO390" s="2934">
        <f t="shared" si="229"/>
        <v>0</v>
      </c>
      <c r="BP390" s="2934">
        <f t="shared" si="230"/>
        <v>0</v>
      </c>
      <c r="BQ390" s="2934">
        <f t="shared" si="231"/>
        <v>0</v>
      </c>
      <c r="BR390" s="2934">
        <f t="shared" si="232"/>
        <v>0</v>
      </c>
      <c r="BS390" s="2934">
        <f t="shared" si="233"/>
        <v>0</v>
      </c>
      <c r="BT390" s="2982">
        <f t="shared" si="234"/>
        <v>0</v>
      </c>
    </row>
    <row r="391" spans="1:72">
      <c r="A391" s="874"/>
      <c r="B391" s="882"/>
      <c r="C391" s="882"/>
      <c r="D391" s="2933"/>
      <c r="E391" s="2934">
        <f t="shared" si="235"/>
        <v>0</v>
      </c>
      <c r="F391" s="2935"/>
      <c r="G391" s="2936">
        <f t="shared" si="210"/>
        <v>0</v>
      </c>
      <c r="H391" s="2937">
        <f t="shared" si="211"/>
        <v>0</v>
      </c>
      <c r="I391" s="2944"/>
      <c r="J391" s="2944"/>
      <c r="K391" s="2944"/>
      <c r="L391" s="2944"/>
      <c r="M391" s="2944"/>
      <c r="N391" s="2944"/>
      <c r="O391" s="2944"/>
      <c r="P391" s="2944"/>
      <c r="Q391" s="2944"/>
      <c r="R391" s="2944"/>
      <c r="S391" s="2944"/>
      <c r="T391" s="2944"/>
      <c r="U391" s="2944"/>
      <c r="V391" s="2944"/>
      <c r="W391" s="2944"/>
      <c r="X391" s="2944"/>
      <c r="Y391" s="2944"/>
      <c r="Z391" s="2944"/>
      <c r="AA391" s="2944"/>
      <c r="AB391" s="2944"/>
      <c r="AC391" s="2934">
        <f t="shared" si="212"/>
        <v>0</v>
      </c>
      <c r="AD391" s="2954"/>
      <c r="AE391" s="2954"/>
      <c r="AF391" s="2954"/>
      <c r="AG391" s="2954"/>
      <c r="AH391" s="2954"/>
      <c r="AI391" s="2954"/>
      <c r="AJ391" s="2954"/>
      <c r="AK391" s="2954"/>
      <c r="AL391" s="2954"/>
      <c r="AM391" s="2954"/>
      <c r="AN391" s="2954"/>
      <c r="AO391" s="2954"/>
      <c r="AP391" s="2954"/>
      <c r="AQ391" s="2954"/>
      <c r="AR391" s="2954"/>
      <c r="AS391" s="2954"/>
      <c r="AT391" s="2935"/>
      <c r="AU391" s="2964"/>
      <c r="AV391" s="857">
        <f t="shared" si="236"/>
        <v>0</v>
      </c>
      <c r="AW391" s="857">
        <f t="shared" si="237"/>
        <v>0</v>
      </c>
      <c r="AX391" s="857">
        <f t="shared" si="238"/>
        <v>0</v>
      </c>
      <c r="AY391" s="807">
        <f t="shared" si="213"/>
        <v>0</v>
      </c>
      <c r="AZ391" s="2934">
        <f t="shared" si="214"/>
        <v>0</v>
      </c>
      <c r="BA391" s="2934">
        <f t="shared" si="215"/>
        <v>0</v>
      </c>
      <c r="BB391" s="2934">
        <f t="shared" si="216"/>
        <v>0</v>
      </c>
      <c r="BC391" s="2934">
        <f t="shared" si="217"/>
        <v>0</v>
      </c>
      <c r="BD391" s="2934">
        <f t="shared" si="218"/>
        <v>0</v>
      </c>
      <c r="BE391" s="2934">
        <f t="shared" si="219"/>
        <v>0</v>
      </c>
      <c r="BF391" s="2934">
        <f t="shared" si="220"/>
        <v>0</v>
      </c>
      <c r="BG391" s="2934">
        <f t="shared" si="221"/>
        <v>0</v>
      </c>
      <c r="BH391" s="2934">
        <f t="shared" si="222"/>
        <v>0</v>
      </c>
      <c r="BI391" s="2934">
        <f t="shared" si="223"/>
        <v>0</v>
      </c>
      <c r="BJ391" s="2934">
        <f t="shared" si="224"/>
        <v>0</v>
      </c>
      <c r="BK391" s="2934">
        <f t="shared" si="225"/>
        <v>0</v>
      </c>
      <c r="BL391" s="2934">
        <f t="shared" si="226"/>
        <v>0</v>
      </c>
      <c r="BM391" s="2934">
        <f t="shared" si="227"/>
        <v>0</v>
      </c>
      <c r="BN391" s="2934">
        <f t="shared" si="228"/>
        <v>0</v>
      </c>
      <c r="BO391" s="2934">
        <f t="shared" si="229"/>
        <v>0</v>
      </c>
      <c r="BP391" s="2934">
        <f t="shared" si="230"/>
        <v>0</v>
      </c>
      <c r="BQ391" s="2934">
        <f t="shared" si="231"/>
        <v>0</v>
      </c>
      <c r="BR391" s="2934">
        <f t="shared" si="232"/>
        <v>0</v>
      </c>
      <c r="BS391" s="2934">
        <f t="shared" si="233"/>
        <v>0</v>
      </c>
      <c r="BT391" s="2982">
        <f t="shared" si="234"/>
        <v>0</v>
      </c>
    </row>
    <row r="392" spans="1:72">
      <c r="A392" s="874"/>
      <c r="B392" s="882"/>
      <c r="C392" s="882"/>
      <c r="D392" s="2933"/>
      <c r="E392" s="2934">
        <f t="shared" si="235"/>
        <v>0</v>
      </c>
      <c r="F392" s="2935"/>
      <c r="G392" s="2936">
        <f t="shared" si="210"/>
        <v>0</v>
      </c>
      <c r="H392" s="2937">
        <f t="shared" si="211"/>
        <v>0</v>
      </c>
      <c r="I392" s="2944"/>
      <c r="J392" s="2944"/>
      <c r="K392" s="2944"/>
      <c r="L392" s="2944"/>
      <c r="M392" s="2944"/>
      <c r="N392" s="2944"/>
      <c r="O392" s="2944"/>
      <c r="P392" s="2944"/>
      <c r="Q392" s="2944"/>
      <c r="R392" s="2944"/>
      <c r="S392" s="2944"/>
      <c r="T392" s="2944"/>
      <c r="U392" s="2944"/>
      <c r="V392" s="2944"/>
      <c r="W392" s="2944"/>
      <c r="X392" s="2944"/>
      <c r="Y392" s="2944"/>
      <c r="Z392" s="2944"/>
      <c r="AA392" s="2944"/>
      <c r="AB392" s="2944"/>
      <c r="AC392" s="2934">
        <f t="shared" si="212"/>
        <v>0</v>
      </c>
      <c r="AD392" s="2954"/>
      <c r="AE392" s="2954"/>
      <c r="AF392" s="2954"/>
      <c r="AG392" s="2954"/>
      <c r="AH392" s="2954"/>
      <c r="AI392" s="2954"/>
      <c r="AJ392" s="2954"/>
      <c r="AK392" s="2954"/>
      <c r="AL392" s="2954"/>
      <c r="AM392" s="2954"/>
      <c r="AN392" s="2954"/>
      <c r="AO392" s="2954"/>
      <c r="AP392" s="2954"/>
      <c r="AQ392" s="2954"/>
      <c r="AR392" s="2954"/>
      <c r="AS392" s="2954"/>
      <c r="AT392" s="2935"/>
      <c r="AU392" s="2964"/>
      <c r="AV392" s="857">
        <f t="shared" si="236"/>
        <v>0</v>
      </c>
      <c r="AW392" s="857">
        <f t="shared" si="237"/>
        <v>0</v>
      </c>
      <c r="AX392" s="857">
        <f t="shared" si="238"/>
        <v>0</v>
      </c>
      <c r="AY392" s="807">
        <f t="shared" si="213"/>
        <v>0</v>
      </c>
      <c r="AZ392" s="2934">
        <f t="shared" si="214"/>
        <v>0</v>
      </c>
      <c r="BA392" s="2934">
        <f t="shared" si="215"/>
        <v>0</v>
      </c>
      <c r="BB392" s="2934">
        <f t="shared" si="216"/>
        <v>0</v>
      </c>
      <c r="BC392" s="2934">
        <f t="shared" si="217"/>
        <v>0</v>
      </c>
      <c r="BD392" s="2934">
        <f t="shared" si="218"/>
        <v>0</v>
      </c>
      <c r="BE392" s="2934">
        <f t="shared" si="219"/>
        <v>0</v>
      </c>
      <c r="BF392" s="2934">
        <f t="shared" si="220"/>
        <v>0</v>
      </c>
      <c r="BG392" s="2934">
        <f t="shared" si="221"/>
        <v>0</v>
      </c>
      <c r="BH392" s="2934">
        <f t="shared" si="222"/>
        <v>0</v>
      </c>
      <c r="BI392" s="2934">
        <f t="shared" si="223"/>
        <v>0</v>
      </c>
      <c r="BJ392" s="2934">
        <f t="shared" si="224"/>
        <v>0</v>
      </c>
      <c r="BK392" s="2934">
        <f t="shared" si="225"/>
        <v>0</v>
      </c>
      <c r="BL392" s="2934">
        <f t="shared" si="226"/>
        <v>0</v>
      </c>
      <c r="BM392" s="2934">
        <f t="shared" si="227"/>
        <v>0</v>
      </c>
      <c r="BN392" s="2934">
        <f t="shared" si="228"/>
        <v>0</v>
      </c>
      <c r="BO392" s="2934">
        <f t="shared" si="229"/>
        <v>0</v>
      </c>
      <c r="BP392" s="2934">
        <f t="shared" si="230"/>
        <v>0</v>
      </c>
      <c r="BQ392" s="2934">
        <f t="shared" si="231"/>
        <v>0</v>
      </c>
      <c r="BR392" s="2934">
        <f t="shared" si="232"/>
        <v>0</v>
      </c>
      <c r="BS392" s="2934">
        <f t="shared" si="233"/>
        <v>0</v>
      </c>
      <c r="BT392" s="2982">
        <f t="shared" si="234"/>
        <v>0</v>
      </c>
    </row>
    <row r="393" spans="1:72">
      <c r="A393" s="874"/>
      <c r="B393" s="882"/>
      <c r="C393" s="882"/>
      <c r="D393" s="2933"/>
      <c r="E393" s="2934">
        <f t="shared" si="235"/>
        <v>0</v>
      </c>
      <c r="F393" s="2935"/>
      <c r="G393" s="2936">
        <f t="shared" si="210"/>
        <v>0</v>
      </c>
      <c r="H393" s="2937">
        <f t="shared" si="211"/>
        <v>0</v>
      </c>
      <c r="I393" s="2944"/>
      <c r="J393" s="2944"/>
      <c r="K393" s="2944"/>
      <c r="L393" s="2944"/>
      <c r="M393" s="2944"/>
      <c r="N393" s="2944"/>
      <c r="O393" s="2944"/>
      <c r="P393" s="2944"/>
      <c r="Q393" s="2944"/>
      <c r="R393" s="2944"/>
      <c r="S393" s="2944"/>
      <c r="T393" s="2944"/>
      <c r="U393" s="2944"/>
      <c r="V393" s="2944"/>
      <c r="W393" s="2944"/>
      <c r="X393" s="2944"/>
      <c r="Y393" s="2944"/>
      <c r="Z393" s="2944"/>
      <c r="AA393" s="2944"/>
      <c r="AB393" s="2944"/>
      <c r="AC393" s="2934">
        <f t="shared" si="212"/>
        <v>0</v>
      </c>
      <c r="AD393" s="2954"/>
      <c r="AE393" s="2954"/>
      <c r="AF393" s="2954"/>
      <c r="AG393" s="2954"/>
      <c r="AH393" s="2954"/>
      <c r="AI393" s="2954"/>
      <c r="AJ393" s="2954"/>
      <c r="AK393" s="2954"/>
      <c r="AL393" s="2954"/>
      <c r="AM393" s="2954"/>
      <c r="AN393" s="2954"/>
      <c r="AO393" s="2954"/>
      <c r="AP393" s="2954"/>
      <c r="AQ393" s="2954"/>
      <c r="AR393" s="2954"/>
      <c r="AS393" s="2954"/>
      <c r="AT393" s="2935"/>
      <c r="AU393" s="2964"/>
      <c r="AV393" s="857">
        <f t="shared" si="236"/>
        <v>0</v>
      </c>
      <c r="AW393" s="857">
        <f t="shared" si="237"/>
        <v>0</v>
      </c>
      <c r="AX393" s="857">
        <f t="shared" si="238"/>
        <v>0</v>
      </c>
      <c r="AY393" s="807">
        <f t="shared" si="213"/>
        <v>0</v>
      </c>
      <c r="AZ393" s="2934">
        <f t="shared" si="214"/>
        <v>0</v>
      </c>
      <c r="BA393" s="2934">
        <f t="shared" si="215"/>
        <v>0</v>
      </c>
      <c r="BB393" s="2934">
        <f t="shared" si="216"/>
        <v>0</v>
      </c>
      <c r="BC393" s="2934">
        <f t="shared" si="217"/>
        <v>0</v>
      </c>
      <c r="BD393" s="2934">
        <f t="shared" si="218"/>
        <v>0</v>
      </c>
      <c r="BE393" s="2934">
        <f t="shared" si="219"/>
        <v>0</v>
      </c>
      <c r="BF393" s="2934">
        <f t="shared" si="220"/>
        <v>0</v>
      </c>
      <c r="BG393" s="2934">
        <f t="shared" si="221"/>
        <v>0</v>
      </c>
      <c r="BH393" s="2934">
        <f t="shared" si="222"/>
        <v>0</v>
      </c>
      <c r="BI393" s="2934">
        <f t="shared" si="223"/>
        <v>0</v>
      </c>
      <c r="BJ393" s="2934">
        <f t="shared" si="224"/>
        <v>0</v>
      </c>
      <c r="BK393" s="2934">
        <f t="shared" si="225"/>
        <v>0</v>
      </c>
      <c r="BL393" s="2934">
        <f t="shared" si="226"/>
        <v>0</v>
      </c>
      <c r="BM393" s="2934">
        <f t="shared" si="227"/>
        <v>0</v>
      </c>
      <c r="BN393" s="2934">
        <f t="shared" si="228"/>
        <v>0</v>
      </c>
      <c r="BO393" s="2934">
        <f t="shared" si="229"/>
        <v>0</v>
      </c>
      <c r="BP393" s="2934">
        <f t="shared" si="230"/>
        <v>0</v>
      </c>
      <c r="BQ393" s="2934">
        <f t="shared" si="231"/>
        <v>0</v>
      </c>
      <c r="BR393" s="2934">
        <f t="shared" si="232"/>
        <v>0</v>
      </c>
      <c r="BS393" s="2934">
        <f t="shared" si="233"/>
        <v>0</v>
      </c>
      <c r="BT393" s="2982">
        <f t="shared" si="234"/>
        <v>0</v>
      </c>
    </row>
    <row r="394" spans="1:72">
      <c r="A394" s="874"/>
      <c r="B394" s="882"/>
      <c r="C394" s="882"/>
      <c r="D394" s="2933"/>
      <c r="E394" s="2934">
        <f t="shared" si="235"/>
        <v>0</v>
      </c>
      <c r="F394" s="2935"/>
      <c r="G394" s="2936">
        <f t="shared" si="210"/>
        <v>0</v>
      </c>
      <c r="H394" s="2937">
        <f t="shared" si="211"/>
        <v>0</v>
      </c>
      <c r="I394" s="2944"/>
      <c r="J394" s="2944"/>
      <c r="K394" s="2944"/>
      <c r="L394" s="2944"/>
      <c r="M394" s="2944"/>
      <c r="N394" s="2944"/>
      <c r="O394" s="2944"/>
      <c r="P394" s="2944"/>
      <c r="Q394" s="2944"/>
      <c r="R394" s="2944"/>
      <c r="S394" s="2944"/>
      <c r="T394" s="2944"/>
      <c r="U394" s="2944"/>
      <c r="V394" s="2944"/>
      <c r="W394" s="2944"/>
      <c r="X394" s="2944"/>
      <c r="Y394" s="2944"/>
      <c r="Z394" s="2944"/>
      <c r="AA394" s="2944"/>
      <c r="AB394" s="2944"/>
      <c r="AC394" s="2934">
        <f t="shared" si="212"/>
        <v>0</v>
      </c>
      <c r="AD394" s="2954"/>
      <c r="AE394" s="2954"/>
      <c r="AF394" s="2954"/>
      <c r="AG394" s="2954"/>
      <c r="AH394" s="2954"/>
      <c r="AI394" s="2954"/>
      <c r="AJ394" s="2954"/>
      <c r="AK394" s="2954"/>
      <c r="AL394" s="2954"/>
      <c r="AM394" s="2954"/>
      <c r="AN394" s="2954"/>
      <c r="AO394" s="2954"/>
      <c r="AP394" s="2954"/>
      <c r="AQ394" s="2954"/>
      <c r="AR394" s="2954"/>
      <c r="AS394" s="2954"/>
      <c r="AT394" s="2935"/>
      <c r="AU394" s="2964"/>
      <c r="AV394" s="857">
        <f t="shared" si="236"/>
        <v>0</v>
      </c>
      <c r="AW394" s="857">
        <f t="shared" si="237"/>
        <v>0</v>
      </c>
      <c r="AX394" s="857">
        <f t="shared" si="238"/>
        <v>0</v>
      </c>
      <c r="AY394" s="807">
        <f t="shared" si="213"/>
        <v>0</v>
      </c>
      <c r="AZ394" s="2934">
        <f t="shared" si="214"/>
        <v>0</v>
      </c>
      <c r="BA394" s="2934">
        <f t="shared" si="215"/>
        <v>0</v>
      </c>
      <c r="BB394" s="2934">
        <f t="shared" si="216"/>
        <v>0</v>
      </c>
      <c r="BC394" s="2934">
        <f t="shared" si="217"/>
        <v>0</v>
      </c>
      <c r="BD394" s="2934">
        <f t="shared" si="218"/>
        <v>0</v>
      </c>
      <c r="BE394" s="2934">
        <f t="shared" si="219"/>
        <v>0</v>
      </c>
      <c r="BF394" s="2934">
        <f t="shared" si="220"/>
        <v>0</v>
      </c>
      <c r="BG394" s="2934">
        <f t="shared" si="221"/>
        <v>0</v>
      </c>
      <c r="BH394" s="2934">
        <f t="shared" si="222"/>
        <v>0</v>
      </c>
      <c r="BI394" s="2934">
        <f t="shared" si="223"/>
        <v>0</v>
      </c>
      <c r="BJ394" s="2934">
        <f t="shared" si="224"/>
        <v>0</v>
      </c>
      <c r="BK394" s="2934">
        <f t="shared" si="225"/>
        <v>0</v>
      </c>
      <c r="BL394" s="2934">
        <f t="shared" si="226"/>
        <v>0</v>
      </c>
      <c r="BM394" s="2934">
        <f t="shared" si="227"/>
        <v>0</v>
      </c>
      <c r="BN394" s="2934">
        <f t="shared" si="228"/>
        <v>0</v>
      </c>
      <c r="BO394" s="2934">
        <f t="shared" si="229"/>
        <v>0</v>
      </c>
      <c r="BP394" s="2934">
        <f t="shared" si="230"/>
        <v>0</v>
      </c>
      <c r="BQ394" s="2934">
        <f t="shared" si="231"/>
        <v>0</v>
      </c>
      <c r="BR394" s="2934">
        <f t="shared" si="232"/>
        <v>0</v>
      </c>
      <c r="BS394" s="2934">
        <f t="shared" si="233"/>
        <v>0</v>
      </c>
      <c r="BT394" s="2982">
        <f t="shared" si="234"/>
        <v>0</v>
      </c>
    </row>
    <row r="395" spans="1:72">
      <c r="A395" s="874"/>
      <c r="B395" s="874"/>
      <c r="C395" s="874"/>
      <c r="D395" s="2933"/>
      <c r="E395" s="2934">
        <f t="shared" si="235"/>
        <v>0</v>
      </c>
      <c r="F395" s="2954"/>
      <c r="G395" s="2936">
        <f t="shared" si="210"/>
        <v>0</v>
      </c>
      <c r="H395" s="2937">
        <f t="shared" si="211"/>
        <v>0</v>
      </c>
      <c r="I395" s="2983"/>
      <c r="J395" s="2983"/>
      <c r="K395" s="2944"/>
      <c r="L395" s="2944"/>
      <c r="M395" s="2944"/>
      <c r="N395" s="2944"/>
      <c r="O395" s="2944"/>
      <c r="P395" s="2944"/>
      <c r="Q395" s="2944"/>
      <c r="R395" s="2944"/>
      <c r="S395" s="2944"/>
      <c r="T395" s="2944"/>
      <c r="U395" s="2944"/>
      <c r="V395" s="2944"/>
      <c r="W395" s="2944"/>
      <c r="X395" s="2944"/>
      <c r="Y395" s="2944"/>
      <c r="Z395" s="2944"/>
      <c r="AA395" s="2944"/>
      <c r="AB395" s="2944"/>
      <c r="AC395" s="2934">
        <f t="shared" si="212"/>
        <v>0</v>
      </c>
      <c r="AD395" s="2954"/>
      <c r="AE395" s="2954"/>
      <c r="AF395" s="2954"/>
      <c r="AG395" s="2954"/>
      <c r="AH395" s="2954"/>
      <c r="AI395" s="2954"/>
      <c r="AJ395" s="2954"/>
      <c r="AK395" s="2954"/>
      <c r="AL395" s="2954"/>
      <c r="AM395" s="2954"/>
      <c r="AN395" s="2954"/>
      <c r="AO395" s="2954"/>
      <c r="AP395" s="2954"/>
      <c r="AQ395" s="2954"/>
      <c r="AR395" s="2954"/>
      <c r="AS395" s="2954"/>
      <c r="AT395" s="2954"/>
      <c r="AU395" s="917"/>
      <c r="AV395" s="857">
        <f t="shared" si="236"/>
        <v>0</v>
      </c>
      <c r="AW395" s="857">
        <f t="shared" si="237"/>
        <v>0</v>
      </c>
      <c r="AX395" s="857">
        <f t="shared" si="238"/>
        <v>0</v>
      </c>
      <c r="AY395" s="807">
        <f t="shared" si="213"/>
        <v>0</v>
      </c>
      <c r="AZ395" s="2934">
        <f t="shared" si="214"/>
        <v>0</v>
      </c>
      <c r="BA395" s="2934">
        <f t="shared" si="215"/>
        <v>0</v>
      </c>
      <c r="BB395" s="2934">
        <f t="shared" si="216"/>
        <v>0</v>
      </c>
      <c r="BC395" s="2934">
        <f t="shared" si="217"/>
        <v>0</v>
      </c>
      <c r="BD395" s="2934">
        <f t="shared" si="218"/>
        <v>0</v>
      </c>
      <c r="BE395" s="2934">
        <f t="shared" si="219"/>
        <v>0</v>
      </c>
      <c r="BF395" s="2934">
        <f t="shared" si="220"/>
        <v>0</v>
      </c>
      <c r="BG395" s="2934">
        <f t="shared" si="221"/>
        <v>0</v>
      </c>
      <c r="BH395" s="2934">
        <f t="shared" si="222"/>
        <v>0</v>
      </c>
      <c r="BI395" s="2934">
        <f t="shared" si="223"/>
        <v>0</v>
      </c>
      <c r="BJ395" s="2934">
        <f t="shared" si="224"/>
        <v>0</v>
      </c>
      <c r="BK395" s="2934">
        <f t="shared" si="225"/>
        <v>0</v>
      </c>
      <c r="BL395" s="2934">
        <f t="shared" si="226"/>
        <v>0</v>
      </c>
      <c r="BM395" s="2934">
        <f t="shared" si="227"/>
        <v>0</v>
      </c>
      <c r="BN395" s="2934">
        <f t="shared" si="228"/>
        <v>0</v>
      </c>
      <c r="BO395" s="2934">
        <f t="shared" si="229"/>
        <v>0</v>
      </c>
      <c r="BP395" s="2934">
        <f t="shared" si="230"/>
        <v>0</v>
      </c>
      <c r="BQ395" s="2934">
        <f t="shared" si="231"/>
        <v>0</v>
      </c>
      <c r="BR395" s="2934">
        <f t="shared" si="232"/>
        <v>0</v>
      </c>
      <c r="BS395" s="2934">
        <f t="shared" si="233"/>
        <v>0</v>
      </c>
      <c r="BT395" s="2982">
        <f t="shared" si="234"/>
        <v>0</v>
      </c>
    </row>
    <row r="396" spans="1:72">
      <c r="A396" s="874"/>
      <c r="B396" s="874"/>
      <c r="C396" s="874"/>
      <c r="D396" s="2933"/>
      <c r="E396" s="2934">
        <f t="shared" si="235"/>
        <v>0</v>
      </c>
      <c r="F396" s="2954"/>
      <c r="G396" s="2936">
        <f t="shared" si="210"/>
        <v>0</v>
      </c>
      <c r="H396" s="2937">
        <f t="shared" si="211"/>
        <v>0</v>
      </c>
      <c r="I396" s="2944"/>
      <c r="J396" s="2944"/>
      <c r="K396" s="2944"/>
      <c r="L396" s="2944"/>
      <c r="M396" s="2944"/>
      <c r="N396" s="2944"/>
      <c r="O396" s="2944"/>
      <c r="P396" s="2944"/>
      <c r="Q396" s="2944"/>
      <c r="R396" s="2944"/>
      <c r="S396" s="2944"/>
      <c r="T396" s="2944"/>
      <c r="U396" s="2944"/>
      <c r="V396" s="2944"/>
      <c r="W396" s="2944"/>
      <c r="X396" s="2944"/>
      <c r="Y396" s="2944"/>
      <c r="Z396" s="2944"/>
      <c r="AA396" s="2944"/>
      <c r="AB396" s="2944"/>
      <c r="AC396" s="2934">
        <f t="shared" si="212"/>
        <v>0</v>
      </c>
      <c r="AD396" s="2954"/>
      <c r="AE396" s="2954"/>
      <c r="AF396" s="2954"/>
      <c r="AG396" s="2954"/>
      <c r="AH396" s="2954"/>
      <c r="AI396" s="2954"/>
      <c r="AJ396" s="2954"/>
      <c r="AK396" s="2954"/>
      <c r="AL396" s="2954"/>
      <c r="AM396" s="2954"/>
      <c r="AN396" s="2954"/>
      <c r="AO396" s="2954"/>
      <c r="AP396" s="2954"/>
      <c r="AQ396" s="2954"/>
      <c r="AR396" s="2954"/>
      <c r="AS396" s="2954"/>
      <c r="AT396" s="2954"/>
      <c r="AU396" s="917"/>
      <c r="AV396" s="857">
        <f t="shared" si="236"/>
        <v>0</v>
      </c>
      <c r="AW396" s="857">
        <f t="shared" si="237"/>
        <v>0</v>
      </c>
      <c r="AX396" s="857">
        <f t="shared" si="238"/>
        <v>0</v>
      </c>
      <c r="AY396" s="807">
        <f t="shared" si="213"/>
        <v>0</v>
      </c>
      <c r="AZ396" s="2934">
        <f t="shared" si="214"/>
        <v>0</v>
      </c>
      <c r="BA396" s="2934">
        <f t="shared" si="215"/>
        <v>0</v>
      </c>
      <c r="BB396" s="2934">
        <f t="shared" si="216"/>
        <v>0</v>
      </c>
      <c r="BC396" s="2934">
        <f t="shared" si="217"/>
        <v>0</v>
      </c>
      <c r="BD396" s="2934">
        <f t="shared" si="218"/>
        <v>0</v>
      </c>
      <c r="BE396" s="2934">
        <f t="shared" si="219"/>
        <v>0</v>
      </c>
      <c r="BF396" s="2934">
        <f t="shared" si="220"/>
        <v>0</v>
      </c>
      <c r="BG396" s="2934">
        <f t="shared" si="221"/>
        <v>0</v>
      </c>
      <c r="BH396" s="2934">
        <f t="shared" si="222"/>
        <v>0</v>
      </c>
      <c r="BI396" s="2934">
        <f t="shared" si="223"/>
        <v>0</v>
      </c>
      <c r="BJ396" s="2934">
        <f t="shared" si="224"/>
        <v>0</v>
      </c>
      <c r="BK396" s="2934">
        <f t="shared" si="225"/>
        <v>0</v>
      </c>
      <c r="BL396" s="2934">
        <f t="shared" si="226"/>
        <v>0</v>
      </c>
      <c r="BM396" s="2934">
        <f t="shared" si="227"/>
        <v>0</v>
      </c>
      <c r="BN396" s="2934">
        <f t="shared" si="228"/>
        <v>0</v>
      </c>
      <c r="BO396" s="2934">
        <f t="shared" si="229"/>
        <v>0</v>
      </c>
      <c r="BP396" s="2934">
        <f t="shared" si="230"/>
        <v>0</v>
      </c>
      <c r="BQ396" s="2934">
        <f t="shared" si="231"/>
        <v>0</v>
      </c>
      <c r="BR396" s="2934">
        <f t="shared" si="232"/>
        <v>0</v>
      </c>
      <c r="BS396" s="2934">
        <f t="shared" si="233"/>
        <v>0</v>
      </c>
      <c r="BT396" s="2982">
        <f t="shared" si="234"/>
        <v>0</v>
      </c>
    </row>
    <row r="397" spans="1:72">
      <c r="A397" s="874"/>
      <c r="B397" s="874"/>
      <c r="C397" s="874"/>
      <c r="D397" s="2933"/>
      <c r="E397" s="2934">
        <f t="shared" si="235"/>
        <v>0</v>
      </c>
      <c r="F397" s="2954"/>
      <c r="G397" s="2936">
        <f t="shared" si="210"/>
        <v>0</v>
      </c>
      <c r="H397" s="2937">
        <f t="shared" si="211"/>
        <v>0</v>
      </c>
      <c r="I397" s="2944"/>
      <c r="J397" s="2944"/>
      <c r="K397" s="2944"/>
      <c r="L397" s="2944"/>
      <c r="M397" s="2944"/>
      <c r="N397" s="2944"/>
      <c r="O397" s="2944"/>
      <c r="P397" s="2944"/>
      <c r="Q397" s="2944"/>
      <c r="R397" s="2944"/>
      <c r="S397" s="2944"/>
      <c r="T397" s="2944"/>
      <c r="U397" s="2944"/>
      <c r="V397" s="2944"/>
      <c r="W397" s="2944"/>
      <c r="X397" s="2944"/>
      <c r="Y397" s="2944"/>
      <c r="Z397" s="2944"/>
      <c r="AA397" s="2944"/>
      <c r="AB397" s="2944"/>
      <c r="AC397" s="2934">
        <f t="shared" si="212"/>
        <v>0</v>
      </c>
      <c r="AD397" s="2954"/>
      <c r="AE397" s="2954"/>
      <c r="AF397" s="2954"/>
      <c r="AG397" s="2954"/>
      <c r="AH397" s="2954"/>
      <c r="AI397" s="2954"/>
      <c r="AJ397" s="2954"/>
      <c r="AK397" s="2954"/>
      <c r="AL397" s="2954"/>
      <c r="AM397" s="2954"/>
      <c r="AN397" s="2954"/>
      <c r="AO397" s="2954"/>
      <c r="AP397" s="2954"/>
      <c r="AQ397" s="2954"/>
      <c r="AR397" s="2954"/>
      <c r="AS397" s="2954"/>
      <c r="AT397" s="2954"/>
      <c r="AU397" s="917"/>
      <c r="AV397" s="857">
        <f t="shared" si="236"/>
        <v>0</v>
      </c>
      <c r="AW397" s="857">
        <f t="shared" si="237"/>
        <v>0</v>
      </c>
      <c r="AX397" s="857">
        <f t="shared" si="238"/>
        <v>0</v>
      </c>
      <c r="AY397" s="807">
        <f t="shared" si="213"/>
        <v>0</v>
      </c>
      <c r="AZ397" s="2934">
        <f t="shared" si="214"/>
        <v>0</v>
      </c>
      <c r="BA397" s="2934">
        <f t="shared" si="215"/>
        <v>0</v>
      </c>
      <c r="BB397" s="2934">
        <f t="shared" si="216"/>
        <v>0</v>
      </c>
      <c r="BC397" s="2934">
        <f t="shared" si="217"/>
        <v>0</v>
      </c>
      <c r="BD397" s="2934">
        <f t="shared" si="218"/>
        <v>0</v>
      </c>
      <c r="BE397" s="2934">
        <f t="shared" si="219"/>
        <v>0</v>
      </c>
      <c r="BF397" s="2934">
        <f t="shared" si="220"/>
        <v>0</v>
      </c>
      <c r="BG397" s="2934">
        <f t="shared" si="221"/>
        <v>0</v>
      </c>
      <c r="BH397" s="2934">
        <f t="shared" si="222"/>
        <v>0</v>
      </c>
      <c r="BI397" s="2934">
        <f t="shared" si="223"/>
        <v>0</v>
      </c>
      <c r="BJ397" s="2934">
        <f t="shared" si="224"/>
        <v>0</v>
      </c>
      <c r="BK397" s="2934">
        <f t="shared" si="225"/>
        <v>0</v>
      </c>
      <c r="BL397" s="2934">
        <f t="shared" si="226"/>
        <v>0</v>
      </c>
      <c r="BM397" s="2934">
        <f t="shared" si="227"/>
        <v>0</v>
      </c>
      <c r="BN397" s="2934">
        <f t="shared" si="228"/>
        <v>0</v>
      </c>
      <c r="BO397" s="2934">
        <f t="shared" si="229"/>
        <v>0</v>
      </c>
      <c r="BP397" s="2934">
        <f t="shared" si="230"/>
        <v>0</v>
      </c>
      <c r="BQ397" s="2934">
        <f t="shared" si="231"/>
        <v>0</v>
      </c>
      <c r="BR397" s="2934">
        <f t="shared" si="232"/>
        <v>0</v>
      </c>
      <c r="BS397" s="2934">
        <f t="shared" si="233"/>
        <v>0</v>
      </c>
      <c r="BT397" s="2982">
        <f t="shared" si="234"/>
        <v>0</v>
      </c>
    </row>
    <row r="398" spans="1:72">
      <c r="A398" s="874"/>
      <c r="B398" s="882"/>
      <c r="C398" s="882"/>
      <c r="D398" s="2933"/>
      <c r="E398" s="2934">
        <f t="shared" ref="E398:E492" si="239">IF($C$3="是",ROUND($A$3*G398/$B$3,2),ROUND($A$3*(G398-AT398)/$B$3,2))</f>
        <v>0</v>
      </c>
      <c r="F398" s="2935"/>
      <c r="G398" s="2936">
        <f t="shared" ref="G398:G489" si="240">H398+AC398+AT398</f>
        <v>0</v>
      </c>
      <c r="H398" s="2937">
        <f t="shared" ref="H398:H489" si="241">SUMIF(I$12:AB$12,"总值",I398:AB398)</f>
        <v>0</v>
      </c>
      <c r="I398" s="2944"/>
      <c r="J398" s="2944"/>
      <c r="K398" s="2944"/>
      <c r="L398" s="2944"/>
      <c r="M398" s="2944"/>
      <c r="N398" s="2944"/>
      <c r="O398" s="2944"/>
      <c r="P398" s="2944"/>
      <c r="Q398" s="2944"/>
      <c r="R398" s="2944"/>
      <c r="S398" s="2944"/>
      <c r="T398" s="2944"/>
      <c r="U398" s="2944"/>
      <c r="V398" s="2944"/>
      <c r="W398" s="2944"/>
      <c r="X398" s="2944"/>
      <c r="Y398" s="2944"/>
      <c r="Z398" s="2944"/>
      <c r="AA398" s="2944"/>
      <c r="AB398" s="2944"/>
      <c r="AC398" s="2934">
        <f t="shared" ref="AC398:AC489" si="242">SUMIF(AD$12:AS$12,"总值",AD398:AS398)</f>
        <v>0</v>
      </c>
      <c r="AD398" s="2954"/>
      <c r="AE398" s="2954"/>
      <c r="AF398" s="2954"/>
      <c r="AG398" s="2954"/>
      <c r="AH398" s="2954"/>
      <c r="AI398" s="2954"/>
      <c r="AJ398" s="2954"/>
      <c r="AK398" s="2954"/>
      <c r="AL398" s="2954"/>
      <c r="AM398" s="2954"/>
      <c r="AN398" s="2954"/>
      <c r="AO398" s="2954"/>
      <c r="AP398" s="2954"/>
      <c r="AQ398" s="2954"/>
      <c r="AR398" s="2954"/>
      <c r="AS398" s="2954"/>
      <c r="AT398" s="2935"/>
      <c r="AU398" s="2964"/>
      <c r="AV398" s="857">
        <f t="shared" ref="AV398:AV492" si="243">A398</f>
        <v>0</v>
      </c>
      <c r="AW398" s="857">
        <f t="shared" ref="AW398:AW492" si="244">B398</f>
        <v>0</v>
      </c>
      <c r="AX398" s="857">
        <f t="shared" ref="AX398:AX492" si="245">C398</f>
        <v>0</v>
      </c>
      <c r="AY398" s="807">
        <f t="shared" ref="AY398:AY489" si="246">ROUND($AY$6*AZ398/$AZ$5,2)</f>
        <v>0</v>
      </c>
      <c r="AZ398" s="2934">
        <f t="shared" ref="AZ398:AZ489" si="247">BA398+BL398</f>
        <v>0</v>
      </c>
      <c r="BA398" s="2934">
        <f t="shared" ref="BA398:BA489" si="248">SUM(BB398:BK398)</f>
        <v>0</v>
      </c>
      <c r="BB398" s="2934">
        <f t="shared" ref="BB398:BB489" si="249">IF($D398="是",I398-J398,0)</f>
        <v>0</v>
      </c>
      <c r="BC398" s="2934">
        <f t="shared" ref="BC398:BC489" si="250">IF($D398="是",K398-L398,0)</f>
        <v>0</v>
      </c>
      <c r="BD398" s="2934">
        <f t="shared" ref="BD398:BD489" si="251">IF($D398="是",M398-N398,0)</f>
        <v>0</v>
      </c>
      <c r="BE398" s="2934">
        <f t="shared" ref="BE398:BE489" si="252">IF($D398="是",O398-P398,0)</f>
        <v>0</v>
      </c>
      <c r="BF398" s="2934">
        <f t="shared" ref="BF398:BF489" si="253">IF($D398="是",Q398-R398,0)</f>
        <v>0</v>
      </c>
      <c r="BG398" s="2934">
        <f t="shared" ref="BG398:BG489" si="254">IF($D398="是",S398-T398,0)</f>
        <v>0</v>
      </c>
      <c r="BH398" s="2934">
        <f t="shared" ref="BH398:BH489" si="255">IF($D398="是",U398-V398,0)</f>
        <v>0</v>
      </c>
      <c r="BI398" s="2934">
        <f t="shared" ref="BI398:BI489" si="256">IF($D398="是",W398-X398,0)</f>
        <v>0</v>
      </c>
      <c r="BJ398" s="2934">
        <f t="shared" ref="BJ398:BJ489" si="257">IF($D398="是",Y398-Z398,0)</f>
        <v>0</v>
      </c>
      <c r="BK398" s="2934">
        <f t="shared" ref="BK398:BK489" si="258">IF($D398="是",AA398-AB398,0)</f>
        <v>0</v>
      </c>
      <c r="BL398" s="2934">
        <f t="shared" ref="BL398:BL489" si="259">SUM(BM398:BT398)</f>
        <v>0</v>
      </c>
      <c r="BM398" s="2934">
        <f t="shared" ref="BM398:BM489" si="260">IF($D398="是",AD398-AE398,0)</f>
        <v>0</v>
      </c>
      <c r="BN398" s="2934">
        <f t="shared" ref="BN398:BN489" si="261">IF($D398="是",AF398-AG398,0)</f>
        <v>0</v>
      </c>
      <c r="BO398" s="2934">
        <f t="shared" ref="BO398:BO489" si="262">IF($D398="是",AH398-AI398,0)</f>
        <v>0</v>
      </c>
      <c r="BP398" s="2934">
        <f t="shared" ref="BP398:BP489" si="263">IF($D398="是",AJ398-AK398,0)</f>
        <v>0</v>
      </c>
      <c r="BQ398" s="2934">
        <f t="shared" ref="BQ398:BQ489" si="264">IF($D398="是",AL398-AM398,0)</f>
        <v>0</v>
      </c>
      <c r="BR398" s="2934">
        <f t="shared" ref="BR398:BR489" si="265">IF($D398="是",AN398-AO398,0)</f>
        <v>0</v>
      </c>
      <c r="BS398" s="2934">
        <f t="shared" ref="BS398:BS489" si="266">IF($D398="是",AP398-AQ398,0)</f>
        <v>0</v>
      </c>
      <c r="BT398" s="2982">
        <f t="shared" ref="BT398:BT489" si="267">IF($D398="是",AR398-AS398,0)</f>
        <v>0</v>
      </c>
    </row>
    <row r="399" spans="1:72">
      <c r="A399" s="874"/>
      <c r="B399" s="882"/>
      <c r="C399" s="882"/>
      <c r="D399" s="2933"/>
      <c r="E399" s="2934">
        <f t="shared" si="239"/>
        <v>0</v>
      </c>
      <c r="F399" s="2935"/>
      <c r="G399" s="2936">
        <f t="shared" si="240"/>
        <v>0</v>
      </c>
      <c r="H399" s="2937">
        <f t="shared" si="241"/>
        <v>0</v>
      </c>
      <c r="I399" s="2944"/>
      <c r="J399" s="2944"/>
      <c r="K399" s="2944"/>
      <c r="L399" s="2944"/>
      <c r="M399" s="2944"/>
      <c r="N399" s="2944"/>
      <c r="O399" s="2944"/>
      <c r="P399" s="2944"/>
      <c r="Q399" s="2944"/>
      <c r="R399" s="2944"/>
      <c r="S399" s="2944"/>
      <c r="T399" s="2944"/>
      <c r="U399" s="2944"/>
      <c r="V399" s="2944"/>
      <c r="W399" s="2944"/>
      <c r="X399" s="2944"/>
      <c r="Y399" s="2944"/>
      <c r="Z399" s="2944"/>
      <c r="AA399" s="2944"/>
      <c r="AB399" s="2944"/>
      <c r="AC399" s="2934">
        <f t="shared" si="242"/>
        <v>0</v>
      </c>
      <c r="AD399" s="2954"/>
      <c r="AE399" s="2954"/>
      <c r="AF399" s="2954"/>
      <c r="AG399" s="2954"/>
      <c r="AH399" s="2954"/>
      <c r="AI399" s="2954"/>
      <c r="AJ399" s="2954"/>
      <c r="AK399" s="2954"/>
      <c r="AL399" s="2954"/>
      <c r="AM399" s="2954"/>
      <c r="AN399" s="2954"/>
      <c r="AO399" s="2954"/>
      <c r="AP399" s="2954"/>
      <c r="AQ399" s="2954"/>
      <c r="AR399" s="2954"/>
      <c r="AS399" s="2954"/>
      <c r="AT399" s="2935"/>
      <c r="AU399" s="2964"/>
      <c r="AV399" s="857">
        <f t="shared" si="243"/>
        <v>0</v>
      </c>
      <c r="AW399" s="857">
        <f t="shared" si="244"/>
        <v>0</v>
      </c>
      <c r="AX399" s="857">
        <f t="shared" si="245"/>
        <v>0</v>
      </c>
      <c r="AY399" s="807">
        <f t="shared" si="246"/>
        <v>0</v>
      </c>
      <c r="AZ399" s="2934">
        <f t="shared" si="247"/>
        <v>0</v>
      </c>
      <c r="BA399" s="2934">
        <f t="shared" si="248"/>
        <v>0</v>
      </c>
      <c r="BB399" s="2934">
        <f t="shared" si="249"/>
        <v>0</v>
      </c>
      <c r="BC399" s="2934">
        <f t="shared" si="250"/>
        <v>0</v>
      </c>
      <c r="BD399" s="2934">
        <f t="shared" si="251"/>
        <v>0</v>
      </c>
      <c r="BE399" s="2934">
        <f t="shared" si="252"/>
        <v>0</v>
      </c>
      <c r="BF399" s="2934">
        <f t="shared" si="253"/>
        <v>0</v>
      </c>
      <c r="BG399" s="2934">
        <f t="shared" si="254"/>
        <v>0</v>
      </c>
      <c r="BH399" s="2934">
        <f t="shared" si="255"/>
        <v>0</v>
      </c>
      <c r="BI399" s="2934">
        <f t="shared" si="256"/>
        <v>0</v>
      </c>
      <c r="BJ399" s="2934">
        <f t="shared" si="257"/>
        <v>0</v>
      </c>
      <c r="BK399" s="2934">
        <f t="shared" si="258"/>
        <v>0</v>
      </c>
      <c r="BL399" s="2934">
        <f t="shared" si="259"/>
        <v>0</v>
      </c>
      <c r="BM399" s="2934">
        <f t="shared" si="260"/>
        <v>0</v>
      </c>
      <c r="BN399" s="2934">
        <f t="shared" si="261"/>
        <v>0</v>
      </c>
      <c r="BO399" s="2934">
        <f t="shared" si="262"/>
        <v>0</v>
      </c>
      <c r="BP399" s="2934">
        <f t="shared" si="263"/>
        <v>0</v>
      </c>
      <c r="BQ399" s="2934">
        <f t="shared" si="264"/>
        <v>0</v>
      </c>
      <c r="BR399" s="2934">
        <f t="shared" si="265"/>
        <v>0</v>
      </c>
      <c r="BS399" s="2934">
        <f t="shared" si="266"/>
        <v>0</v>
      </c>
      <c r="BT399" s="2982">
        <f t="shared" si="267"/>
        <v>0</v>
      </c>
    </row>
    <row r="400" spans="1:72">
      <c r="A400" s="874"/>
      <c r="B400" s="882"/>
      <c r="C400" s="882"/>
      <c r="D400" s="2933"/>
      <c r="E400" s="2934">
        <f t="shared" si="239"/>
        <v>0</v>
      </c>
      <c r="F400" s="2935"/>
      <c r="G400" s="2936">
        <f t="shared" si="240"/>
        <v>0</v>
      </c>
      <c r="H400" s="2937">
        <f t="shared" si="241"/>
        <v>0</v>
      </c>
      <c r="I400" s="2944"/>
      <c r="J400" s="2944"/>
      <c r="K400" s="2944"/>
      <c r="L400" s="2944"/>
      <c r="M400" s="2944"/>
      <c r="N400" s="2944"/>
      <c r="O400" s="2944"/>
      <c r="P400" s="2944"/>
      <c r="Q400" s="2944"/>
      <c r="R400" s="2944"/>
      <c r="S400" s="2944"/>
      <c r="T400" s="2944"/>
      <c r="U400" s="2944"/>
      <c r="V400" s="2944"/>
      <c r="W400" s="2944"/>
      <c r="X400" s="2944"/>
      <c r="Y400" s="2944"/>
      <c r="Z400" s="2944"/>
      <c r="AA400" s="2944"/>
      <c r="AB400" s="2944"/>
      <c r="AC400" s="2934">
        <f t="shared" si="242"/>
        <v>0</v>
      </c>
      <c r="AD400" s="2954"/>
      <c r="AE400" s="2954"/>
      <c r="AF400" s="2954"/>
      <c r="AG400" s="2954"/>
      <c r="AH400" s="2954"/>
      <c r="AI400" s="2954"/>
      <c r="AJ400" s="2954"/>
      <c r="AK400" s="2954"/>
      <c r="AL400" s="2954"/>
      <c r="AM400" s="2954"/>
      <c r="AN400" s="2954"/>
      <c r="AO400" s="2954"/>
      <c r="AP400" s="2954"/>
      <c r="AQ400" s="2954"/>
      <c r="AR400" s="2954"/>
      <c r="AS400" s="2954"/>
      <c r="AT400" s="2935"/>
      <c r="AU400" s="2964"/>
      <c r="AV400" s="857">
        <f t="shared" si="243"/>
        <v>0</v>
      </c>
      <c r="AW400" s="857">
        <f t="shared" si="244"/>
        <v>0</v>
      </c>
      <c r="AX400" s="857">
        <f t="shared" si="245"/>
        <v>0</v>
      </c>
      <c r="AY400" s="807">
        <f t="shared" si="246"/>
        <v>0</v>
      </c>
      <c r="AZ400" s="2934">
        <f t="shared" si="247"/>
        <v>0</v>
      </c>
      <c r="BA400" s="2934">
        <f t="shared" si="248"/>
        <v>0</v>
      </c>
      <c r="BB400" s="2934">
        <f t="shared" si="249"/>
        <v>0</v>
      </c>
      <c r="BC400" s="2934">
        <f t="shared" si="250"/>
        <v>0</v>
      </c>
      <c r="BD400" s="2934">
        <f t="shared" si="251"/>
        <v>0</v>
      </c>
      <c r="BE400" s="2934">
        <f t="shared" si="252"/>
        <v>0</v>
      </c>
      <c r="BF400" s="2934">
        <f t="shared" si="253"/>
        <v>0</v>
      </c>
      <c r="BG400" s="2934">
        <f t="shared" si="254"/>
        <v>0</v>
      </c>
      <c r="BH400" s="2934">
        <f t="shared" si="255"/>
        <v>0</v>
      </c>
      <c r="BI400" s="2934">
        <f t="shared" si="256"/>
        <v>0</v>
      </c>
      <c r="BJ400" s="2934">
        <f t="shared" si="257"/>
        <v>0</v>
      </c>
      <c r="BK400" s="2934">
        <f t="shared" si="258"/>
        <v>0</v>
      </c>
      <c r="BL400" s="2934">
        <f t="shared" si="259"/>
        <v>0</v>
      </c>
      <c r="BM400" s="2934">
        <f t="shared" si="260"/>
        <v>0</v>
      </c>
      <c r="BN400" s="2934">
        <f t="shared" si="261"/>
        <v>0</v>
      </c>
      <c r="BO400" s="2934">
        <f t="shared" si="262"/>
        <v>0</v>
      </c>
      <c r="BP400" s="2934">
        <f t="shared" si="263"/>
        <v>0</v>
      </c>
      <c r="BQ400" s="2934">
        <f t="shared" si="264"/>
        <v>0</v>
      </c>
      <c r="BR400" s="2934">
        <f t="shared" si="265"/>
        <v>0</v>
      </c>
      <c r="BS400" s="2934">
        <f t="shared" si="266"/>
        <v>0</v>
      </c>
      <c r="BT400" s="2982">
        <f t="shared" si="267"/>
        <v>0</v>
      </c>
    </row>
    <row r="401" spans="1:72">
      <c r="A401" s="874"/>
      <c r="B401" s="882"/>
      <c r="C401" s="882"/>
      <c r="D401" s="2933"/>
      <c r="E401" s="2934">
        <f t="shared" si="239"/>
        <v>0</v>
      </c>
      <c r="F401" s="2935"/>
      <c r="G401" s="2936">
        <f t="shared" si="240"/>
        <v>0</v>
      </c>
      <c r="H401" s="2937">
        <f t="shared" si="241"/>
        <v>0</v>
      </c>
      <c r="I401" s="2944"/>
      <c r="J401" s="2944"/>
      <c r="K401" s="2944"/>
      <c r="L401" s="2944"/>
      <c r="M401" s="2944"/>
      <c r="N401" s="2944"/>
      <c r="O401" s="2944"/>
      <c r="P401" s="2944"/>
      <c r="Q401" s="2944"/>
      <c r="R401" s="2944"/>
      <c r="S401" s="2944"/>
      <c r="T401" s="2944"/>
      <c r="U401" s="2944"/>
      <c r="V401" s="2944"/>
      <c r="W401" s="2944"/>
      <c r="X401" s="2944"/>
      <c r="Y401" s="2944"/>
      <c r="Z401" s="2944"/>
      <c r="AA401" s="2944"/>
      <c r="AB401" s="2944"/>
      <c r="AC401" s="2934">
        <f t="shared" si="242"/>
        <v>0</v>
      </c>
      <c r="AD401" s="2954"/>
      <c r="AE401" s="2954"/>
      <c r="AF401" s="2954"/>
      <c r="AG401" s="2954"/>
      <c r="AH401" s="2954"/>
      <c r="AI401" s="2954"/>
      <c r="AJ401" s="2954"/>
      <c r="AK401" s="2954"/>
      <c r="AL401" s="2954"/>
      <c r="AM401" s="2954"/>
      <c r="AN401" s="2954"/>
      <c r="AO401" s="2954"/>
      <c r="AP401" s="2954"/>
      <c r="AQ401" s="2954"/>
      <c r="AR401" s="2954"/>
      <c r="AS401" s="2954"/>
      <c r="AT401" s="2935"/>
      <c r="AU401" s="2964"/>
      <c r="AV401" s="857">
        <f t="shared" si="243"/>
        <v>0</v>
      </c>
      <c r="AW401" s="857">
        <f t="shared" si="244"/>
        <v>0</v>
      </c>
      <c r="AX401" s="857">
        <f t="shared" si="245"/>
        <v>0</v>
      </c>
      <c r="AY401" s="807">
        <f t="shared" si="246"/>
        <v>0</v>
      </c>
      <c r="AZ401" s="2934">
        <f t="shared" si="247"/>
        <v>0</v>
      </c>
      <c r="BA401" s="2934">
        <f t="shared" si="248"/>
        <v>0</v>
      </c>
      <c r="BB401" s="2934">
        <f t="shared" si="249"/>
        <v>0</v>
      </c>
      <c r="BC401" s="2934">
        <f t="shared" si="250"/>
        <v>0</v>
      </c>
      <c r="BD401" s="2934">
        <f t="shared" si="251"/>
        <v>0</v>
      </c>
      <c r="BE401" s="2934">
        <f t="shared" si="252"/>
        <v>0</v>
      </c>
      <c r="BF401" s="2934">
        <f t="shared" si="253"/>
        <v>0</v>
      </c>
      <c r="BG401" s="2934">
        <f t="shared" si="254"/>
        <v>0</v>
      </c>
      <c r="BH401" s="2934">
        <f t="shared" si="255"/>
        <v>0</v>
      </c>
      <c r="BI401" s="2934">
        <f t="shared" si="256"/>
        <v>0</v>
      </c>
      <c r="BJ401" s="2934">
        <f t="shared" si="257"/>
        <v>0</v>
      </c>
      <c r="BK401" s="2934">
        <f t="shared" si="258"/>
        <v>0</v>
      </c>
      <c r="BL401" s="2934">
        <f t="shared" si="259"/>
        <v>0</v>
      </c>
      <c r="BM401" s="2934">
        <f t="shared" si="260"/>
        <v>0</v>
      </c>
      <c r="BN401" s="2934">
        <f t="shared" si="261"/>
        <v>0</v>
      </c>
      <c r="BO401" s="2934">
        <f t="shared" si="262"/>
        <v>0</v>
      </c>
      <c r="BP401" s="2934">
        <f t="shared" si="263"/>
        <v>0</v>
      </c>
      <c r="BQ401" s="2934">
        <f t="shared" si="264"/>
        <v>0</v>
      </c>
      <c r="BR401" s="2934">
        <f t="shared" si="265"/>
        <v>0</v>
      </c>
      <c r="BS401" s="2934">
        <f t="shared" si="266"/>
        <v>0</v>
      </c>
      <c r="BT401" s="2982">
        <f t="shared" si="267"/>
        <v>0</v>
      </c>
    </row>
    <row r="402" spans="1:72">
      <c r="A402" s="874"/>
      <c r="B402" s="882"/>
      <c r="C402" s="882"/>
      <c r="D402" s="2933"/>
      <c r="E402" s="2934">
        <f t="shared" si="239"/>
        <v>0</v>
      </c>
      <c r="F402" s="2935"/>
      <c r="G402" s="2936">
        <f t="shared" si="240"/>
        <v>0</v>
      </c>
      <c r="H402" s="2937">
        <f t="shared" si="241"/>
        <v>0</v>
      </c>
      <c r="I402" s="2944"/>
      <c r="J402" s="2944"/>
      <c r="K402" s="2944"/>
      <c r="L402" s="2944"/>
      <c r="M402" s="2944"/>
      <c r="N402" s="2944"/>
      <c r="O402" s="2944"/>
      <c r="P402" s="2944"/>
      <c r="Q402" s="2944"/>
      <c r="R402" s="2944"/>
      <c r="S402" s="2944"/>
      <c r="T402" s="2944"/>
      <c r="U402" s="2944"/>
      <c r="V402" s="2944"/>
      <c r="W402" s="2944"/>
      <c r="X402" s="2944"/>
      <c r="Y402" s="2944"/>
      <c r="Z402" s="2944"/>
      <c r="AA402" s="2944"/>
      <c r="AB402" s="2944"/>
      <c r="AC402" s="2934">
        <f t="shared" si="242"/>
        <v>0</v>
      </c>
      <c r="AD402" s="2954"/>
      <c r="AE402" s="2954"/>
      <c r="AF402" s="2954"/>
      <c r="AG402" s="2954"/>
      <c r="AH402" s="2954"/>
      <c r="AI402" s="2954"/>
      <c r="AJ402" s="2954"/>
      <c r="AK402" s="2954"/>
      <c r="AL402" s="2954"/>
      <c r="AM402" s="2954"/>
      <c r="AN402" s="2954"/>
      <c r="AO402" s="2954"/>
      <c r="AP402" s="2954"/>
      <c r="AQ402" s="2954"/>
      <c r="AR402" s="2954"/>
      <c r="AS402" s="2954"/>
      <c r="AT402" s="2935"/>
      <c r="AU402" s="2964"/>
      <c r="AV402" s="857">
        <f t="shared" si="243"/>
        <v>0</v>
      </c>
      <c r="AW402" s="857">
        <f t="shared" si="244"/>
        <v>0</v>
      </c>
      <c r="AX402" s="857">
        <f t="shared" si="245"/>
        <v>0</v>
      </c>
      <c r="AY402" s="807">
        <f t="shared" si="246"/>
        <v>0</v>
      </c>
      <c r="AZ402" s="2934">
        <f t="shared" si="247"/>
        <v>0</v>
      </c>
      <c r="BA402" s="2934">
        <f t="shared" si="248"/>
        <v>0</v>
      </c>
      <c r="BB402" s="2934">
        <f t="shared" si="249"/>
        <v>0</v>
      </c>
      <c r="BC402" s="2934">
        <f t="shared" si="250"/>
        <v>0</v>
      </c>
      <c r="BD402" s="2934">
        <f t="shared" si="251"/>
        <v>0</v>
      </c>
      <c r="BE402" s="2934">
        <f t="shared" si="252"/>
        <v>0</v>
      </c>
      <c r="BF402" s="2934">
        <f t="shared" si="253"/>
        <v>0</v>
      </c>
      <c r="BG402" s="2934">
        <f t="shared" si="254"/>
        <v>0</v>
      </c>
      <c r="BH402" s="2934">
        <f t="shared" si="255"/>
        <v>0</v>
      </c>
      <c r="BI402" s="2934">
        <f t="shared" si="256"/>
        <v>0</v>
      </c>
      <c r="BJ402" s="2934">
        <f t="shared" si="257"/>
        <v>0</v>
      </c>
      <c r="BK402" s="2934">
        <f t="shared" si="258"/>
        <v>0</v>
      </c>
      <c r="BL402" s="2934">
        <f t="shared" si="259"/>
        <v>0</v>
      </c>
      <c r="BM402" s="2934">
        <f t="shared" si="260"/>
        <v>0</v>
      </c>
      <c r="BN402" s="2934">
        <f t="shared" si="261"/>
        <v>0</v>
      </c>
      <c r="BO402" s="2934">
        <f t="shared" si="262"/>
        <v>0</v>
      </c>
      <c r="BP402" s="2934">
        <f t="shared" si="263"/>
        <v>0</v>
      </c>
      <c r="BQ402" s="2934">
        <f t="shared" si="264"/>
        <v>0</v>
      </c>
      <c r="BR402" s="2934">
        <f t="shared" si="265"/>
        <v>0</v>
      </c>
      <c r="BS402" s="2934">
        <f t="shared" si="266"/>
        <v>0</v>
      </c>
      <c r="BT402" s="2982">
        <f t="shared" si="267"/>
        <v>0</v>
      </c>
    </row>
    <row r="403" spans="1:72">
      <c r="A403" s="874"/>
      <c r="B403" s="882"/>
      <c r="C403" s="882"/>
      <c r="D403" s="2933"/>
      <c r="E403" s="2934">
        <f t="shared" si="239"/>
        <v>0</v>
      </c>
      <c r="F403" s="2935"/>
      <c r="G403" s="2936">
        <f t="shared" si="240"/>
        <v>0</v>
      </c>
      <c r="H403" s="2937">
        <f t="shared" si="241"/>
        <v>0</v>
      </c>
      <c r="I403" s="2944"/>
      <c r="J403" s="2944"/>
      <c r="K403" s="2944"/>
      <c r="L403" s="2944"/>
      <c r="M403" s="2944"/>
      <c r="N403" s="2944"/>
      <c r="O403" s="2944"/>
      <c r="P403" s="2944"/>
      <c r="Q403" s="2944"/>
      <c r="R403" s="2944"/>
      <c r="S403" s="2944"/>
      <c r="T403" s="2944"/>
      <c r="U403" s="2944"/>
      <c r="V403" s="2944"/>
      <c r="W403" s="2944"/>
      <c r="X403" s="2944"/>
      <c r="Y403" s="2944"/>
      <c r="Z403" s="2944"/>
      <c r="AA403" s="2944"/>
      <c r="AB403" s="2944"/>
      <c r="AC403" s="2934">
        <f t="shared" si="242"/>
        <v>0</v>
      </c>
      <c r="AD403" s="2954"/>
      <c r="AE403" s="2954"/>
      <c r="AF403" s="2954"/>
      <c r="AG403" s="2954"/>
      <c r="AH403" s="2954"/>
      <c r="AI403" s="2954"/>
      <c r="AJ403" s="2954"/>
      <c r="AK403" s="2954"/>
      <c r="AL403" s="2954"/>
      <c r="AM403" s="2954"/>
      <c r="AN403" s="2954"/>
      <c r="AO403" s="2954"/>
      <c r="AP403" s="2954"/>
      <c r="AQ403" s="2954"/>
      <c r="AR403" s="2954"/>
      <c r="AS403" s="2954"/>
      <c r="AT403" s="2935"/>
      <c r="AU403" s="2964"/>
      <c r="AV403" s="857">
        <f t="shared" si="243"/>
        <v>0</v>
      </c>
      <c r="AW403" s="857">
        <f t="shared" si="244"/>
        <v>0</v>
      </c>
      <c r="AX403" s="857">
        <f t="shared" si="245"/>
        <v>0</v>
      </c>
      <c r="AY403" s="807">
        <f t="shared" si="246"/>
        <v>0</v>
      </c>
      <c r="AZ403" s="2934">
        <f t="shared" si="247"/>
        <v>0</v>
      </c>
      <c r="BA403" s="2934">
        <f t="shared" si="248"/>
        <v>0</v>
      </c>
      <c r="BB403" s="2934">
        <f t="shared" si="249"/>
        <v>0</v>
      </c>
      <c r="BC403" s="2934">
        <f t="shared" si="250"/>
        <v>0</v>
      </c>
      <c r="BD403" s="2934">
        <f t="shared" si="251"/>
        <v>0</v>
      </c>
      <c r="BE403" s="2934">
        <f t="shared" si="252"/>
        <v>0</v>
      </c>
      <c r="BF403" s="2934">
        <f t="shared" si="253"/>
        <v>0</v>
      </c>
      <c r="BG403" s="2934">
        <f t="shared" si="254"/>
        <v>0</v>
      </c>
      <c r="BH403" s="2934">
        <f t="shared" si="255"/>
        <v>0</v>
      </c>
      <c r="BI403" s="2934">
        <f t="shared" si="256"/>
        <v>0</v>
      </c>
      <c r="BJ403" s="2934">
        <f t="shared" si="257"/>
        <v>0</v>
      </c>
      <c r="BK403" s="2934">
        <f t="shared" si="258"/>
        <v>0</v>
      </c>
      <c r="BL403" s="2934">
        <f t="shared" si="259"/>
        <v>0</v>
      </c>
      <c r="BM403" s="2934">
        <f t="shared" si="260"/>
        <v>0</v>
      </c>
      <c r="BN403" s="2934">
        <f t="shared" si="261"/>
        <v>0</v>
      </c>
      <c r="BO403" s="2934">
        <f t="shared" si="262"/>
        <v>0</v>
      </c>
      <c r="BP403" s="2934">
        <f t="shared" si="263"/>
        <v>0</v>
      </c>
      <c r="BQ403" s="2934">
        <f t="shared" si="264"/>
        <v>0</v>
      </c>
      <c r="BR403" s="2934">
        <f t="shared" si="265"/>
        <v>0</v>
      </c>
      <c r="BS403" s="2934">
        <f t="shared" si="266"/>
        <v>0</v>
      </c>
      <c r="BT403" s="2982">
        <f t="shared" si="267"/>
        <v>0</v>
      </c>
    </row>
    <row r="404" spans="1:72">
      <c r="A404" s="874"/>
      <c r="B404" s="882"/>
      <c r="C404" s="882"/>
      <c r="D404" s="2933"/>
      <c r="E404" s="2934">
        <f t="shared" si="239"/>
        <v>0</v>
      </c>
      <c r="F404" s="2935"/>
      <c r="G404" s="2936">
        <f t="shared" si="240"/>
        <v>0</v>
      </c>
      <c r="H404" s="2937">
        <f t="shared" si="241"/>
        <v>0</v>
      </c>
      <c r="I404" s="2944"/>
      <c r="J404" s="2944"/>
      <c r="K404" s="2944"/>
      <c r="L404" s="2944"/>
      <c r="M404" s="2944"/>
      <c r="N404" s="2944"/>
      <c r="O404" s="2944"/>
      <c r="P404" s="2944"/>
      <c r="Q404" s="2944"/>
      <c r="R404" s="2944"/>
      <c r="S404" s="2944"/>
      <c r="T404" s="2944"/>
      <c r="U404" s="2944"/>
      <c r="V404" s="2944"/>
      <c r="W404" s="2944"/>
      <c r="X404" s="2944"/>
      <c r="Y404" s="2944"/>
      <c r="Z404" s="2944"/>
      <c r="AA404" s="2944"/>
      <c r="AB404" s="2944"/>
      <c r="AC404" s="2934">
        <f t="shared" si="242"/>
        <v>0</v>
      </c>
      <c r="AD404" s="2954"/>
      <c r="AE404" s="2954"/>
      <c r="AF404" s="2954"/>
      <c r="AG404" s="2954"/>
      <c r="AH404" s="2954"/>
      <c r="AI404" s="2954"/>
      <c r="AJ404" s="2954"/>
      <c r="AK404" s="2954"/>
      <c r="AL404" s="2954"/>
      <c r="AM404" s="2954"/>
      <c r="AN404" s="2954"/>
      <c r="AO404" s="2954"/>
      <c r="AP404" s="2954"/>
      <c r="AQ404" s="2954"/>
      <c r="AR404" s="2954"/>
      <c r="AS404" s="2954"/>
      <c r="AT404" s="2935"/>
      <c r="AU404" s="2964"/>
      <c r="AV404" s="857">
        <f t="shared" si="243"/>
        <v>0</v>
      </c>
      <c r="AW404" s="857">
        <f t="shared" si="244"/>
        <v>0</v>
      </c>
      <c r="AX404" s="857">
        <f t="shared" si="245"/>
        <v>0</v>
      </c>
      <c r="AY404" s="807">
        <f t="shared" si="246"/>
        <v>0</v>
      </c>
      <c r="AZ404" s="2934">
        <f t="shared" si="247"/>
        <v>0</v>
      </c>
      <c r="BA404" s="2934">
        <f t="shared" si="248"/>
        <v>0</v>
      </c>
      <c r="BB404" s="2934">
        <f t="shared" si="249"/>
        <v>0</v>
      </c>
      <c r="BC404" s="2934">
        <f t="shared" si="250"/>
        <v>0</v>
      </c>
      <c r="BD404" s="2934">
        <f t="shared" si="251"/>
        <v>0</v>
      </c>
      <c r="BE404" s="2934">
        <f t="shared" si="252"/>
        <v>0</v>
      </c>
      <c r="BF404" s="2934">
        <f t="shared" si="253"/>
        <v>0</v>
      </c>
      <c r="BG404" s="2934">
        <f t="shared" si="254"/>
        <v>0</v>
      </c>
      <c r="BH404" s="2934">
        <f t="shared" si="255"/>
        <v>0</v>
      </c>
      <c r="BI404" s="2934">
        <f t="shared" si="256"/>
        <v>0</v>
      </c>
      <c r="BJ404" s="2934">
        <f t="shared" si="257"/>
        <v>0</v>
      </c>
      <c r="BK404" s="2934">
        <f t="shared" si="258"/>
        <v>0</v>
      </c>
      <c r="BL404" s="2934">
        <f t="shared" si="259"/>
        <v>0</v>
      </c>
      <c r="BM404" s="2934">
        <f t="shared" si="260"/>
        <v>0</v>
      </c>
      <c r="BN404" s="2934">
        <f t="shared" si="261"/>
        <v>0</v>
      </c>
      <c r="BO404" s="2934">
        <f t="shared" si="262"/>
        <v>0</v>
      </c>
      <c r="BP404" s="2934">
        <f t="shared" si="263"/>
        <v>0</v>
      </c>
      <c r="BQ404" s="2934">
        <f t="shared" si="264"/>
        <v>0</v>
      </c>
      <c r="BR404" s="2934">
        <f t="shared" si="265"/>
        <v>0</v>
      </c>
      <c r="BS404" s="2934">
        <f t="shared" si="266"/>
        <v>0</v>
      </c>
      <c r="BT404" s="2982">
        <f t="shared" si="267"/>
        <v>0</v>
      </c>
    </row>
    <row r="405" spans="1:72">
      <c r="A405" s="874"/>
      <c r="B405" s="882"/>
      <c r="C405" s="882"/>
      <c r="D405" s="2933"/>
      <c r="E405" s="2934">
        <f t="shared" si="239"/>
        <v>0</v>
      </c>
      <c r="F405" s="2935"/>
      <c r="G405" s="2936">
        <f t="shared" si="240"/>
        <v>0</v>
      </c>
      <c r="H405" s="2937">
        <f t="shared" si="241"/>
        <v>0</v>
      </c>
      <c r="I405" s="2944"/>
      <c r="J405" s="2944"/>
      <c r="K405" s="2944"/>
      <c r="L405" s="2944"/>
      <c r="M405" s="2944"/>
      <c r="N405" s="2944"/>
      <c r="O405" s="2944"/>
      <c r="P405" s="2944"/>
      <c r="Q405" s="2944"/>
      <c r="R405" s="2944"/>
      <c r="S405" s="2944"/>
      <c r="T405" s="2944"/>
      <c r="U405" s="2944"/>
      <c r="V405" s="2944"/>
      <c r="W405" s="2944"/>
      <c r="X405" s="2944"/>
      <c r="Y405" s="2944"/>
      <c r="Z405" s="2944"/>
      <c r="AA405" s="2944"/>
      <c r="AB405" s="2944"/>
      <c r="AC405" s="2934">
        <f t="shared" si="242"/>
        <v>0</v>
      </c>
      <c r="AD405" s="2954"/>
      <c r="AE405" s="2954"/>
      <c r="AF405" s="2954"/>
      <c r="AG405" s="2954"/>
      <c r="AH405" s="2954"/>
      <c r="AI405" s="2954"/>
      <c r="AJ405" s="2954"/>
      <c r="AK405" s="2954"/>
      <c r="AL405" s="2954"/>
      <c r="AM405" s="2954"/>
      <c r="AN405" s="2954"/>
      <c r="AO405" s="2954"/>
      <c r="AP405" s="2954"/>
      <c r="AQ405" s="2954"/>
      <c r="AR405" s="2954"/>
      <c r="AS405" s="2954"/>
      <c r="AT405" s="2935"/>
      <c r="AU405" s="2964"/>
      <c r="AV405" s="857">
        <f t="shared" si="243"/>
        <v>0</v>
      </c>
      <c r="AW405" s="857">
        <f t="shared" si="244"/>
        <v>0</v>
      </c>
      <c r="AX405" s="857">
        <f t="shared" si="245"/>
        <v>0</v>
      </c>
      <c r="AY405" s="807">
        <f t="shared" si="246"/>
        <v>0</v>
      </c>
      <c r="AZ405" s="2934">
        <f t="shared" si="247"/>
        <v>0</v>
      </c>
      <c r="BA405" s="2934">
        <f t="shared" si="248"/>
        <v>0</v>
      </c>
      <c r="BB405" s="2934">
        <f t="shared" si="249"/>
        <v>0</v>
      </c>
      <c r="BC405" s="2934">
        <f t="shared" si="250"/>
        <v>0</v>
      </c>
      <c r="BD405" s="2934">
        <f t="shared" si="251"/>
        <v>0</v>
      </c>
      <c r="BE405" s="2934">
        <f t="shared" si="252"/>
        <v>0</v>
      </c>
      <c r="BF405" s="2934">
        <f t="shared" si="253"/>
        <v>0</v>
      </c>
      <c r="BG405" s="2934">
        <f t="shared" si="254"/>
        <v>0</v>
      </c>
      <c r="BH405" s="2934">
        <f t="shared" si="255"/>
        <v>0</v>
      </c>
      <c r="BI405" s="2934">
        <f t="shared" si="256"/>
        <v>0</v>
      </c>
      <c r="BJ405" s="2934">
        <f t="shared" si="257"/>
        <v>0</v>
      </c>
      <c r="BK405" s="2934">
        <f t="shared" si="258"/>
        <v>0</v>
      </c>
      <c r="BL405" s="2934">
        <f t="shared" si="259"/>
        <v>0</v>
      </c>
      <c r="BM405" s="2934">
        <f t="shared" si="260"/>
        <v>0</v>
      </c>
      <c r="BN405" s="2934">
        <f t="shared" si="261"/>
        <v>0</v>
      </c>
      <c r="BO405" s="2934">
        <f t="shared" si="262"/>
        <v>0</v>
      </c>
      <c r="BP405" s="2934">
        <f t="shared" si="263"/>
        <v>0</v>
      </c>
      <c r="BQ405" s="2934">
        <f t="shared" si="264"/>
        <v>0</v>
      </c>
      <c r="BR405" s="2934">
        <f t="shared" si="265"/>
        <v>0</v>
      </c>
      <c r="BS405" s="2934">
        <f t="shared" si="266"/>
        <v>0</v>
      </c>
      <c r="BT405" s="2982">
        <f t="shared" si="267"/>
        <v>0</v>
      </c>
    </row>
    <row r="406" spans="1:72">
      <c r="A406" s="874"/>
      <c r="B406" s="882"/>
      <c r="C406" s="882"/>
      <c r="D406" s="2933"/>
      <c r="E406" s="2934">
        <f t="shared" si="239"/>
        <v>0</v>
      </c>
      <c r="F406" s="2935"/>
      <c r="G406" s="2936">
        <f t="shared" si="240"/>
        <v>0</v>
      </c>
      <c r="H406" s="2937">
        <f t="shared" si="241"/>
        <v>0</v>
      </c>
      <c r="I406" s="2944"/>
      <c r="J406" s="2944"/>
      <c r="K406" s="2944"/>
      <c r="L406" s="2944"/>
      <c r="M406" s="2944"/>
      <c r="N406" s="2944"/>
      <c r="O406" s="2944"/>
      <c r="P406" s="2944"/>
      <c r="Q406" s="2944"/>
      <c r="R406" s="2944"/>
      <c r="S406" s="2944"/>
      <c r="T406" s="2944"/>
      <c r="U406" s="2944"/>
      <c r="V406" s="2944"/>
      <c r="W406" s="2944"/>
      <c r="X406" s="2944"/>
      <c r="Y406" s="2944"/>
      <c r="Z406" s="2944"/>
      <c r="AA406" s="2944"/>
      <c r="AB406" s="2944"/>
      <c r="AC406" s="2934">
        <f t="shared" si="242"/>
        <v>0</v>
      </c>
      <c r="AD406" s="2954"/>
      <c r="AE406" s="2954"/>
      <c r="AF406" s="2954"/>
      <c r="AG406" s="2954"/>
      <c r="AH406" s="2954"/>
      <c r="AI406" s="2954"/>
      <c r="AJ406" s="2954"/>
      <c r="AK406" s="2954"/>
      <c r="AL406" s="2954"/>
      <c r="AM406" s="2954"/>
      <c r="AN406" s="2954"/>
      <c r="AO406" s="2954"/>
      <c r="AP406" s="2954"/>
      <c r="AQ406" s="2954"/>
      <c r="AR406" s="2954"/>
      <c r="AS406" s="2954"/>
      <c r="AT406" s="2935"/>
      <c r="AU406" s="2964"/>
      <c r="AV406" s="857">
        <f t="shared" si="243"/>
        <v>0</v>
      </c>
      <c r="AW406" s="857">
        <f t="shared" si="244"/>
        <v>0</v>
      </c>
      <c r="AX406" s="857">
        <f t="shared" si="245"/>
        <v>0</v>
      </c>
      <c r="AY406" s="807">
        <f t="shared" si="246"/>
        <v>0</v>
      </c>
      <c r="AZ406" s="2934">
        <f t="shared" si="247"/>
        <v>0</v>
      </c>
      <c r="BA406" s="2934">
        <f t="shared" si="248"/>
        <v>0</v>
      </c>
      <c r="BB406" s="2934">
        <f t="shared" si="249"/>
        <v>0</v>
      </c>
      <c r="BC406" s="2934">
        <f t="shared" si="250"/>
        <v>0</v>
      </c>
      <c r="BD406" s="2934">
        <f t="shared" si="251"/>
        <v>0</v>
      </c>
      <c r="BE406" s="2934">
        <f t="shared" si="252"/>
        <v>0</v>
      </c>
      <c r="BF406" s="2934">
        <f t="shared" si="253"/>
        <v>0</v>
      </c>
      <c r="BG406" s="2934">
        <f t="shared" si="254"/>
        <v>0</v>
      </c>
      <c r="BH406" s="2934">
        <f t="shared" si="255"/>
        <v>0</v>
      </c>
      <c r="BI406" s="2934">
        <f t="shared" si="256"/>
        <v>0</v>
      </c>
      <c r="BJ406" s="2934">
        <f t="shared" si="257"/>
        <v>0</v>
      </c>
      <c r="BK406" s="2934">
        <f t="shared" si="258"/>
        <v>0</v>
      </c>
      <c r="BL406" s="2934">
        <f t="shared" si="259"/>
        <v>0</v>
      </c>
      <c r="BM406" s="2934">
        <f t="shared" si="260"/>
        <v>0</v>
      </c>
      <c r="BN406" s="2934">
        <f t="shared" si="261"/>
        <v>0</v>
      </c>
      <c r="BO406" s="2934">
        <f t="shared" si="262"/>
        <v>0</v>
      </c>
      <c r="BP406" s="2934">
        <f t="shared" si="263"/>
        <v>0</v>
      </c>
      <c r="BQ406" s="2934">
        <f t="shared" si="264"/>
        <v>0</v>
      </c>
      <c r="BR406" s="2934">
        <f t="shared" si="265"/>
        <v>0</v>
      </c>
      <c r="BS406" s="2934">
        <f t="shared" si="266"/>
        <v>0</v>
      </c>
      <c r="BT406" s="2982">
        <f t="shared" si="267"/>
        <v>0</v>
      </c>
    </row>
    <row r="407" spans="1:72">
      <c r="A407" s="874"/>
      <c r="B407" s="882"/>
      <c r="C407" s="882"/>
      <c r="D407" s="2933"/>
      <c r="E407" s="2934">
        <f t="shared" si="239"/>
        <v>0</v>
      </c>
      <c r="F407" s="2935"/>
      <c r="G407" s="2936">
        <f t="shared" si="240"/>
        <v>0</v>
      </c>
      <c r="H407" s="2937">
        <f t="shared" si="241"/>
        <v>0</v>
      </c>
      <c r="I407" s="2944"/>
      <c r="J407" s="2944"/>
      <c r="K407" s="2944"/>
      <c r="L407" s="2944"/>
      <c r="M407" s="2944"/>
      <c r="N407" s="2944"/>
      <c r="O407" s="2944"/>
      <c r="P407" s="2944"/>
      <c r="Q407" s="2944"/>
      <c r="R407" s="2944"/>
      <c r="S407" s="2944"/>
      <c r="T407" s="2944"/>
      <c r="U407" s="2944"/>
      <c r="V407" s="2944"/>
      <c r="W407" s="2944"/>
      <c r="X407" s="2944"/>
      <c r="Y407" s="2944"/>
      <c r="Z407" s="2944"/>
      <c r="AA407" s="2944"/>
      <c r="AB407" s="2944"/>
      <c r="AC407" s="2934">
        <f t="shared" si="242"/>
        <v>0</v>
      </c>
      <c r="AD407" s="2954"/>
      <c r="AE407" s="2954"/>
      <c r="AF407" s="2954"/>
      <c r="AG407" s="2954"/>
      <c r="AH407" s="2954"/>
      <c r="AI407" s="2954"/>
      <c r="AJ407" s="2954"/>
      <c r="AK407" s="2954"/>
      <c r="AL407" s="2954"/>
      <c r="AM407" s="2954"/>
      <c r="AN407" s="2954"/>
      <c r="AO407" s="2954"/>
      <c r="AP407" s="2954"/>
      <c r="AQ407" s="2954"/>
      <c r="AR407" s="2954"/>
      <c r="AS407" s="2954"/>
      <c r="AT407" s="2935"/>
      <c r="AU407" s="2964"/>
      <c r="AV407" s="857">
        <f t="shared" si="243"/>
        <v>0</v>
      </c>
      <c r="AW407" s="857">
        <f t="shared" si="244"/>
        <v>0</v>
      </c>
      <c r="AX407" s="857">
        <f t="shared" si="245"/>
        <v>0</v>
      </c>
      <c r="AY407" s="807">
        <f t="shared" si="246"/>
        <v>0</v>
      </c>
      <c r="AZ407" s="2934">
        <f t="shared" si="247"/>
        <v>0</v>
      </c>
      <c r="BA407" s="2934">
        <f t="shared" si="248"/>
        <v>0</v>
      </c>
      <c r="BB407" s="2934">
        <f t="shared" si="249"/>
        <v>0</v>
      </c>
      <c r="BC407" s="2934">
        <f t="shared" si="250"/>
        <v>0</v>
      </c>
      <c r="BD407" s="2934">
        <f t="shared" si="251"/>
        <v>0</v>
      </c>
      <c r="BE407" s="2934">
        <f t="shared" si="252"/>
        <v>0</v>
      </c>
      <c r="BF407" s="2934">
        <f t="shared" si="253"/>
        <v>0</v>
      </c>
      <c r="BG407" s="2934">
        <f t="shared" si="254"/>
        <v>0</v>
      </c>
      <c r="BH407" s="2934">
        <f t="shared" si="255"/>
        <v>0</v>
      </c>
      <c r="BI407" s="2934">
        <f t="shared" si="256"/>
        <v>0</v>
      </c>
      <c r="BJ407" s="2934">
        <f t="shared" si="257"/>
        <v>0</v>
      </c>
      <c r="BK407" s="2934">
        <f t="shared" si="258"/>
        <v>0</v>
      </c>
      <c r="BL407" s="2934">
        <f t="shared" si="259"/>
        <v>0</v>
      </c>
      <c r="BM407" s="2934">
        <f t="shared" si="260"/>
        <v>0</v>
      </c>
      <c r="BN407" s="2934">
        <f t="shared" si="261"/>
        <v>0</v>
      </c>
      <c r="BO407" s="2934">
        <f t="shared" si="262"/>
        <v>0</v>
      </c>
      <c r="BP407" s="2934">
        <f t="shared" si="263"/>
        <v>0</v>
      </c>
      <c r="BQ407" s="2934">
        <f t="shared" si="264"/>
        <v>0</v>
      </c>
      <c r="BR407" s="2934">
        <f t="shared" si="265"/>
        <v>0</v>
      </c>
      <c r="BS407" s="2934">
        <f t="shared" si="266"/>
        <v>0</v>
      </c>
      <c r="BT407" s="2982">
        <f t="shared" si="267"/>
        <v>0</v>
      </c>
    </row>
    <row r="408" spans="1:72">
      <c r="A408" s="874"/>
      <c r="B408" s="882"/>
      <c r="C408" s="882"/>
      <c r="D408" s="2933"/>
      <c r="E408" s="2934">
        <f t="shared" si="239"/>
        <v>0</v>
      </c>
      <c r="F408" s="2935"/>
      <c r="G408" s="2936">
        <f t="shared" si="240"/>
        <v>0</v>
      </c>
      <c r="H408" s="2937">
        <f t="shared" si="241"/>
        <v>0</v>
      </c>
      <c r="I408" s="2944"/>
      <c r="J408" s="2944"/>
      <c r="K408" s="2944"/>
      <c r="L408" s="2944"/>
      <c r="M408" s="2944"/>
      <c r="N408" s="2944"/>
      <c r="O408" s="2944"/>
      <c r="P408" s="2944"/>
      <c r="Q408" s="2944"/>
      <c r="R408" s="2944"/>
      <c r="S408" s="2944"/>
      <c r="T408" s="2944"/>
      <c r="U408" s="2944"/>
      <c r="V408" s="2944"/>
      <c r="W408" s="2944"/>
      <c r="X408" s="2944"/>
      <c r="Y408" s="2944"/>
      <c r="Z408" s="2944"/>
      <c r="AA408" s="2944"/>
      <c r="AB408" s="2944"/>
      <c r="AC408" s="2934">
        <f t="shared" si="242"/>
        <v>0</v>
      </c>
      <c r="AD408" s="2954"/>
      <c r="AE408" s="2954"/>
      <c r="AF408" s="2954"/>
      <c r="AG408" s="2954"/>
      <c r="AH408" s="2954"/>
      <c r="AI408" s="2954"/>
      <c r="AJ408" s="2954"/>
      <c r="AK408" s="2954"/>
      <c r="AL408" s="2954"/>
      <c r="AM408" s="2954"/>
      <c r="AN408" s="2954"/>
      <c r="AO408" s="2954"/>
      <c r="AP408" s="2954"/>
      <c r="AQ408" s="2954"/>
      <c r="AR408" s="2954"/>
      <c r="AS408" s="2954"/>
      <c r="AT408" s="2935"/>
      <c r="AU408" s="2964"/>
      <c r="AV408" s="857">
        <f t="shared" si="243"/>
        <v>0</v>
      </c>
      <c r="AW408" s="857">
        <f t="shared" si="244"/>
        <v>0</v>
      </c>
      <c r="AX408" s="857">
        <f t="shared" si="245"/>
        <v>0</v>
      </c>
      <c r="AY408" s="807">
        <f t="shared" si="246"/>
        <v>0</v>
      </c>
      <c r="AZ408" s="2934">
        <f t="shared" si="247"/>
        <v>0</v>
      </c>
      <c r="BA408" s="2934">
        <f t="shared" si="248"/>
        <v>0</v>
      </c>
      <c r="BB408" s="2934">
        <f t="shared" si="249"/>
        <v>0</v>
      </c>
      <c r="BC408" s="2934">
        <f t="shared" si="250"/>
        <v>0</v>
      </c>
      <c r="BD408" s="2934">
        <f t="shared" si="251"/>
        <v>0</v>
      </c>
      <c r="BE408" s="2934">
        <f t="shared" si="252"/>
        <v>0</v>
      </c>
      <c r="BF408" s="2934">
        <f t="shared" si="253"/>
        <v>0</v>
      </c>
      <c r="BG408" s="2934">
        <f t="shared" si="254"/>
        <v>0</v>
      </c>
      <c r="BH408" s="2934">
        <f t="shared" si="255"/>
        <v>0</v>
      </c>
      <c r="BI408" s="2934">
        <f t="shared" si="256"/>
        <v>0</v>
      </c>
      <c r="BJ408" s="2934">
        <f t="shared" si="257"/>
        <v>0</v>
      </c>
      <c r="BK408" s="2934">
        <f t="shared" si="258"/>
        <v>0</v>
      </c>
      <c r="BL408" s="2934">
        <f t="shared" si="259"/>
        <v>0</v>
      </c>
      <c r="BM408" s="2934">
        <f t="shared" si="260"/>
        <v>0</v>
      </c>
      <c r="BN408" s="2934">
        <f t="shared" si="261"/>
        <v>0</v>
      </c>
      <c r="BO408" s="2934">
        <f t="shared" si="262"/>
        <v>0</v>
      </c>
      <c r="BP408" s="2934">
        <f t="shared" si="263"/>
        <v>0</v>
      </c>
      <c r="BQ408" s="2934">
        <f t="shared" si="264"/>
        <v>0</v>
      </c>
      <c r="BR408" s="2934">
        <f t="shared" si="265"/>
        <v>0</v>
      </c>
      <c r="BS408" s="2934">
        <f t="shared" si="266"/>
        <v>0</v>
      </c>
      <c r="BT408" s="2982">
        <f t="shared" si="267"/>
        <v>0</v>
      </c>
    </row>
    <row r="409" spans="1:72">
      <c r="A409" s="874"/>
      <c r="B409" s="882"/>
      <c r="C409" s="882"/>
      <c r="D409" s="2933"/>
      <c r="E409" s="2934">
        <f t="shared" si="239"/>
        <v>0</v>
      </c>
      <c r="F409" s="2935"/>
      <c r="G409" s="2936">
        <f t="shared" si="240"/>
        <v>0</v>
      </c>
      <c r="H409" s="2937">
        <f t="shared" si="241"/>
        <v>0</v>
      </c>
      <c r="I409" s="2944"/>
      <c r="J409" s="2944"/>
      <c r="K409" s="2944"/>
      <c r="L409" s="2944"/>
      <c r="M409" s="2944"/>
      <c r="N409" s="2944"/>
      <c r="O409" s="2944"/>
      <c r="P409" s="2944"/>
      <c r="Q409" s="2944"/>
      <c r="R409" s="2944"/>
      <c r="S409" s="2944"/>
      <c r="T409" s="2944"/>
      <c r="U409" s="2944"/>
      <c r="V409" s="2944"/>
      <c r="W409" s="2944"/>
      <c r="X409" s="2944"/>
      <c r="Y409" s="2944"/>
      <c r="Z409" s="2944"/>
      <c r="AA409" s="2944"/>
      <c r="AB409" s="2944"/>
      <c r="AC409" s="2934">
        <f t="shared" si="242"/>
        <v>0</v>
      </c>
      <c r="AD409" s="2954"/>
      <c r="AE409" s="2954"/>
      <c r="AF409" s="2954"/>
      <c r="AG409" s="2954"/>
      <c r="AH409" s="2954"/>
      <c r="AI409" s="2954"/>
      <c r="AJ409" s="2954"/>
      <c r="AK409" s="2954"/>
      <c r="AL409" s="2954"/>
      <c r="AM409" s="2954"/>
      <c r="AN409" s="2954"/>
      <c r="AO409" s="2954"/>
      <c r="AP409" s="2954"/>
      <c r="AQ409" s="2954"/>
      <c r="AR409" s="2954"/>
      <c r="AS409" s="2954"/>
      <c r="AT409" s="2935"/>
      <c r="AU409" s="2964"/>
      <c r="AV409" s="857">
        <f t="shared" si="243"/>
        <v>0</v>
      </c>
      <c r="AW409" s="857">
        <f t="shared" si="244"/>
        <v>0</v>
      </c>
      <c r="AX409" s="857">
        <f t="shared" si="245"/>
        <v>0</v>
      </c>
      <c r="AY409" s="807">
        <f t="shared" si="246"/>
        <v>0</v>
      </c>
      <c r="AZ409" s="2934">
        <f t="shared" si="247"/>
        <v>0</v>
      </c>
      <c r="BA409" s="2934">
        <f t="shared" si="248"/>
        <v>0</v>
      </c>
      <c r="BB409" s="2934">
        <f t="shared" si="249"/>
        <v>0</v>
      </c>
      <c r="BC409" s="2934">
        <f t="shared" si="250"/>
        <v>0</v>
      </c>
      <c r="BD409" s="2934">
        <f t="shared" si="251"/>
        <v>0</v>
      </c>
      <c r="BE409" s="2934">
        <f t="shared" si="252"/>
        <v>0</v>
      </c>
      <c r="BF409" s="2934">
        <f t="shared" si="253"/>
        <v>0</v>
      </c>
      <c r="BG409" s="2934">
        <f t="shared" si="254"/>
        <v>0</v>
      </c>
      <c r="BH409" s="2934">
        <f t="shared" si="255"/>
        <v>0</v>
      </c>
      <c r="BI409" s="2934">
        <f t="shared" si="256"/>
        <v>0</v>
      </c>
      <c r="BJ409" s="2934">
        <f t="shared" si="257"/>
        <v>0</v>
      </c>
      <c r="BK409" s="2934">
        <f t="shared" si="258"/>
        <v>0</v>
      </c>
      <c r="BL409" s="2934">
        <f t="shared" si="259"/>
        <v>0</v>
      </c>
      <c r="BM409" s="2934">
        <f t="shared" si="260"/>
        <v>0</v>
      </c>
      <c r="BN409" s="2934">
        <f t="shared" si="261"/>
        <v>0</v>
      </c>
      <c r="BO409" s="2934">
        <f t="shared" si="262"/>
        <v>0</v>
      </c>
      <c r="BP409" s="2934">
        <f t="shared" si="263"/>
        <v>0</v>
      </c>
      <c r="BQ409" s="2934">
        <f t="shared" si="264"/>
        <v>0</v>
      </c>
      <c r="BR409" s="2934">
        <f t="shared" si="265"/>
        <v>0</v>
      </c>
      <c r="BS409" s="2934">
        <f t="shared" si="266"/>
        <v>0</v>
      </c>
      <c r="BT409" s="2982">
        <f t="shared" si="267"/>
        <v>0</v>
      </c>
    </row>
    <row r="410" spans="1:72">
      <c r="A410" s="874"/>
      <c r="B410" s="882"/>
      <c r="C410" s="882"/>
      <c r="D410" s="2933"/>
      <c r="E410" s="2934">
        <f t="shared" si="239"/>
        <v>0</v>
      </c>
      <c r="F410" s="2935"/>
      <c r="G410" s="2936">
        <f t="shared" si="240"/>
        <v>0</v>
      </c>
      <c r="H410" s="2937">
        <f t="shared" si="241"/>
        <v>0</v>
      </c>
      <c r="I410" s="2944"/>
      <c r="J410" s="2944"/>
      <c r="K410" s="2944"/>
      <c r="L410" s="2944"/>
      <c r="M410" s="2944"/>
      <c r="N410" s="2944"/>
      <c r="O410" s="2944"/>
      <c r="P410" s="2944"/>
      <c r="Q410" s="2944"/>
      <c r="R410" s="2944"/>
      <c r="S410" s="2944"/>
      <c r="T410" s="2944"/>
      <c r="U410" s="2944"/>
      <c r="V410" s="2944"/>
      <c r="W410" s="2944"/>
      <c r="X410" s="2944"/>
      <c r="Y410" s="2944"/>
      <c r="Z410" s="2944"/>
      <c r="AA410" s="2944"/>
      <c r="AB410" s="2944"/>
      <c r="AC410" s="2934">
        <f t="shared" si="242"/>
        <v>0</v>
      </c>
      <c r="AD410" s="2954"/>
      <c r="AE410" s="2954"/>
      <c r="AF410" s="2954"/>
      <c r="AG410" s="2954"/>
      <c r="AH410" s="2954"/>
      <c r="AI410" s="2954"/>
      <c r="AJ410" s="2954"/>
      <c r="AK410" s="2954"/>
      <c r="AL410" s="2954"/>
      <c r="AM410" s="2954"/>
      <c r="AN410" s="2954"/>
      <c r="AO410" s="2954"/>
      <c r="AP410" s="2954"/>
      <c r="AQ410" s="2954"/>
      <c r="AR410" s="2954"/>
      <c r="AS410" s="2954"/>
      <c r="AT410" s="2935"/>
      <c r="AU410" s="2964"/>
      <c r="AV410" s="857">
        <f t="shared" si="243"/>
        <v>0</v>
      </c>
      <c r="AW410" s="857">
        <f t="shared" si="244"/>
        <v>0</v>
      </c>
      <c r="AX410" s="857">
        <f t="shared" si="245"/>
        <v>0</v>
      </c>
      <c r="AY410" s="807">
        <f t="shared" si="246"/>
        <v>0</v>
      </c>
      <c r="AZ410" s="2934">
        <f t="shared" si="247"/>
        <v>0</v>
      </c>
      <c r="BA410" s="2934">
        <f t="shared" si="248"/>
        <v>0</v>
      </c>
      <c r="BB410" s="2934">
        <f t="shared" si="249"/>
        <v>0</v>
      </c>
      <c r="BC410" s="2934">
        <f t="shared" si="250"/>
        <v>0</v>
      </c>
      <c r="BD410" s="2934">
        <f t="shared" si="251"/>
        <v>0</v>
      </c>
      <c r="BE410" s="2934">
        <f t="shared" si="252"/>
        <v>0</v>
      </c>
      <c r="BF410" s="2934">
        <f t="shared" si="253"/>
        <v>0</v>
      </c>
      <c r="BG410" s="2934">
        <f t="shared" si="254"/>
        <v>0</v>
      </c>
      <c r="BH410" s="2934">
        <f t="shared" si="255"/>
        <v>0</v>
      </c>
      <c r="BI410" s="2934">
        <f t="shared" si="256"/>
        <v>0</v>
      </c>
      <c r="BJ410" s="2934">
        <f t="shared" si="257"/>
        <v>0</v>
      </c>
      <c r="BK410" s="2934">
        <f t="shared" si="258"/>
        <v>0</v>
      </c>
      <c r="BL410" s="2934">
        <f t="shared" si="259"/>
        <v>0</v>
      </c>
      <c r="BM410" s="2934">
        <f t="shared" si="260"/>
        <v>0</v>
      </c>
      <c r="BN410" s="2934">
        <f t="shared" si="261"/>
        <v>0</v>
      </c>
      <c r="BO410" s="2934">
        <f t="shared" si="262"/>
        <v>0</v>
      </c>
      <c r="BP410" s="2934">
        <f t="shared" si="263"/>
        <v>0</v>
      </c>
      <c r="BQ410" s="2934">
        <f t="shared" si="264"/>
        <v>0</v>
      </c>
      <c r="BR410" s="2934">
        <f t="shared" si="265"/>
        <v>0</v>
      </c>
      <c r="BS410" s="2934">
        <f t="shared" si="266"/>
        <v>0</v>
      </c>
      <c r="BT410" s="2982">
        <f t="shared" si="267"/>
        <v>0</v>
      </c>
    </row>
    <row r="411" spans="1:72">
      <c r="A411" s="874"/>
      <c r="B411" s="882"/>
      <c r="C411" s="882"/>
      <c r="D411" s="2933"/>
      <c r="E411" s="2934">
        <f t="shared" si="239"/>
        <v>0</v>
      </c>
      <c r="F411" s="2935"/>
      <c r="G411" s="2936">
        <f t="shared" si="240"/>
        <v>0</v>
      </c>
      <c r="H411" s="2937">
        <f t="shared" si="241"/>
        <v>0</v>
      </c>
      <c r="I411" s="2944"/>
      <c r="J411" s="2944"/>
      <c r="K411" s="2944"/>
      <c r="L411" s="2944"/>
      <c r="M411" s="2944"/>
      <c r="N411" s="2944"/>
      <c r="O411" s="2944"/>
      <c r="P411" s="2944"/>
      <c r="Q411" s="2944"/>
      <c r="R411" s="2944"/>
      <c r="S411" s="2944"/>
      <c r="T411" s="2944"/>
      <c r="U411" s="2944"/>
      <c r="V411" s="2944"/>
      <c r="W411" s="2944"/>
      <c r="X411" s="2944"/>
      <c r="Y411" s="2944"/>
      <c r="Z411" s="2944"/>
      <c r="AA411" s="2944"/>
      <c r="AB411" s="2944"/>
      <c r="AC411" s="2934">
        <f t="shared" si="242"/>
        <v>0</v>
      </c>
      <c r="AD411" s="2954"/>
      <c r="AE411" s="2954"/>
      <c r="AF411" s="2954"/>
      <c r="AG411" s="2954"/>
      <c r="AH411" s="2954"/>
      <c r="AI411" s="2954"/>
      <c r="AJ411" s="2954"/>
      <c r="AK411" s="2954"/>
      <c r="AL411" s="2954"/>
      <c r="AM411" s="2954"/>
      <c r="AN411" s="2954"/>
      <c r="AO411" s="2954"/>
      <c r="AP411" s="2954"/>
      <c r="AQ411" s="2954"/>
      <c r="AR411" s="2954"/>
      <c r="AS411" s="2954"/>
      <c r="AT411" s="2935"/>
      <c r="AU411" s="2964"/>
      <c r="AV411" s="857">
        <f t="shared" si="243"/>
        <v>0</v>
      </c>
      <c r="AW411" s="857">
        <f t="shared" si="244"/>
        <v>0</v>
      </c>
      <c r="AX411" s="857">
        <f t="shared" si="245"/>
        <v>0</v>
      </c>
      <c r="AY411" s="807">
        <f t="shared" si="246"/>
        <v>0</v>
      </c>
      <c r="AZ411" s="2934">
        <f t="shared" si="247"/>
        <v>0</v>
      </c>
      <c r="BA411" s="2934">
        <f t="shared" si="248"/>
        <v>0</v>
      </c>
      <c r="BB411" s="2934">
        <f t="shared" si="249"/>
        <v>0</v>
      </c>
      <c r="BC411" s="2934">
        <f t="shared" si="250"/>
        <v>0</v>
      </c>
      <c r="BD411" s="2934">
        <f t="shared" si="251"/>
        <v>0</v>
      </c>
      <c r="BE411" s="2934">
        <f t="shared" si="252"/>
        <v>0</v>
      </c>
      <c r="BF411" s="2934">
        <f t="shared" si="253"/>
        <v>0</v>
      </c>
      <c r="BG411" s="2934">
        <f t="shared" si="254"/>
        <v>0</v>
      </c>
      <c r="BH411" s="2934">
        <f t="shared" si="255"/>
        <v>0</v>
      </c>
      <c r="BI411" s="2934">
        <f t="shared" si="256"/>
        <v>0</v>
      </c>
      <c r="BJ411" s="2934">
        <f t="shared" si="257"/>
        <v>0</v>
      </c>
      <c r="BK411" s="2934">
        <f t="shared" si="258"/>
        <v>0</v>
      </c>
      <c r="BL411" s="2934">
        <f t="shared" si="259"/>
        <v>0</v>
      </c>
      <c r="BM411" s="2934">
        <f t="shared" si="260"/>
        <v>0</v>
      </c>
      <c r="BN411" s="2934">
        <f t="shared" si="261"/>
        <v>0</v>
      </c>
      <c r="BO411" s="2934">
        <f t="shared" si="262"/>
        <v>0</v>
      </c>
      <c r="BP411" s="2934">
        <f t="shared" si="263"/>
        <v>0</v>
      </c>
      <c r="BQ411" s="2934">
        <f t="shared" si="264"/>
        <v>0</v>
      </c>
      <c r="BR411" s="2934">
        <f t="shared" si="265"/>
        <v>0</v>
      </c>
      <c r="BS411" s="2934">
        <f t="shared" si="266"/>
        <v>0</v>
      </c>
      <c r="BT411" s="2982">
        <f t="shared" si="267"/>
        <v>0</v>
      </c>
    </row>
    <row r="412" spans="1:72">
      <c r="A412" s="874"/>
      <c r="B412" s="882"/>
      <c r="C412" s="882"/>
      <c r="D412" s="2933"/>
      <c r="E412" s="2934">
        <f t="shared" si="239"/>
        <v>0</v>
      </c>
      <c r="F412" s="2935"/>
      <c r="G412" s="2936">
        <f t="shared" si="240"/>
        <v>0</v>
      </c>
      <c r="H412" s="2937">
        <f t="shared" si="241"/>
        <v>0</v>
      </c>
      <c r="I412" s="2944"/>
      <c r="J412" s="2944"/>
      <c r="K412" s="2944"/>
      <c r="L412" s="2944"/>
      <c r="M412" s="2944"/>
      <c r="N412" s="2944"/>
      <c r="O412" s="2944"/>
      <c r="P412" s="2944"/>
      <c r="Q412" s="2944"/>
      <c r="R412" s="2944"/>
      <c r="S412" s="2944"/>
      <c r="T412" s="2944"/>
      <c r="U412" s="2944"/>
      <c r="V412" s="2944"/>
      <c r="W412" s="2944"/>
      <c r="X412" s="2944"/>
      <c r="Y412" s="2944"/>
      <c r="Z412" s="2944"/>
      <c r="AA412" s="2944"/>
      <c r="AB412" s="2944"/>
      <c r="AC412" s="2934">
        <f t="shared" si="242"/>
        <v>0</v>
      </c>
      <c r="AD412" s="2954"/>
      <c r="AE412" s="2954"/>
      <c r="AF412" s="2954"/>
      <c r="AG412" s="2954"/>
      <c r="AH412" s="2954"/>
      <c r="AI412" s="2954"/>
      <c r="AJ412" s="2954"/>
      <c r="AK412" s="2954"/>
      <c r="AL412" s="2954"/>
      <c r="AM412" s="2954"/>
      <c r="AN412" s="2954"/>
      <c r="AO412" s="2954"/>
      <c r="AP412" s="2954"/>
      <c r="AQ412" s="2954"/>
      <c r="AR412" s="2954"/>
      <c r="AS412" s="2954"/>
      <c r="AT412" s="2935"/>
      <c r="AU412" s="2964"/>
      <c r="AV412" s="857">
        <f t="shared" si="243"/>
        <v>0</v>
      </c>
      <c r="AW412" s="857">
        <f t="shared" si="244"/>
        <v>0</v>
      </c>
      <c r="AX412" s="857">
        <f t="shared" si="245"/>
        <v>0</v>
      </c>
      <c r="AY412" s="807">
        <f t="shared" si="246"/>
        <v>0</v>
      </c>
      <c r="AZ412" s="2934">
        <f t="shared" si="247"/>
        <v>0</v>
      </c>
      <c r="BA412" s="2934">
        <f t="shared" si="248"/>
        <v>0</v>
      </c>
      <c r="BB412" s="2934">
        <f t="shared" si="249"/>
        <v>0</v>
      </c>
      <c r="BC412" s="2934">
        <f t="shared" si="250"/>
        <v>0</v>
      </c>
      <c r="BD412" s="2934">
        <f t="shared" si="251"/>
        <v>0</v>
      </c>
      <c r="BE412" s="2934">
        <f t="shared" si="252"/>
        <v>0</v>
      </c>
      <c r="BF412" s="2934">
        <f t="shared" si="253"/>
        <v>0</v>
      </c>
      <c r="BG412" s="2934">
        <f t="shared" si="254"/>
        <v>0</v>
      </c>
      <c r="BH412" s="2934">
        <f t="shared" si="255"/>
        <v>0</v>
      </c>
      <c r="BI412" s="2934">
        <f t="shared" si="256"/>
        <v>0</v>
      </c>
      <c r="BJ412" s="2934">
        <f t="shared" si="257"/>
        <v>0</v>
      </c>
      <c r="BK412" s="2934">
        <f t="shared" si="258"/>
        <v>0</v>
      </c>
      <c r="BL412" s="2934">
        <f t="shared" si="259"/>
        <v>0</v>
      </c>
      <c r="BM412" s="2934">
        <f t="shared" si="260"/>
        <v>0</v>
      </c>
      <c r="BN412" s="2934">
        <f t="shared" si="261"/>
        <v>0</v>
      </c>
      <c r="BO412" s="2934">
        <f t="shared" si="262"/>
        <v>0</v>
      </c>
      <c r="BP412" s="2934">
        <f t="shared" si="263"/>
        <v>0</v>
      </c>
      <c r="BQ412" s="2934">
        <f t="shared" si="264"/>
        <v>0</v>
      </c>
      <c r="BR412" s="2934">
        <f t="shared" si="265"/>
        <v>0</v>
      </c>
      <c r="BS412" s="2934">
        <f t="shared" si="266"/>
        <v>0</v>
      </c>
      <c r="BT412" s="2982">
        <f t="shared" si="267"/>
        <v>0</v>
      </c>
    </row>
    <row r="413" spans="1:72">
      <c r="A413" s="874"/>
      <c r="B413" s="882"/>
      <c r="C413" s="882"/>
      <c r="D413" s="2933"/>
      <c r="E413" s="2934">
        <f t="shared" si="239"/>
        <v>0</v>
      </c>
      <c r="F413" s="2935"/>
      <c r="G413" s="2936">
        <f t="shared" si="240"/>
        <v>0</v>
      </c>
      <c r="H413" s="2937">
        <f t="shared" si="241"/>
        <v>0</v>
      </c>
      <c r="I413" s="2944"/>
      <c r="J413" s="2944"/>
      <c r="K413" s="2944"/>
      <c r="L413" s="2944"/>
      <c r="M413" s="2944"/>
      <c r="N413" s="2944"/>
      <c r="O413" s="2944"/>
      <c r="P413" s="2944"/>
      <c r="Q413" s="2944"/>
      <c r="R413" s="2944"/>
      <c r="S413" s="2944"/>
      <c r="T413" s="2944"/>
      <c r="U413" s="2944"/>
      <c r="V413" s="2944"/>
      <c r="W413" s="2944"/>
      <c r="X413" s="2944"/>
      <c r="Y413" s="2944"/>
      <c r="Z413" s="2944"/>
      <c r="AA413" s="2944"/>
      <c r="AB413" s="2944"/>
      <c r="AC413" s="2934">
        <f t="shared" si="242"/>
        <v>0</v>
      </c>
      <c r="AD413" s="2954"/>
      <c r="AE413" s="2954"/>
      <c r="AF413" s="2954"/>
      <c r="AG413" s="2954"/>
      <c r="AH413" s="2954"/>
      <c r="AI413" s="2954"/>
      <c r="AJ413" s="2954"/>
      <c r="AK413" s="2954"/>
      <c r="AL413" s="2954"/>
      <c r="AM413" s="2954"/>
      <c r="AN413" s="2954"/>
      <c r="AO413" s="2954"/>
      <c r="AP413" s="2954"/>
      <c r="AQ413" s="2954"/>
      <c r="AR413" s="2954"/>
      <c r="AS413" s="2954"/>
      <c r="AT413" s="2935"/>
      <c r="AU413" s="2964"/>
      <c r="AV413" s="857">
        <f t="shared" si="243"/>
        <v>0</v>
      </c>
      <c r="AW413" s="857">
        <f t="shared" si="244"/>
        <v>0</v>
      </c>
      <c r="AX413" s="857">
        <f t="shared" si="245"/>
        <v>0</v>
      </c>
      <c r="AY413" s="807">
        <f t="shared" si="246"/>
        <v>0</v>
      </c>
      <c r="AZ413" s="2934">
        <f t="shared" si="247"/>
        <v>0</v>
      </c>
      <c r="BA413" s="2934">
        <f t="shared" si="248"/>
        <v>0</v>
      </c>
      <c r="BB413" s="2934">
        <f t="shared" si="249"/>
        <v>0</v>
      </c>
      <c r="BC413" s="2934">
        <f t="shared" si="250"/>
        <v>0</v>
      </c>
      <c r="BD413" s="2934">
        <f t="shared" si="251"/>
        <v>0</v>
      </c>
      <c r="BE413" s="2934">
        <f t="shared" si="252"/>
        <v>0</v>
      </c>
      <c r="BF413" s="2934">
        <f t="shared" si="253"/>
        <v>0</v>
      </c>
      <c r="BG413" s="2934">
        <f t="shared" si="254"/>
        <v>0</v>
      </c>
      <c r="BH413" s="2934">
        <f t="shared" si="255"/>
        <v>0</v>
      </c>
      <c r="BI413" s="2934">
        <f t="shared" si="256"/>
        <v>0</v>
      </c>
      <c r="BJ413" s="2934">
        <f t="shared" si="257"/>
        <v>0</v>
      </c>
      <c r="BK413" s="2934">
        <f t="shared" si="258"/>
        <v>0</v>
      </c>
      <c r="BL413" s="2934">
        <f t="shared" si="259"/>
        <v>0</v>
      </c>
      <c r="BM413" s="2934">
        <f t="shared" si="260"/>
        <v>0</v>
      </c>
      <c r="BN413" s="2934">
        <f t="shared" si="261"/>
        <v>0</v>
      </c>
      <c r="BO413" s="2934">
        <f t="shared" si="262"/>
        <v>0</v>
      </c>
      <c r="BP413" s="2934">
        <f t="shared" si="263"/>
        <v>0</v>
      </c>
      <c r="BQ413" s="2934">
        <f t="shared" si="264"/>
        <v>0</v>
      </c>
      <c r="BR413" s="2934">
        <f t="shared" si="265"/>
        <v>0</v>
      </c>
      <c r="BS413" s="2934">
        <f t="shared" si="266"/>
        <v>0</v>
      </c>
      <c r="BT413" s="2982">
        <f t="shared" si="267"/>
        <v>0</v>
      </c>
    </row>
    <row r="414" spans="1:72">
      <c r="A414" s="874"/>
      <c r="B414" s="882"/>
      <c r="C414" s="882"/>
      <c r="D414" s="2933"/>
      <c r="E414" s="2934">
        <f t="shared" si="239"/>
        <v>0</v>
      </c>
      <c r="F414" s="2935"/>
      <c r="G414" s="2936">
        <f t="shared" si="240"/>
        <v>0</v>
      </c>
      <c r="H414" s="2937">
        <f t="shared" si="241"/>
        <v>0</v>
      </c>
      <c r="I414" s="2944"/>
      <c r="J414" s="2944"/>
      <c r="K414" s="2944"/>
      <c r="L414" s="2944"/>
      <c r="M414" s="2944"/>
      <c r="N414" s="2944"/>
      <c r="O414" s="2944"/>
      <c r="P414" s="2944"/>
      <c r="Q414" s="2944"/>
      <c r="R414" s="2944"/>
      <c r="S414" s="2944"/>
      <c r="T414" s="2944"/>
      <c r="U414" s="2944"/>
      <c r="V414" s="2944"/>
      <c r="W414" s="2944"/>
      <c r="X414" s="2944"/>
      <c r="Y414" s="2944"/>
      <c r="Z414" s="2944"/>
      <c r="AA414" s="2944"/>
      <c r="AB414" s="2944"/>
      <c r="AC414" s="2934">
        <f t="shared" si="242"/>
        <v>0</v>
      </c>
      <c r="AD414" s="2954"/>
      <c r="AE414" s="2954"/>
      <c r="AF414" s="2954"/>
      <c r="AG414" s="2954"/>
      <c r="AH414" s="2954"/>
      <c r="AI414" s="2954"/>
      <c r="AJ414" s="2954"/>
      <c r="AK414" s="2954"/>
      <c r="AL414" s="2954"/>
      <c r="AM414" s="2954"/>
      <c r="AN414" s="2954"/>
      <c r="AO414" s="2954"/>
      <c r="AP414" s="2954"/>
      <c r="AQ414" s="2954"/>
      <c r="AR414" s="2954"/>
      <c r="AS414" s="2954"/>
      <c r="AT414" s="2935"/>
      <c r="AU414" s="2964"/>
      <c r="AV414" s="857">
        <f t="shared" si="243"/>
        <v>0</v>
      </c>
      <c r="AW414" s="857">
        <f t="shared" si="244"/>
        <v>0</v>
      </c>
      <c r="AX414" s="857">
        <f t="shared" si="245"/>
        <v>0</v>
      </c>
      <c r="AY414" s="807">
        <f t="shared" si="246"/>
        <v>0</v>
      </c>
      <c r="AZ414" s="2934">
        <f t="shared" si="247"/>
        <v>0</v>
      </c>
      <c r="BA414" s="2934">
        <f t="shared" si="248"/>
        <v>0</v>
      </c>
      <c r="BB414" s="2934">
        <f t="shared" si="249"/>
        <v>0</v>
      </c>
      <c r="BC414" s="2934">
        <f t="shared" si="250"/>
        <v>0</v>
      </c>
      <c r="BD414" s="2934">
        <f t="shared" si="251"/>
        <v>0</v>
      </c>
      <c r="BE414" s="2934">
        <f t="shared" si="252"/>
        <v>0</v>
      </c>
      <c r="BF414" s="2934">
        <f t="shared" si="253"/>
        <v>0</v>
      </c>
      <c r="BG414" s="2934">
        <f t="shared" si="254"/>
        <v>0</v>
      </c>
      <c r="BH414" s="2934">
        <f t="shared" si="255"/>
        <v>0</v>
      </c>
      <c r="BI414" s="2934">
        <f t="shared" si="256"/>
        <v>0</v>
      </c>
      <c r="BJ414" s="2934">
        <f t="shared" si="257"/>
        <v>0</v>
      </c>
      <c r="BK414" s="2934">
        <f t="shared" si="258"/>
        <v>0</v>
      </c>
      <c r="BL414" s="2934">
        <f t="shared" si="259"/>
        <v>0</v>
      </c>
      <c r="BM414" s="2934">
        <f t="shared" si="260"/>
        <v>0</v>
      </c>
      <c r="BN414" s="2934">
        <f t="shared" si="261"/>
        <v>0</v>
      </c>
      <c r="BO414" s="2934">
        <f t="shared" si="262"/>
        <v>0</v>
      </c>
      <c r="BP414" s="2934">
        <f t="shared" si="263"/>
        <v>0</v>
      </c>
      <c r="BQ414" s="2934">
        <f t="shared" si="264"/>
        <v>0</v>
      </c>
      <c r="BR414" s="2934">
        <f t="shared" si="265"/>
        <v>0</v>
      </c>
      <c r="BS414" s="2934">
        <f t="shared" si="266"/>
        <v>0</v>
      </c>
      <c r="BT414" s="2982">
        <f t="shared" si="267"/>
        <v>0</v>
      </c>
    </row>
    <row r="415" spans="1:72">
      <c r="A415" s="874"/>
      <c r="B415" s="882"/>
      <c r="C415" s="882"/>
      <c r="D415" s="2933"/>
      <c r="E415" s="2934">
        <f t="shared" si="239"/>
        <v>0</v>
      </c>
      <c r="F415" s="2935"/>
      <c r="G415" s="2936">
        <f t="shared" si="240"/>
        <v>0</v>
      </c>
      <c r="H415" s="2937">
        <f t="shared" si="241"/>
        <v>0</v>
      </c>
      <c r="I415" s="2944"/>
      <c r="J415" s="2944"/>
      <c r="K415" s="2944"/>
      <c r="L415" s="2944"/>
      <c r="M415" s="2944"/>
      <c r="N415" s="2944"/>
      <c r="O415" s="2944"/>
      <c r="P415" s="2944"/>
      <c r="Q415" s="2944"/>
      <c r="R415" s="2944"/>
      <c r="S415" s="2944"/>
      <c r="T415" s="2944"/>
      <c r="U415" s="2944"/>
      <c r="V415" s="2944"/>
      <c r="W415" s="2944"/>
      <c r="X415" s="2944"/>
      <c r="Y415" s="2944"/>
      <c r="Z415" s="2944"/>
      <c r="AA415" s="2944"/>
      <c r="AB415" s="2944"/>
      <c r="AC415" s="2934">
        <f t="shared" si="242"/>
        <v>0</v>
      </c>
      <c r="AD415" s="2954"/>
      <c r="AE415" s="2954"/>
      <c r="AF415" s="2954"/>
      <c r="AG415" s="2954"/>
      <c r="AH415" s="2954"/>
      <c r="AI415" s="2954"/>
      <c r="AJ415" s="2954"/>
      <c r="AK415" s="2954"/>
      <c r="AL415" s="2954"/>
      <c r="AM415" s="2954"/>
      <c r="AN415" s="2954"/>
      <c r="AO415" s="2954"/>
      <c r="AP415" s="2954"/>
      <c r="AQ415" s="2954"/>
      <c r="AR415" s="2954"/>
      <c r="AS415" s="2954"/>
      <c r="AT415" s="2935"/>
      <c r="AU415" s="2964"/>
      <c r="AV415" s="857">
        <f t="shared" si="243"/>
        <v>0</v>
      </c>
      <c r="AW415" s="857">
        <f t="shared" si="244"/>
        <v>0</v>
      </c>
      <c r="AX415" s="857">
        <f t="shared" si="245"/>
        <v>0</v>
      </c>
      <c r="AY415" s="807">
        <f t="shared" si="246"/>
        <v>0</v>
      </c>
      <c r="AZ415" s="2934">
        <f t="shared" si="247"/>
        <v>0</v>
      </c>
      <c r="BA415" s="2934">
        <f t="shared" si="248"/>
        <v>0</v>
      </c>
      <c r="BB415" s="2934">
        <f t="shared" si="249"/>
        <v>0</v>
      </c>
      <c r="BC415" s="2934">
        <f t="shared" si="250"/>
        <v>0</v>
      </c>
      <c r="BD415" s="2934">
        <f t="shared" si="251"/>
        <v>0</v>
      </c>
      <c r="BE415" s="2934">
        <f t="shared" si="252"/>
        <v>0</v>
      </c>
      <c r="BF415" s="2934">
        <f t="shared" si="253"/>
        <v>0</v>
      </c>
      <c r="BG415" s="2934">
        <f t="shared" si="254"/>
        <v>0</v>
      </c>
      <c r="BH415" s="2934">
        <f t="shared" si="255"/>
        <v>0</v>
      </c>
      <c r="BI415" s="2934">
        <f t="shared" si="256"/>
        <v>0</v>
      </c>
      <c r="BJ415" s="2934">
        <f t="shared" si="257"/>
        <v>0</v>
      </c>
      <c r="BK415" s="2934">
        <f t="shared" si="258"/>
        <v>0</v>
      </c>
      <c r="BL415" s="2934">
        <f t="shared" si="259"/>
        <v>0</v>
      </c>
      <c r="BM415" s="2934">
        <f t="shared" si="260"/>
        <v>0</v>
      </c>
      <c r="BN415" s="2934">
        <f t="shared" si="261"/>
        <v>0</v>
      </c>
      <c r="BO415" s="2934">
        <f t="shared" si="262"/>
        <v>0</v>
      </c>
      <c r="BP415" s="2934">
        <f t="shared" si="263"/>
        <v>0</v>
      </c>
      <c r="BQ415" s="2934">
        <f t="shared" si="264"/>
        <v>0</v>
      </c>
      <c r="BR415" s="2934">
        <f t="shared" si="265"/>
        <v>0</v>
      </c>
      <c r="BS415" s="2934">
        <f t="shared" si="266"/>
        <v>0</v>
      </c>
      <c r="BT415" s="2982">
        <f t="shared" si="267"/>
        <v>0</v>
      </c>
    </row>
    <row r="416" spans="1:72">
      <c r="A416" s="874"/>
      <c r="B416" s="882"/>
      <c r="C416" s="882"/>
      <c r="D416" s="2933"/>
      <c r="E416" s="2934">
        <f t="shared" si="239"/>
        <v>0</v>
      </c>
      <c r="F416" s="2935"/>
      <c r="G416" s="2936">
        <f t="shared" si="240"/>
        <v>0</v>
      </c>
      <c r="H416" s="2937">
        <f t="shared" si="241"/>
        <v>0</v>
      </c>
      <c r="I416" s="2944"/>
      <c r="J416" s="2944"/>
      <c r="K416" s="2944"/>
      <c r="L416" s="2944"/>
      <c r="M416" s="2944"/>
      <c r="N416" s="2944"/>
      <c r="O416" s="2944"/>
      <c r="P416" s="2944"/>
      <c r="Q416" s="2944"/>
      <c r="R416" s="2944"/>
      <c r="S416" s="2944"/>
      <c r="T416" s="2944"/>
      <c r="U416" s="2944"/>
      <c r="V416" s="2944"/>
      <c r="W416" s="2944"/>
      <c r="X416" s="2944"/>
      <c r="Y416" s="2944"/>
      <c r="Z416" s="2944"/>
      <c r="AA416" s="2944"/>
      <c r="AB416" s="2944"/>
      <c r="AC416" s="2934">
        <f t="shared" si="242"/>
        <v>0</v>
      </c>
      <c r="AD416" s="2954"/>
      <c r="AE416" s="2954"/>
      <c r="AF416" s="2954"/>
      <c r="AG416" s="2954"/>
      <c r="AH416" s="2954"/>
      <c r="AI416" s="2954"/>
      <c r="AJ416" s="2954"/>
      <c r="AK416" s="2954"/>
      <c r="AL416" s="2954"/>
      <c r="AM416" s="2954"/>
      <c r="AN416" s="2954"/>
      <c r="AO416" s="2954"/>
      <c r="AP416" s="2954"/>
      <c r="AQ416" s="2954"/>
      <c r="AR416" s="2954"/>
      <c r="AS416" s="2954"/>
      <c r="AT416" s="2935"/>
      <c r="AU416" s="2964"/>
      <c r="AV416" s="857">
        <f t="shared" si="243"/>
        <v>0</v>
      </c>
      <c r="AW416" s="857">
        <f t="shared" si="244"/>
        <v>0</v>
      </c>
      <c r="AX416" s="857">
        <f t="shared" si="245"/>
        <v>0</v>
      </c>
      <c r="AY416" s="807">
        <f t="shared" si="246"/>
        <v>0</v>
      </c>
      <c r="AZ416" s="2934">
        <f t="shared" si="247"/>
        <v>0</v>
      </c>
      <c r="BA416" s="2934">
        <f t="shared" si="248"/>
        <v>0</v>
      </c>
      <c r="BB416" s="2934">
        <f t="shared" si="249"/>
        <v>0</v>
      </c>
      <c r="BC416" s="2934">
        <f t="shared" si="250"/>
        <v>0</v>
      </c>
      <c r="BD416" s="2934">
        <f t="shared" si="251"/>
        <v>0</v>
      </c>
      <c r="BE416" s="2934">
        <f t="shared" si="252"/>
        <v>0</v>
      </c>
      <c r="BF416" s="2934">
        <f t="shared" si="253"/>
        <v>0</v>
      </c>
      <c r="BG416" s="2934">
        <f t="shared" si="254"/>
        <v>0</v>
      </c>
      <c r="BH416" s="2934">
        <f t="shared" si="255"/>
        <v>0</v>
      </c>
      <c r="BI416" s="2934">
        <f t="shared" si="256"/>
        <v>0</v>
      </c>
      <c r="BJ416" s="2934">
        <f t="shared" si="257"/>
        <v>0</v>
      </c>
      <c r="BK416" s="2934">
        <f t="shared" si="258"/>
        <v>0</v>
      </c>
      <c r="BL416" s="2934">
        <f t="shared" si="259"/>
        <v>0</v>
      </c>
      <c r="BM416" s="2934">
        <f t="shared" si="260"/>
        <v>0</v>
      </c>
      <c r="BN416" s="2934">
        <f t="shared" si="261"/>
        <v>0</v>
      </c>
      <c r="BO416" s="2934">
        <f t="shared" si="262"/>
        <v>0</v>
      </c>
      <c r="BP416" s="2934">
        <f t="shared" si="263"/>
        <v>0</v>
      </c>
      <c r="BQ416" s="2934">
        <f t="shared" si="264"/>
        <v>0</v>
      </c>
      <c r="BR416" s="2934">
        <f t="shared" si="265"/>
        <v>0</v>
      </c>
      <c r="BS416" s="2934">
        <f t="shared" si="266"/>
        <v>0</v>
      </c>
      <c r="BT416" s="2982">
        <f t="shared" si="267"/>
        <v>0</v>
      </c>
    </row>
    <row r="417" spans="1:72">
      <c r="A417" s="874"/>
      <c r="B417" s="882"/>
      <c r="C417" s="882"/>
      <c r="D417" s="2933"/>
      <c r="E417" s="2934">
        <f t="shared" si="239"/>
        <v>0</v>
      </c>
      <c r="F417" s="2935"/>
      <c r="G417" s="2936">
        <f t="shared" si="240"/>
        <v>0</v>
      </c>
      <c r="H417" s="2937">
        <f t="shared" si="241"/>
        <v>0</v>
      </c>
      <c r="I417" s="2944"/>
      <c r="J417" s="2944"/>
      <c r="K417" s="2944"/>
      <c r="L417" s="2944"/>
      <c r="M417" s="2944"/>
      <c r="N417" s="2944"/>
      <c r="O417" s="2944"/>
      <c r="P417" s="2944"/>
      <c r="Q417" s="2944"/>
      <c r="R417" s="2944"/>
      <c r="S417" s="2944"/>
      <c r="T417" s="2944"/>
      <c r="U417" s="2944"/>
      <c r="V417" s="2944"/>
      <c r="W417" s="2944"/>
      <c r="X417" s="2944"/>
      <c r="Y417" s="2944"/>
      <c r="Z417" s="2944"/>
      <c r="AA417" s="2944"/>
      <c r="AB417" s="2944"/>
      <c r="AC417" s="2934">
        <f t="shared" si="242"/>
        <v>0</v>
      </c>
      <c r="AD417" s="2954"/>
      <c r="AE417" s="2954"/>
      <c r="AF417" s="2954"/>
      <c r="AG417" s="2954"/>
      <c r="AH417" s="2954"/>
      <c r="AI417" s="2954"/>
      <c r="AJ417" s="2954"/>
      <c r="AK417" s="2954"/>
      <c r="AL417" s="2954"/>
      <c r="AM417" s="2954"/>
      <c r="AN417" s="2954"/>
      <c r="AO417" s="2954"/>
      <c r="AP417" s="2954"/>
      <c r="AQ417" s="2954"/>
      <c r="AR417" s="2954"/>
      <c r="AS417" s="2954"/>
      <c r="AT417" s="2935"/>
      <c r="AU417" s="2964"/>
      <c r="AV417" s="857">
        <f t="shared" si="243"/>
        <v>0</v>
      </c>
      <c r="AW417" s="857">
        <f t="shared" si="244"/>
        <v>0</v>
      </c>
      <c r="AX417" s="857">
        <f t="shared" si="245"/>
        <v>0</v>
      </c>
      <c r="AY417" s="807">
        <f t="shared" si="246"/>
        <v>0</v>
      </c>
      <c r="AZ417" s="2934">
        <f t="shared" si="247"/>
        <v>0</v>
      </c>
      <c r="BA417" s="2934">
        <f t="shared" si="248"/>
        <v>0</v>
      </c>
      <c r="BB417" s="2934">
        <f t="shared" si="249"/>
        <v>0</v>
      </c>
      <c r="BC417" s="2934">
        <f t="shared" si="250"/>
        <v>0</v>
      </c>
      <c r="BD417" s="2934">
        <f t="shared" si="251"/>
        <v>0</v>
      </c>
      <c r="BE417" s="2934">
        <f t="shared" si="252"/>
        <v>0</v>
      </c>
      <c r="BF417" s="2934">
        <f t="shared" si="253"/>
        <v>0</v>
      </c>
      <c r="BG417" s="2934">
        <f t="shared" si="254"/>
        <v>0</v>
      </c>
      <c r="BH417" s="2934">
        <f t="shared" si="255"/>
        <v>0</v>
      </c>
      <c r="BI417" s="2934">
        <f t="shared" si="256"/>
        <v>0</v>
      </c>
      <c r="BJ417" s="2934">
        <f t="shared" si="257"/>
        <v>0</v>
      </c>
      <c r="BK417" s="2934">
        <f t="shared" si="258"/>
        <v>0</v>
      </c>
      <c r="BL417" s="2934">
        <f t="shared" si="259"/>
        <v>0</v>
      </c>
      <c r="BM417" s="2934">
        <f t="shared" si="260"/>
        <v>0</v>
      </c>
      <c r="BN417" s="2934">
        <f t="shared" si="261"/>
        <v>0</v>
      </c>
      <c r="BO417" s="2934">
        <f t="shared" si="262"/>
        <v>0</v>
      </c>
      <c r="BP417" s="2934">
        <f t="shared" si="263"/>
        <v>0</v>
      </c>
      <c r="BQ417" s="2934">
        <f t="shared" si="264"/>
        <v>0</v>
      </c>
      <c r="BR417" s="2934">
        <f t="shared" si="265"/>
        <v>0</v>
      </c>
      <c r="BS417" s="2934">
        <f t="shared" si="266"/>
        <v>0</v>
      </c>
      <c r="BT417" s="2982">
        <f t="shared" si="267"/>
        <v>0</v>
      </c>
    </row>
    <row r="418" spans="1:72">
      <c r="A418" s="874"/>
      <c r="B418" s="882"/>
      <c r="C418" s="882"/>
      <c r="D418" s="2933"/>
      <c r="E418" s="2934">
        <f t="shared" si="239"/>
        <v>0</v>
      </c>
      <c r="F418" s="2935"/>
      <c r="G418" s="2936">
        <f t="shared" si="240"/>
        <v>0</v>
      </c>
      <c r="H418" s="2937">
        <f t="shared" si="241"/>
        <v>0</v>
      </c>
      <c r="I418" s="2944"/>
      <c r="J418" s="2944"/>
      <c r="K418" s="2944"/>
      <c r="L418" s="2944"/>
      <c r="M418" s="2944"/>
      <c r="N418" s="2944"/>
      <c r="O418" s="2944"/>
      <c r="P418" s="2944"/>
      <c r="Q418" s="2944"/>
      <c r="R418" s="2944"/>
      <c r="S418" s="2944"/>
      <c r="T418" s="2944"/>
      <c r="U418" s="2944"/>
      <c r="V418" s="2944"/>
      <c r="W418" s="2944"/>
      <c r="X418" s="2944"/>
      <c r="Y418" s="2944"/>
      <c r="Z418" s="2944"/>
      <c r="AA418" s="2944"/>
      <c r="AB418" s="2944"/>
      <c r="AC418" s="2934">
        <f t="shared" si="242"/>
        <v>0</v>
      </c>
      <c r="AD418" s="2954"/>
      <c r="AE418" s="2954"/>
      <c r="AF418" s="2954"/>
      <c r="AG418" s="2954"/>
      <c r="AH418" s="2954"/>
      <c r="AI418" s="2954"/>
      <c r="AJ418" s="2954"/>
      <c r="AK418" s="2954"/>
      <c r="AL418" s="2954"/>
      <c r="AM418" s="2954"/>
      <c r="AN418" s="2954"/>
      <c r="AO418" s="2954"/>
      <c r="AP418" s="2954"/>
      <c r="AQ418" s="2954"/>
      <c r="AR418" s="2954"/>
      <c r="AS418" s="2954"/>
      <c r="AT418" s="2935"/>
      <c r="AU418" s="2964"/>
      <c r="AV418" s="857">
        <f t="shared" si="243"/>
        <v>0</v>
      </c>
      <c r="AW418" s="857">
        <f t="shared" si="244"/>
        <v>0</v>
      </c>
      <c r="AX418" s="857">
        <f t="shared" si="245"/>
        <v>0</v>
      </c>
      <c r="AY418" s="807">
        <f t="shared" si="246"/>
        <v>0</v>
      </c>
      <c r="AZ418" s="2934">
        <f t="shared" si="247"/>
        <v>0</v>
      </c>
      <c r="BA418" s="2934">
        <f t="shared" si="248"/>
        <v>0</v>
      </c>
      <c r="BB418" s="2934">
        <f t="shared" si="249"/>
        <v>0</v>
      </c>
      <c r="BC418" s="2934">
        <f t="shared" si="250"/>
        <v>0</v>
      </c>
      <c r="BD418" s="2934">
        <f t="shared" si="251"/>
        <v>0</v>
      </c>
      <c r="BE418" s="2934">
        <f t="shared" si="252"/>
        <v>0</v>
      </c>
      <c r="BF418" s="2934">
        <f t="shared" si="253"/>
        <v>0</v>
      </c>
      <c r="BG418" s="2934">
        <f t="shared" si="254"/>
        <v>0</v>
      </c>
      <c r="BH418" s="2934">
        <f t="shared" si="255"/>
        <v>0</v>
      </c>
      <c r="BI418" s="2934">
        <f t="shared" si="256"/>
        <v>0</v>
      </c>
      <c r="BJ418" s="2934">
        <f t="shared" si="257"/>
        <v>0</v>
      </c>
      <c r="BK418" s="2934">
        <f t="shared" si="258"/>
        <v>0</v>
      </c>
      <c r="BL418" s="2934">
        <f t="shared" si="259"/>
        <v>0</v>
      </c>
      <c r="BM418" s="2934">
        <f t="shared" si="260"/>
        <v>0</v>
      </c>
      <c r="BN418" s="2934">
        <f t="shared" si="261"/>
        <v>0</v>
      </c>
      <c r="BO418" s="2934">
        <f t="shared" si="262"/>
        <v>0</v>
      </c>
      <c r="BP418" s="2934">
        <f t="shared" si="263"/>
        <v>0</v>
      </c>
      <c r="BQ418" s="2934">
        <f t="shared" si="264"/>
        <v>0</v>
      </c>
      <c r="BR418" s="2934">
        <f t="shared" si="265"/>
        <v>0</v>
      </c>
      <c r="BS418" s="2934">
        <f t="shared" si="266"/>
        <v>0</v>
      </c>
      <c r="BT418" s="2982">
        <f t="shared" si="267"/>
        <v>0</v>
      </c>
    </row>
    <row r="419" spans="1:72">
      <c r="A419" s="874"/>
      <c r="B419" s="882"/>
      <c r="C419" s="882"/>
      <c r="D419" s="2933"/>
      <c r="E419" s="2934">
        <f t="shared" si="239"/>
        <v>0</v>
      </c>
      <c r="F419" s="2935"/>
      <c r="G419" s="2936">
        <f t="shared" si="240"/>
        <v>0</v>
      </c>
      <c r="H419" s="2937">
        <f t="shared" si="241"/>
        <v>0</v>
      </c>
      <c r="I419" s="2944"/>
      <c r="J419" s="2944"/>
      <c r="K419" s="2944"/>
      <c r="L419" s="2944"/>
      <c r="M419" s="2944"/>
      <c r="N419" s="2944"/>
      <c r="O419" s="2944"/>
      <c r="P419" s="2944"/>
      <c r="Q419" s="2944"/>
      <c r="R419" s="2944"/>
      <c r="S419" s="2944"/>
      <c r="T419" s="2944"/>
      <c r="U419" s="2944"/>
      <c r="V419" s="2944"/>
      <c r="W419" s="2944"/>
      <c r="X419" s="2944"/>
      <c r="Y419" s="2944"/>
      <c r="Z419" s="2944"/>
      <c r="AA419" s="2944"/>
      <c r="AB419" s="2944"/>
      <c r="AC419" s="2934">
        <f t="shared" si="242"/>
        <v>0</v>
      </c>
      <c r="AD419" s="2954"/>
      <c r="AE419" s="2954"/>
      <c r="AF419" s="2954"/>
      <c r="AG419" s="2954"/>
      <c r="AH419" s="2954"/>
      <c r="AI419" s="2954"/>
      <c r="AJ419" s="2954"/>
      <c r="AK419" s="2954"/>
      <c r="AL419" s="2954"/>
      <c r="AM419" s="2954"/>
      <c r="AN419" s="2954"/>
      <c r="AO419" s="2954"/>
      <c r="AP419" s="2954"/>
      <c r="AQ419" s="2954"/>
      <c r="AR419" s="2954"/>
      <c r="AS419" s="2954"/>
      <c r="AT419" s="2935"/>
      <c r="AU419" s="2964"/>
      <c r="AV419" s="857">
        <f t="shared" si="243"/>
        <v>0</v>
      </c>
      <c r="AW419" s="857">
        <f t="shared" si="244"/>
        <v>0</v>
      </c>
      <c r="AX419" s="857">
        <f t="shared" si="245"/>
        <v>0</v>
      </c>
      <c r="AY419" s="807">
        <f t="shared" si="246"/>
        <v>0</v>
      </c>
      <c r="AZ419" s="2934">
        <f t="shared" si="247"/>
        <v>0</v>
      </c>
      <c r="BA419" s="2934">
        <f t="shared" si="248"/>
        <v>0</v>
      </c>
      <c r="BB419" s="2934">
        <f t="shared" si="249"/>
        <v>0</v>
      </c>
      <c r="BC419" s="2934">
        <f t="shared" si="250"/>
        <v>0</v>
      </c>
      <c r="BD419" s="2934">
        <f t="shared" si="251"/>
        <v>0</v>
      </c>
      <c r="BE419" s="2934">
        <f t="shared" si="252"/>
        <v>0</v>
      </c>
      <c r="BF419" s="2934">
        <f t="shared" si="253"/>
        <v>0</v>
      </c>
      <c r="BG419" s="2934">
        <f t="shared" si="254"/>
        <v>0</v>
      </c>
      <c r="BH419" s="2934">
        <f t="shared" si="255"/>
        <v>0</v>
      </c>
      <c r="BI419" s="2934">
        <f t="shared" si="256"/>
        <v>0</v>
      </c>
      <c r="BJ419" s="2934">
        <f t="shared" si="257"/>
        <v>0</v>
      </c>
      <c r="BK419" s="2934">
        <f t="shared" si="258"/>
        <v>0</v>
      </c>
      <c r="BL419" s="2934">
        <f t="shared" si="259"/>
        <v>0</v>
      </c>
      <c r="BM419" s="2934">
        <f t="shared" si="260"/>
        <v>0</v>
      </c>
      <c r="BN419" s="2934">
        <f t="shared" si="261"/>
        <v>0</v>
      </c>
      <c r="BO419" s="2934">
        <f t="shared" si="262"/>
        <v>0</v>
      </c>
      <c r="BP419" s="2934">
        <f t="shared" si="263"/>
        <v>0</v>
      </c>
      <c r="BQ419" s="2934">
        <f t="shared" si="264"/>
        <v>0</v>
      </c>
      <c r="BR419" s="2934">
        <f t="shared" si="265"/>
        <v>0</v>
      </c>
      <c r="BS419" s="2934">
        <f t="shared" si="266"/>
        <v>0</v>
      </c>
      <c r="BT419" s="2982">
        <f t="shared" si="267"/>
        <v>0</v>
      </c>
    </row>
    <row r="420" spans="1:72">
      <c r="A420" s="874"/>
      <c r="B420" s="882"/>
      <c r="C420" s="882"/>
      <c r="D420" s="2933"/>
      <c r="E420" s="2934">
        <f t="shared" si="239"/>
        <v>0</v>
      </c>
      <c r="F420" s="2935"/>
      <c r="G420" s="2936">
        <f t="shared" si="240"/>
        <v>0</v>
      </c>
      <c r="H420" s="2937">
        <f t="shared" si="241"/>
        <v>0</v>
      </c>
      <c r="I420" s="2944"/>
      <c r="J420" s="2944"/>
      <c r="K420" s="2944"/>
      <c r="L420" s="2944"/>
      <c r="M420" s="2944"/>
      <c r="N420" s="2944"/>
      <c r="O420" s="2944"/>
      <c r="P420" s="2944"/>
      <c r="Q420" s="2944"/>
      <c r="R420" s="2944"/>
      <c r="S420" s="2944"/>
      <c r="T420" s="2944"/>
      <c r="U420" s="2944"/>
      <c r="V420" s="2944"/>
      <c r="W420" s="2944"/>
      <c r="X420" s="2944"/>
      <c r="Y420" s="2944"/>
      <c r="Z420" s="2944"/>
      <c r="AA420" s="2944"/>
      <c r="AB420" s="2944"/>
      <c r="AC420" s="2934">
        <f t="shared" si="242"/>
        <v>0</v>
      </c>
      <c r="AD420" s="2954"/>
      <c r="AE420" s="2954"/>
      <c r="AF420" s="2954"/>
      <c r="AG420" s="2954"/>
      <c r="AH420" s="2954"/>
      <c r="AI420" s="2954"/>
      <c r="AJ420" s="2954"/>
      <c r="AK420" s="2954"/>
      <c r="AL420" s="2954"/>
      <c r="AM420" s="2954"/>
      <c r="AN420" s="2954"/>
      <c r="AO420" s="2954"/>
      <c r="AP420" s="2954"/>
      <c r="AQ420" s="2954"/>
      <c r="AR420" s="2954"/>
      <c r="AS420" s="2954"/>
      <c r="AT420" s="2935"/>
      <c r="AU420" s="2964"/>
      <c r="AV420" s="857">
        <f t="shared" si="243"/>
        <v>0</v>
      </c>
      <c r="AW420" s="857">
        <f t="shared" si="244"/>
        <v>0</v>
      </c>
      <c r="AX420" s="857">
        <f t="shared" si="245"/>
        <v>0</v>
      </c>
      <c r="AY420" s="807">
        <f t="shared" si="246"/>
        <v>0</v>
      </c>
      <c r="AZ420" s="2934">
        <f t="shared" si="247"/>
        <v>0</v>
      </c>
      <c r="BA420" s="2934">
        <f t="shared" si="248"/>
        <v>0</v>
      </c>
      <c r="BB420" s="2934">
        <f t="shared" si="249"/>
        <v>0</v>
      </c>
      <c r="BC420" s="2934">
        <f t="shared" si="250"/>
        <v>0</v>
      </c>
      <c r="BD420" s="2934">
        <f t="shared" si="251"/>
        <v>0</v>
      </c>
      <c r="BE420" s="2934">
        <f t="shared" si="252"/>
        <v>0</v>
      </c>
      <c r="BF420" s="2934">
        <f t="shared" si="253"/>
        <v>0</v>
      </c>
      <c r="BG420" s="2934">
        <f t="shared" si="254"/>
        <v>0</v>
      </c>
      <c r="BH420" s="2934">
        <f t="shared" si="255"/>
        <v>0</v>
      </c>
      <c r="BI420" s="2934">
        <f t="shared" si="256"/>
        <v>0</v>
      </c>
      <c r="BJ420" s="2934">
        <f t="shared" si="257"/>
        <v>0</v>
      </c>
      <c r="BK420" s="2934">
        <f t="shared" si="258"/>
        <v>0</v>
      </c>
      <c r="BL420" s="2934">
        <f t="shared" si="259"/>
        <v>0</v>
      </c>
      <c r="BM420" s="2934">
        <f t="shared" si="260"/>
        <v>0</v>
      </c>
      <c r="BN420" s="2934">
        <f t="shared" si="261"/>
        <v>0</v>
      </c>
      <c r="BO420" s="2934">
        <f t="shared" si="262"/>
        <v>0</v>
      </c>
      <c r="BP420" s="2934">
        <f t="shared" si="263"/>
        <v>0</v>
      </c>
      <c r="BQ420" s="2934">
        <f t="shared" si="264"/>
        <v>0</v>
      </c>
      <c r="BR420" s="2934">
        <f t="shared" si="265"/>
        <v>0</v>
      </c>
      <c r="BS420" s="2934">
        <f t="shared" si="266"/>
        <v>0</v>
      </c>
      <c r="BT420" s="2982">
        <f t="shared" si="267"/>
        <v>0</v>
      </c>
    </row>
    <row r="421" spans="1:72">
      <c r="A421" s="874"/>
      <c r="B421" s="882"/>
      <c r="C421" s="882"/>
      <c r="D421" s="2933"/>
      <c r="E421" s="2934">
        <f t="shared" si="239"/>
        <v>0</v>
      </c>
      <c r="F421" s="2935"/>
      <c r="G421" s="2936">
        <f t="shared" si="240"/>
        <v>0</v>
      </c>
      <c r="H421" s="2937">
        <f t="shared" si="241"/>
        <v>0</v>
      </c>
      <c r="I421" s="2944"/>
      <c r="J421" s="2944"/>
      <c r="K421" s="2944"/>
      <c r="L421" s="2944"/>
      <c r="M421" s="2944"/>
      <c r="N421" s="2944"/>
      <c r="O421" s="2944"/>
      <c r="P421" s="2944"/>
      <c r="Q421" s="2944"/>
      <c r="R421" s="2944"/>
      <c r="S421" s="2944"/>
      <c r="T421" s="2944"/>
      <c r="U421" s="2944"/>
      <c r="V421" s="2944"/>
      <c r="W421" s="2944"/>
      <c r="X421" s="2944"/>
      <c r="Y421" s="2944"/>
      <c r="Z421" s="2944"/>
      <c r="AA421" s="2944"/>
      <c r="AB421" s="2944"/>
      <c r="AC421" s="2934">
        <f t="shared" si="242"/>
        <v>0</v>
      </c>
      <c r="AD421" s="2954"/>
      <c r="AE421" s="2954"/>
      <c r="AF421" s="2954"/>
      <c r="AG421" s="2954"/>
      <c r="AH421" s="2954"/>
      <c r="AI421" s="2954"/>
      <c r="AJ421" s="2954"/>
      <c r="AK421" s="2954"/>
      <c r="AL421" s="2954"/>
      <c r="AM421" s="2954"/>
      <c r="AN421" s="2954"/>
      <c r="AO421" s="2954"/>
      <c r="AP421" s="2954"/>
      <c r="AQ421" s="2954"/>
      <c r="AR421" s="2954"/>
      <c r="AS421" s="2954"/>
      <c r="AT421" s="2935"/>
      <c r="AU421" s="2964"/>
      <c r="AV421" s="857">
        <f t="shared" si="243"/>
        <v>0</v>
      </c>
      <c r="AW421" s="857">
        <f t="shared" si="244"/>
        <v>0</v>
      </c>
      <c r="AX421" s="857">
        <f t="shared" si="245"/>
        <v>0</v>
      </c>
      <c r="AY421" s="807">
        <f t="shared" si="246"/>
        <v>0</v>
      </c>
      <c r="AZ421" s="2934">
        <f t="shared" si="247"/>
        <v>0</v>
      </c>
      <c r="BA421" s="2934">
        <f t="shared" si="248"/>
        <v>0</v>
      </c>
      <c r="BB421" s="2934">
        <f t="shared" si="249"/>
        <v>0</v>
      </c>
      <c r="BC421" s="2934">
        <f t="shared" si="250"/>
        <v>0</v>
      </c>
      <c r="BD421" s="2934">
        <f t="shared" si="251"/>
        <v>0</v>
      </c>
      <c r="BE421" s="2934">
        <f t="shared" si="252"/>
        <v>0</v>
      </c>
      <c r="BF421" s="2934">
        <f t="shared" si="253"/>
        <v>0</v>
      </c>
      <c r="BG421" s="2934">
        <f t="shared" si="254"/>
        <v>0</v>
      </c>
      <c r="BH421" s="2934">
        <f t="shared" si="255"/>
        <v>0</v>
      </c>
      <c r="BI421" s="2934">
        <f t="shared" si="256"/>
        <v>0</v>
      </c>
      <c r="BJ421" s="2934">
        <f t="shared" si="257"/>
        <v>0</v>
      </c>
      <c r="BK421" s="2934">
        <f t="shared" si="258"/>
        <v>0</v>
      </c>
      <c r="BL421" s="2934">
        <f t="shared" si="259"/>
        <v>0</v>
      </c>
      <c r="BM421" s="2934">
        <f t="shared" si="260"/>
        <v>0</v>
      </c>
      <c r="BN421" s="2934">
        <f t="shared" si="261"/>
        <v>0</v>
      </c>
      <c r="BO421" s="2934">
        <f t="shared" si="262"/>
        <v>0</v>
      </c>
      <c r="BP421" s="2934">
        <f t="shared" si="263"/>
        <v>0</v>
      </c>
      <c r="BQ421" s="2934">
        <f t="shared" si="264"/>
        <v>0</v>
      </c>
      <c r="BR421" s="2934">
        <f t="shared" si="265"/>
        <v>0</v>
      </c>
      <c r="BS421" s="2934">
        <f t="shared" si="266"/>
        <v>0</v>
      </c>
      <c r="BT421" s="2982">
        <f t="shared" si="267"/>
        <v>0</v>
      </c>
    </row>
    <row r="422" spans="1:72">
      <c r="A422" s="874"/>
      <c r="B422" s="882"/>
      <c r="C422" s="882"/>
      <c r="D422" s="2933"/>
      <c r="E422" s="2934">
        <f t="shared" si="239"/>
        <v>0</v>
      </c>
      <c r="F422" s="2935"/>
      <c r="G422" s="2936">
        <f t="shared" si="240"/>
        <v>0</v>
      </c>
      <c r="H422" s="2937">
        <f t="shared" si="241"/>
        <v>0</v>
      </c>
      <c r="I422" s="2944"/>
      <c r="J422" s="2944"/>
      <c r="K422" s="2944"/>
      <c r="L422" s="2944"/>
      <c r="M422" s="2944"/>
      <c r="N422" s="2944"/>
      <c r="O422" s="2944"/>
      <c r="P422" s="2944"/>
      <c r="Q422" s="2944"/>
      <c r="R422" s="2944"/>
      <c r="S422" s="2944"/>
      <c r="T422" s="2944"/>
      <c r="U422" s="2944"/>
      <c r="V422" s="2944"/>
      <c r="W422" s="2944"/>
      <c r="X422" s="2944"/>
      <c r="Y422" s="2944"/>
      <c r="Z422" s="2944"/>
      <c r="AA422" s="2944"/>
      <c r="AB422" s="2944"/>
      <c r="AC422" s="2934">
        <f t="shared" si="242"/>
        <v>0</v>
      </c>
      <c r="AD422" s="2954"/>
      <c r="AE422" s="2954"/>
      <c r="AF422" s="2954"/>
      <c r="AG422" s="2954"/>
      <c r="AH422" s="2954"/>
      <c r="AI422" s="2954"/>
      <c r="AJ422" s="2954"/>
      <c r="AK422" s="2954"/>
      <c r="AL422" s="2954"/>
      <c r="AM422" s="2954"/>
      <c r="AN422" s="2954"/>
      <c r="AO422" s="2954"/>
      <c r="AP422" s="2954"/>
      <c r="AQ422" s="2954"/>
      <c r="AR422" s="2954"/>
      <c r="AS422" s="2954"/>
      <c r="AT422" s="2935"/>
      <c r="AU422" s="2964"/>
      <c r="AV422" s="857">
        <f t="shared" si="243"/>
        <v>0</v>
      </c>
      <c r="AW422" s="857">
        <f t="shared" si="244"/>
        <v>0</v>
      </c>
      <c r="AX422" s="857">
        <f t="shared" si="245"/>
        <v>0</v>
      </c>
      <c r="AY422" s="807">
        <f t="shared" si="246"/>
        <v>0</v>
      </c>
      <c r="AZ422" s="2934">
        <f t="shared" si="247"/>
        <v>0</v>
      </c>
      <c r="BA422" s="2934">
        <f t="shared" si="248"/>
        <v>0</v>
      </c>
      <c r="BB422" s="2934">
        <f t="shared" si="249"/>
        <v>0</v>
      </c>
      <c r="BC422" s="2934">
        <f t="shared" si="250"/>
        <v>0</v>
      </c>
      <c r="BD422" s="2934">
        <f t="shared" si="251"/>
        <v>0</v>
      </c>
      <c r="BE422" s="2934">
        <f t="shared" si="252"/>
        <v>0</v>
      </c>
      <c r="BF422" s="2934">
        <f t="shared" si="253"/>
        <v>0</v>
      </c>
      <c r="BG422" s="2934">
        <f t="shared" si="254"/>
        <v>0</v>
      </c>
      <c r="BH422" s="2934">
        <f t="shared" si="255"/>
        <v>0</v>
      </c>
      <c r="BI422" s="2934">
        <f t="shared" si="256"/>
        <v>0</v>
      </c>
      <c r="BJ422" s="2934">
        <f t="shared" si="257"/>
        <v>0</v>
      </c>
      <c r="BK422" s="2934">
        <f t="shared" si="258"/>
        <v>0</v>
      </c>
      <c r="BL422" s="2934">
        <f t="shared" si="259"/>
        <v>0</v>
      </c>
      <c r="BM422" s="2934">
        <f t="shared" si="260"/>
        <v>0</v>
      </c>
      <c r="BN422" s="2934">
        <f t="shared" si="261"/>
        <v>0</v>
      </c>
      <c r="BO422" s="2934">
        <f t="shared" si="262"/>
        <v>0</v>
      </c>
      <c r="BP422" s="2934">
        <f t="shared" si="263"/>
        <v>0</v>
      </c>
      <c r="BQ422" s="2934">
        <f t="shared" si="264"/>
        <v>0</v>
      </c>
      <c r="BR422" s="2934">
        <f t="shared" si="265"/>
        <v>0</v>
      </c>
      <c r="BS422" s="2934">
        <f t="shared" si="266"/>
        <v>0</v>
      </c>
      <c r="BT422" s="2982">
        <f t="shared" si="267"/>
        <v>0</v>
      </c>
    </row>
    <row r="423" spans="1:72">
      <c r="A423" s="874"/>
      <c r="B423" s="882"/>
      <c r="C423" s="882"/>
      <c r="D423" s="2933"/>
      <c r="E423" s="2934">
        <f t="shared" si="239"/>
        <v>0</v>
      </c>
      <c r="F423" s="2935"/>
      <c r="G423" s="2936">
        <f t="shared" si="240"/>
        <v>0</v>
      </c>
      <c r="H423" s="2937">
        <f t="shared" si="241"/>
        <v>0</v>
      </c>
      <c r="I423" s="2944"/>
      <c r="J423" s="2944"/>
      <c r="K423" s="2944"/>
      <c r="L423" s="2944"/>
      <c r="M423" s="2944"/>
      <c r="N423" s="2944"/>
      <c r="O423" s="2944"/>
      <c r="P423" s="2944"/>
      <c r="Q423" s="2944"/>
      <c r="R423" s="2944"/>
      <c r="S423" s="2944"/>
      <c r="T423" s="2944"/>
      <c r="U423" s="2944"/>
      <c r="V423" s="2944"/>
      <c r="W423" s="2944"/>
      <c r="X423" s="2944"/>
      <c r="Y423" s="2944"/>
      <c r="Z423" s="2944"/>
      <c r="AA423" s="2944"/>
      <c r="AB423" s="2944"/>
      <c r="AC423" s="2934">
        <f t="shared" si="242"/>
        <v>0</v>
      </c>
      <c r="AD423" s="2954"/>
      <c r="AE423" s="2954"/>
      <c r="AF423" s="2954"/>
      <c r="AG423" s="2954"/>
      <c r="AH423" s="2954"/>
      <c r="AI423" s="2954"/>
      <c r="AJ423" s="2954"/>
      <c r="AK423" s="2954"/>
      <c r="AL423" s="2954"/>
      <c r="AM423" s="2954"/>
      <c r="AN423" s="2954"/>
      <c r="AO423" s="2954"/>
      <c r="AP423" s="2954"/>
      <c r="AQ423" s="2954"/>
      <c r="AR423" s="2954"/>
      <c r="AS423" s="2954"/>
      <c r="AT423" s="2935"/>
      <c r="AU423" s="2964"/>
      <c r="AV423" s="857">
        <f t="shared" si="243"/>
        <v>0</v>
      </c>
      <c r="AW423" s="857">
        <f t="shared" si="244"/>
        <v>0</v>
      </c>
      <c r="AX423" s="857">
        <f t="shared" si="245"/>
        <v>0</v>
      </c>
      <c r="AY423" s="807">
        <f t="shared" si="246"/>
        <v>0</v>
      </c>
      <c r="AZ423" s="2934">
        <f t="shared" si="247"/>
        <v>0</v>
      </c>
      <c r="BA423" s="2934">
        <f t="shared" si="248"/>
        <v>0</v>
      </c>
      <c r="BB423" s="2934">
        <f t="shared" si="249"/>
        <v>0</v>
      </c>
      <c r="BC423" s="2934">
        <f t="shared" si="250"/>
        <v>0</v>
      </c>
      <c r="BD423" s="2934">
        <f t="shared" si="251"/>
        <v>0</v>
      </c>
      <c r="BE423" s="2934">
        <f t="shared" si="252"/>
        <v>0</v>
      </c>
      <c r="BF423" s="2934">
        <f t="shared" si="253"/>
        <v>0</v>
      </c>
      <c r="BG423" s="2934">
        <f t="shared" si="254"/>
        <v>0</v>
      </c>
      <c r="BH423" s="2934">
        <f t="shared" si="255"/>
        <v>0</v>
      </c>
      <c r="BI423" s="2934">
        <f t="shared" si="256"/>
        <v>0</v>
      </c>
      <c r="BJ423" s="2934">
        <f t="shared" si="257"/>
        <v>0</v>
      </c>
      <c r="BK423" s="2934">
        <f t="shared" si="258"/>
        <v>0</v>
      </c>
      <c r="BL423" s="2934">
        <f t="shared" si="259"/>
        <v>0</v>
      </c>
      <c r="BM423" s="2934">
        <f t="shared" si="260"/>
        <v>0</v>
      </c>
      <c r="BN423" s="2934">
        <f t="shared" si="261"/>
        <v>0</v>
      </c>
      <c r="BO423" s="2934">
        <f t="shared" si="262"/>
        <v>0</v>
      </c>
      <c r="BP423" s="2934">
        <f t="shared" si="263"/>
        <v>0</v>
      </c>
      <c r="BQ423" s="2934">
        <f t="shared" si="264"/>
        <v>0</v>
      </c>
      <c r="BR423" s="2934">
        <f t="shared" si="265"/>
        <v>0</v>
      </c>
      <c r="BS423" s="2934">
        <f t="shared" si="266"/>
        <v>0</v>
      </c>
      <c r="BT423" s="2982">
        <f t="shared" si="267"/>
        <v>0</v>
      </c>
    </row>
    <row r="424" spans="1:72">
      <c r="A424" s="874"/>
      <c r="B424" s="882"/>
      <c r="C424" s="882"/>
      <c r="D424" s="2933"/>
      <c r="E424" s="2934">
        <f t="shared" si="239"/>
        <v>0</v>
      </c>
      <c r="F424" s="2935"/>
      <c r="G424" s="2936">
        <f t="shared" si="240"/>
        <v>0</v>
      </c>
      <c r="H424" s="2937">
        <f t="shared" si="241"/>
        <v>0</v>
      </c>
      <c r="I424" s="2944"/>
      <c r="J424" s="2944"/>
      <c r="K424" s="2944"/>
      <c r="L424" s="2944"/>
      <c r="M424" s="2944"/>
      <c r="N424" s="2944"/>
      <c r="O424" s="2944"/>
      <c r="P424" s="2944"/>
      <c r="Q424" s="2944"/>
      <c r="R424" s="2944"/>
      <c r="S424" s="2944"/>
      <c r="T424" s="2944"/>
      <c r="U424" s="2944"/>
      <c r="V424" s="2944"/>
      <c r="W424" s="2944"/>
      <c r="X424" s="2944"/>
      <c r="Y424" s="2944"/>
      <c r="Z424" s="2944"/>
      <c r="AA424" s="2944"/>
      <c r="AB424" s="2944"/>
      <c r="AC424" s="2934">
        <f t="shared" si="242"/>
        <v>0</v>
      </c>
      <c r="AD424" s="2954"/>
      <c r="AE424" s="2954"/>
      <c r="AF424" s="2954"/>
      <c r="AG424" s="2954"/>
      <c r="AH424" s="2954"/>
      <c r="AI424" s="2954"/>
      <c r="AJ424" s="2954"/>
      <c r="AK424" s="2954"/>
      <c r="AL424" s="2954"/>
      <c r="AM424" s="2954"/>
      <c r="AN424" s="2954"/>
      <c r="AO424" s="2954"/>
      <c r="AP424" s="2954"/>
      <c r="AQ424" s="2954"/>
      <c r="AR424" s="2954"/>
      <c r="AS424" s="2954"/>
      <c r="AT424" s="2935"/>
      <c r="AU424" s="2964"/>
      <c r="AV424" s="857">
        <f t="shared" si="243"/>
        <v>0</v>
      </c>
      <c r="AW424" s="857">
        <f t="shared" si="244"/>
        <v>0</v>
      </c>
      <c r="AX424" s="857">
        <f t="shared" si="245"/>
        <v>0</v>
      </c>
      <c r="AY424" s="807">
        <f t="shared" si="246"/>
        <v>0</v>
      </c>
      <c r="AZ424" s="2934">
        <f t="shared" si="247"/>
        <v>0</v>
      </c>
      <c r="BA424" s="2934">
        <f t="shared" si="248"/>
        <v>0</v>
      </c>
      <c r="BB424" s="2934">
        <f t="shared" si="249"/>
        <v>0</v>
      </c>
      <c r="BC424" s="2934">
        <f t="shared" si="250"/>
        <v>0</v>
      </c>
      <c r="BD424" s="2934">
        <f t="shared" si="251"/>
        <v>0</v>
      </c>
      <c r="BE424" s="2934">
        <f t="shared" si="252"/>
        <v>0</v>
      </c>
      <c r="BF424" s="2934">
        <f t="shared" si="253"/>
        <v>0</v>
      </c>
      <c r="BG424" s="2934">
        <f t="shared" si="254"/>
        <v>0</v>
      </c>
      <c r="BH424" s="2934">
        <f t="shared" si="255"/>
        <v>0</v>
      </c>
      <c r="BI424" s="2934">
        <f t="shared" si="256"/>
        <v>0</v>
      </c>
      <c r="BJ424" s="2934">
        <f t="shared" si="257"/>
        <v>0</v>
      </c>
      <c r="BK424" s="2934">
        <f t="shared" si="258"/>
        <v>0</v>
      </c>
      <c r="BL424" s="2934">
        <f t="shared" si="259"/>
        <v>0</v>
      </c>
      <c r="BM424" s="2934">
        <f t="shared" si="260"/>
        <v>0</v>
      </c>
      <c r="BN424" s="2934">
        <f t="shared" si="261"/>
        <v>0</v>
      </c>
      <c r="BO424" s="2934">
        <f t="shared" si="262"/>
        <v>0</v>
      </c>
      <c r="BP424" s="2934">
        <f t="shared" si="263"/>
        <v>0</v>
      </c>
      <c r="BQ424" s="2934">
        <f t="shared" si="264"/>
        <v>0</v>
      </c>
      <c r="BR424" s="2934">
        <f t="shared" si="265"/>
        <v>0</v>
      </c>
      <c r="BS424" s="2934">
        <f t="shared" si="266"/>
        <v>0</v>
      </c>
      <c r="BT424" s="2982">
        <f t="shared" si="267"/>
        <v>0</v>
      </c>
    </row>
    <row r="425" spans="1:72">
      <c r="A425" s="874"/>
      <c r="B425" s="882"/>
      <c r="C425" s="882"/>
      <c r="D425" s="2933"/>
      <c r="E425" s="2934">
        <f t="shared" si="239"/>
        <v>0</v>
      </c>
      <c r="F425" s="2935"/>
      <c r="G425" s="2936">
        <f t="shared" si="240"/>
        <v>0</v>
      </c>
      <c r="H425" s="2937">
        <f t="shared" si="241"/>
        <v>0</v>
      </c>
      <c r="I425" s="2944"/>
      <c r="J425" s="2944"/>
      <c r="K425" s="2944"/>
      <c r="L425" s="2944"/>
      <c r="M425" s="2944"/>
      <c r="N425" s="2944"/>
      <c r="O425" s="2944"/>
      <c r="P425" s="2944"/>
      <c r="Q425" s="2944"/>
      <c r="R425" s="2944"/>
      <c r="S425" s="2944"/>
      <c r="T425" s="2944"/>
      <c r="U425" s="2944"/>
      <c r="V425" s="2944"/>
      <c r="W425" s="2944"/>
      <c r="X425" s="2944"/>
      <c r="Y425" s="2944"/>
      <c r="Z425" s="2944"/>
      <c r="AA425" s="2944"/>
      <c r="AB425" s="2944"/>
      <c r="AC425" s="2934">
        <f t="shared" si="242"/>
        <v>0</v>
      </c>
      <c r="AD425" s="2954"/>
      <c r="AE425" s="2954"/>
      <c r="AF425" s="2954"/>
      <c r="AG425" s="2954"/>
      <c r="AH425" s="2954"/>
      <c r="AI425" s="2954"/>
      <c r="AJ425" s="2954"/>
      <c r="AK425" s="2954"/>
      <c r="AL425" s="2954"/>
      <c r="AM425" s="2954"/>
      <c r="AN425" s="2954"/>
      <c r="AO425" s="2954"/>
      <c r="AP425" s="2954"/>
      <c r="AQ425" s="2954"/>
      <c r="AR425" s="2954"/>
      <c r="AS425" s="2954"/>
      <c r="AT425" s="2935"/>
      <c r="AU425" s="2964"/>
      <c r="AV425" s="857">
        <f t="shared" si="243"/>
        <v>0</v>
      </c>
      <c r="AW425" s="857">
        <f t="shared" si="244"/>
        <v>0</v>
      </c>
      <c r="AX425" s="857">
        <f t="shared" si="245"/>
        <v>0</v>
      </c>
      <c r="AY425" s="807">
        <f t="shared" si="246"/>
        <v>0</v>
      </c>
      <c r="AZ425" s="2934">
        <f t="shared" si="247"/>
        <v>0</v>
      </c>
      <c r="BA425" s="2934">
        <f t="shared" si="248"/>
        <v>0</v>
      </c>
      <c r="BB425" s="2934">
        <f t="shared" si="249"/>
        <v>0</v>
      </c>
      <c r="BC425" s="2934">
        <f t="shared" si="250"/>
        <v>0</v>
      </c>
      <c r="BD425" s="2934">
        <f t="shared" si="251"/>
        <v>0</v>
      </c>
      <c r="BE425" s="2934">
        <f t="shared" si="252"/>
        <v>0</v>
      </c>
      <c r="BF425" s="2934">
        <f t="shared" si="253"/>
        <v>0</v>
      </c>
      <c r="BG425" s="2934">
        <f t="shared" si="254"/>
        <v>0</v>
      </c>
      <c r="BH425" s="2934">
        <f t="shared" si="255"/>
        <v>0</v>
      </c>
      <c r="BI425" s="2934">
        <f t="shared" si="256"/>
        <v>0</v>
      </c>
      <c r="BJ425" s="2934">
        <f t="shared" si="257"/>
        <v>0</v>
      </c>
      <c r="BK425" s="2934">
        <f t="shared" si="258"/>
        <v>0</v>
      </c>
      <c r="BL425" s="2934">
        <f t="shared" si="259"/>
        <v>0</v>
      </c>
      <c r="BM425" s="2934">
        <f t="shared" si="260"/>
        <v>0</v>
      </c>
      <c r="BN425" s="2934">
        <f t="shared" si="261"/>
        <v>0</v>
      </c>
      <c r="BO425" s="2934">
        <f t="shared" si="262"/>
        <v>0</v>
      </c>
      <c r="BP425" s="2934">
        <f t="shared" si="263"/>
        <v>0</v>
      </c>
      <c r="BQ425" s="2934">
        <f t="shared" si="264"/>
        <v>0</v>
      </c>
      <c r="BR425" s="2934">
        <f t="shared" si="265"/>
        <v>0</v>
      </c>
      <c r="BS425" s="2934">
        <f t="shared" si="266"/>
        <v>0</v>
      </c>
      <c r="BT425" s="2982">
        <f t="shared" si="267"/>
        <v>0</v>
      </c>
    </row>
    <row r="426" spans="1:72">
      <c r="A426" s="874"/>
      <c r="B426" s="882"/>
      <c r="C426" s="882"/>
      <c r="D426" s="2933"/>
      <c r="E426" s="2934">
        <f t="shared" si="239"/>
        <v>0</v>
      </c>
      <c r="F426" s="2935"/>
      <c r="G426" s="2936">
        <f t="shared" si="240"/>
        <v>0</v>
      </c>
      <c r="H426" s="2937">
        <f t="shared" si="241"/>
        <v>0</v>
      </c>
      <c r="I426" s="2944"/>
      <c r="J426" s="2944"/>
      <c r="K426" s="2944"/>
      <c r="L426" s="2944"/>
      <c r="M426" s="2944"/>
      <c r="N426" s="2944"/>
      <c r="O426" s="2944"/>
      <c r="P426" s="2944"/>
      <c r="Q426" s="2944"/>
      <c r="R426" s="2944"/>
      <c r="S426" s="2944"/>
      <c r="T426" s="2944"/>
      <c r="U426" s="2944"/>
      <c r="V426" s="2944"/>
      <c r="W426" s="2944"/>
      <c r="X426" s="2944"/>
      <c r="Y426" s="2944"/>
      <c r="Z426" s="2944"/>
      <c r="AA426" s="2944"/>
      <c r="AB426" s="2944"/>
      <c r="AC426" s="2934">
        <f t="shared" si="242"/>
        <v>0</v>
      </c>
      <c r="AD426" s="2954"/>
      <c r="AE426" s="2954"/>
      <c r="AF426" s="2954"/>
      <c r="AG426" s="2954"/>
      <c r="AH426" s="2954"/>
      <c r="AI426" s="2954"/>
      <c r="AJ426" s="2954"/>
      <c r="AK426" s="2954"/>
      <c r="AL426" s="2954"/>
      <c r="AM426" s="2954"/>
      <c r="AN426" s="2954"/>
      <c r="AO426" s="2954"/>
      <c r="AP426" s="2954"/>
      <c r="AQ426" s="2954"/>
      <c r="AR426" s="2954"/>
      <c r="AS426" s="2954"/>
      <c r="AT426" s="2935"/>
      <c r="AU426" s="2964"/>
      <c r="AV426" s="857">
        <f t="shared" si="243"/>
        <v>0</v>
      </c>
      <c r="AW426" s="857">
        <f t="shared" si="244"/>
        <v>0</v>
      </c>
      <c r="AX426" s="857">
        <f t="shared" si="245"/>
        <v>0</v>
      </c>
      <c r="AY426" s="807">
        <f t="shared" si="246"/>
        <v>0</v>
      </c>
      <c r="AZ426" s="2934">
        <f t="shared" si="247"/>
        <v>0</v>
      </c>
      <c r="BA426" s="2934">
        <f t="shared" si="248"/>
        <v>0</v>
      </c>
      <c r="BB426" s="2934">
        <f t="shared" si="249"/>
        <v>0</v>
      </c>
      <c r="BC426" s="2934">
        <f t="shared" si="250"/>
        <v>0</v>
      </c>
      <c r="BD426" s="2934">
        <f t="shared" si="251"/>
        <v>0</v>
      </c>
      <c r="BE426" s="2934">
        <f t="shared" si="252"/>
        <v>0</v>
      </c>
      <c r="BF426" s="2934">
        <f t="shared" si="253"/>
        <v>0</v>
      </c>
      <c r="BG426" s="2934">
        <f t="shared" si="254"/>
        <v>0</v>
      </c>
      <c r="BH426" s="2934">
        <f t="shared" si="255"/>
        <v>0</v>
      </c>
      <c r="BI426" s="2934">
        <f t="shared" si="256"/>
        <v>0</v>
      </c>
      <c r="BJ426" s="2934">
        <f t="shared" si="257"/>
        <v>0</v>
      </c>
      <c r="BK426" s="2934">
        <f t="shared" si="258"/>
        <v>0</v>
      </c>
      <c r="BL426" s="2934">
        <f t="shared" si="259"/>
        <v>0</v>
      </c>
      <c r="BM426" s="2934">
        <f t="shared" si="260"/>
        <v>0</v>
      </c>
      <c r="BN426" s="2934">
        <f t="shared" si="261"/>
        <v>0</v>
      </c>
      <c r="BO426" s="2934">
        <f t="shared" si="262"/>
        <v>0</v>
      </c>
      <c r="BP426" s="2934">
        <f t="shared" si="263"/>
        <v>0</v>
      </c>
      <c r="BQ426" s="2934">
        <f t="shared" si="264"/>
        <v>0</v>
      </c>
      <c r="BR426" s="2934">
        <f t="shared" si="265"/>
        <v>0</v>
      </c>
      <c r="BS426" s="2934">
        <f t="shared" si="266"/>
        <v>0</v>
      </c>
      <c r="BT426" s="2982">
        <f t="shared" si="267"/>
        <v>0</v>
      </c>
    </row>
    <row r="427" spans="1:72">
      <c r="A427" s="874"/>
      <c r="B427" s="882"/>
      <c r="C427" s="882"/>
      <c r="D427" s="2933"/>
      <c r="E427" s="2934">
        <f t="shared" si="239"/>
        <v>0</v>
      </c>
      <c r="F427" s="2935"/>
      <c r="G427" s="2936">
        <f t="shared" si="240"/>
        <v>0</v>
      </c>
      <c r="H427" s="2937">
        <f t="shared" si="241"/>
        <v>0</v>
      </c>
      <c r="I427" s="2944"/>
      <c r="J427" s="2944"/>
      <c r="K427" s="2944"/>
      <c r="L427" s="2944"/>
      <c r="M427" s="2944"/>
      <c r="N427" s="2944"/>
      <c r="O427" s="2944"/>
      <c r="P427" s="2944"/>
      <c r="Q427" s="2944"/>
      <c r="R427" s="2944"/>
      <c r="S427" s="2944"/>
      <c r="T427" s="2944"/>
      <c r="U427" s="2944"/>
      <c r="V427" s="2944"/>
      <c r="W427" s="2944"/>
      <c r="X427" s="2944"/>
      <c r="Y427" s="2944"/>
      <c r="Z427" s="2944"/>
      <c r="AA427" s="2944"/>
      <c r="AB427" s="2944"/>
      <c r="AC427" s="2934">
        <f t="shared" si="242"/>
        <v>0</v>
      </c>
      <c r="AD427" s="2954"/>
      <c r="AE427" s="2954"/>
      <c r="AF427" s="2954"/>
      <c r="AG427" s="2954"/>
      <c r="AH427" s="2954"/>
      <c r="AI427" s="2954"/>
      <c r="AJ427" s="2954"/>
      <c r="AK427" s="2954"/>
      <c r="AL427" s="2954"/>
      <c r="AM427" s="2954"/>
      <c r="AN427" s="2954"/>
      <c r="AO427" s="2954"/>
      <c r="AP427" s="2954"/>
      <c r="AQ427" s="2954"/>
      <c r="AR427" s="2954"/>
      <c r="AS427" s="2954"/>
      <c r="AT427" s="2935"/>
      <c r="AU427" s="2964"/>
      <c r="AV427" s="857">
        <f t="shared" si="243"/>
        <v>0</v>
      </c>
      <c r="AW427" s="857">
        <f t="shared" si="244"/>
        <v>0</v>
      </c>
      <c r="AX427" s="857">
        <f t="shared" si="245"/>
        <v>0</v>
      </c>
      <c r="AY427" s="807">
        <f t="shared" si="246"/>
        <v>0</v>
      </c>
      <c r="AZ427" s="2934">
        <f t="shared" si="247"/>
        <v>0</v>
      </c>
      <c r="BA427" s="2934">
        <f t="shared" si="248"/>
        <v>0</v>
      </c>
      <c r="BB427" s="2934">
        <f t="shared" si="249"/>
        <v>0</v>
      </c>
      <c r="BC427" s="2934">
        <f t="shared" si="250"/>
        <v>0</v>
      </c>
      <c r="BD427" s="2934">
        <f t="shared" si="251"/>
        <v>0</v>
      </c>
      <c r="BE427" s="2934">
        <f t="shared" si="252"/>
        <v>0</v>
      </c>
      <c r="BF427" s="2934">
        <f t="shared" si="253"/>
        <v>0</v>
      </c>
      <c r="BG427" s="2934">
        <f t="shared" si="254"/>
        <v>0</v>
      </c>
      <c r="BH427" s="2934">
        <f t="shared" si="255"/>
        <v>0</v>
      </c>
      <c r="BI427" s="2934">
        <f t="shared" si="256"/>
        <v>0</v>
      </c>
      <c r="BJ427" s="2934">
        <f t="shared" si="257"/>
        <v>0</v>
      </c>
      <c r="BK427" s="2934">
        <f t="shared" si="258"/>
        <v>0</v>
      </c>
      <c r="BL427" s="2934">
        <f t="shared" si="259"/>
        <v>0</v>
      </c>
      <c r="BM427" s="2934">
        <f t="shared" si="260"/>
        <v>0</v>
      </c>
      <c r="BN427" s="2934">
        <f t="shared" si="261"/>
        <v>0</v>
      </c>
      <c r="BO427" s="2934">
        <f t="shared" si="262"/>
        <v>0</v>
      </c>
      <c r="BP427" s="2934">
        <f t="shared" si="263"/>
        <v>0</v>
      </c>
      <c r="BQ427" s="2934">
        <f t="shared" si="264"/>
        <v>0</v>
      </c>
      <c r="BR427" s="2934">
        <f t="shared" si="265"/>
        <v>0</v>
      </c>
      <c r="BS427" s="2934">
        <f t="shared" si="266"/>
        <v>0</v>
      </c>
      <c r="BT427" s="2982">
        <f t="shared" si="267"/>
        <v>0</v>
      </c>
    </row>
    <row r="428" spans="1:72">
      <c r="A428" s="874"/>
      <c r="B428" s="882"/>
      <c r="C428" s="882"/>
      <c r="D428" s="2933"/>
      <c r="E428" s="2934">
        <f t="shared" si="239"/>
        <v>0</v>
      </c>
      <c r="F428" s="2935"/>
      <c r="G428" s="2936">
        <f t="shared" si="240"/>
        <v>0</v>
      </c>
      <c r="H428" s="2937">
        <f t="shared" si="241"/>
        <v>0</v>
      </c>
      <c r="I428" s="2944"/>
      <c r="J428" s="2944"/>
      <c r="K428" s="2944"/>
      <c r="L428" s="2944"/>
      <c r="M428" s="2944"/>
      <c r="N428" s="2944"/>
      <c r="O428" s="2944"/>
      <c r="P428" s="2944"/>
      <c r="Q428" s="2944"/>
      <c r="R428" s="2944"/>
      <c r="S428" s="2944"/>
      <c r="T428" s="2944"/>
      <c r="U428" s="2944"/>
      <c r="V428" s="2944"/>
      <c r="W428" s="2944"/>
      <c r="X428" s="2944"/>
      <c r="Y428" s="2944"/>
      <c r="Z428" s="2944"/>
      <c r="AA428" s="2944"/>
      <c r="AB428" s="2944"/>
      <c r="AC428" s="2934">
        <f t="shared" si="242"/>
        <v>0</v>
      </c>
      <c r="AD428" s="2954"/>
      <c r="AE428" s="2954"/>
      <c r="AF428" s="2954"/>
      <c r="AG428" s="2954"/>
      <c r="AH428" s="2954"/>
      <c r="AI428" s="2954"/>
      <c r="AJ428" s="2954"/>
      <c r="AK428" s="2954"/>
      <c r="AL428" s="2954"/>
      <c r="AM428" s="2954"/>
      <c r="AN428" s="2954"/>
      <c r="AO428" s="2954"/>
      <c r="AP428" s="2954"/>
      <c r="AQ428" s="2954"/>
      <c r="AR428" s="2954"/>
      <c r="AS428" s="2954"/>
      <c r="AT428" s="2935"/>
      <c r="AU428" s="2964"/>
      <c r="AV428" s="857">
        <f t="shared" si="243"/>
        <v>0</v>
      </c>
      <c r="AW428" s="857">
        <f t="shared" si="244"/>
        <v>0</v>
      </c>
      <c r="AX428" s="857">
        <f t="shared" si="245"/>
        <v>0</v>
      </c>
      <c r="AY428" s="807">
        <f t="shared" si="246"/>
        <v>0</v>
      </c>
      <c r="AZ428" s="2934">
        <f t="shared" si="247"/>
        <v>0</v>
      </c>
      <c r="BA428" s="2934">
        <f t="shared" si="248"/>
        <v>0</v>
      </c>
      <c r="BB428" s="2934">
        <f t="shared" si="249"/>
        <v>0</v>
      </c>
      <c r="BC428" s="2934">
        <f t="shared" si="250"/>
        <v>0</v>
      </c>
      <c r="BD428" s="2934">
        <f t="shared" si="251"/>
        <v>0</v>
      </c>
      <c r="BE428" s="2934">
        <f t="shared" si="252"/>
        <v>0</v>
      </c>
      <c r="BF428" s="2934">
        <f t="shared" si="253"/>
        <v>0</v>
      </c>
      <c r="BG428" s="2934">
        <f t="shared" si="254"/>
        <v>0</v>
      </c>
      <c r="BH428" s="2934">
        <f t="shared" si="255"/>
        <v>0</v>
      </c>
      <c r="BI428" s="2934">
        <f t="shared" si="256"/>
        <v>0</v>
      </c>
      <c r="BJ428" s="2934">
        <f t="shared" si="257"/>
        <v>0</v>
      </c>
      <c r="BK428" s="2934">
        <f t="shared" si="258"/>
        <v>0</v>
      </c>
      <c r="BL428" s="2934">
        <f t="shared" si="259"/>
        <v>0</v>
      </c>
      <c r="BM428" s="2934">
        <f t="shared" si="260"/>
        <v>0</v>
      </c>
      <c r="BN428" s="2934">
        <f t="shared" si="261"/>
        <v>0</v>
      </c>
      <c r="BO428" s="2934">
        <f t="shared" si="262"/>
        <v>0</v>
      </c>
      <c r="BP428" s="2934">
        <f t="shared" si="263"/>
        <v>0</v>
      </c>
      <c r="BQ428" s="2934">
        <f t="shared" si="264"/>
        <v>0</v>
      </c>
      <c r="BR428" s="2934">
        <f t="shared" si="265"/>
        <v>0</v>
      </c>
      <c r="BS428" s="2934">
        <f t="shared" si="266"/>
        <v>0</v>
      </c>
      <c r="BT428" s="2982">
        <f t="shared" si="267"/>
        <v>0</v>
      </c>
    </row>
    <row r="429" spans="1:72">
      <c r="A429" s="874"/>
      <c r="B429" s="882"/>
      <c r="C429" s="882"/>
      <c r="D429" s="2933"/>
      <c r="E429" s="2934">
        <f t="shared" si="239"/>
        <v>0</v>
      </c>
      <c r="F429" s="2935"/>
      <c r="G429" s="2936">
        <f t="shared" si="240"/>
        <v>0</v>
      </c>
      <c r="H429" s="2937">
        <f t="shared" si="241"/>
        <v>0</v>
      </c>
      <c r="I429" s="2944"/>
      <c r="J429" s="2944"/>
      <c r="K429" s="2944"/>
      <c r="L429" s="2944"/>
      <c r="M429" s="2944"/>
      <c r="N429" s="2944"/>
      <c r="O429" s="2944"/>
      <c r="P429" s="2944"/>
      <c r="Q429" s="2944"/>
      <c r="R429" s="2944"/>
      <c r="S429" s="2944"/>
      <c r="T429" s="2944"/>
      <c r="U429" s="2944"/>
      <c r="V429" s="2944"/>
      <c r="W429" s="2944"/>
      <c r="X429" s="2944"/>
      <c r="Y429" s="2944"/>
      <c r="Z429" s="2944"/>
      <c r="AA429" s="2944"/>
      <c r="AB429" s="2944"/>
      <c r="AC429" s="2934">
        <f t="shared" si="242"/>
        <v>0</v>
      </c>
      <c r="AD429" s="2954"/>
      <c r="AE429" s="2954"/>
      <c r="AF429" s="2954"/>
      <c r="AG429" s="2954"/>
      <c r="AH429" s="2954"/>
      <c r="AI429" s="2954"/>
      <c r="AJ429" s="2954"/>
      <c r="AK429" s="2954"/>
      <c r="AL429" s="2954"/>
      <c r="AM429" s="2954"/>
      <c r="AN429" s="2954"/>
      <c r="AO429" s="2954"/>
      <c r="AP429" s="2954"/>
      <c r="AQ429" s="2954"/>
      <c r="AR429" s="2954"/>
      <c r="AS429" s="2954"/>
      <c r="AT429" s="2935"/>
      <c r="AU429" s="2964"/>
      <c r="AV429" s="857">
        <f t="shared" si="243"/>
        <v>0</v>
      </c>
      <c r="AW429" s="857">
        <f t="shared" si="244"/>
        <v>0</v>
      </c>
      <c r="AX429" s="857">
        <f t="shared" si="245"/>
        <v>0</v>
      </c>
      <c r="AY429" s="807">
        <f t="shared" si="246"/>
        <v>0</v>
      </c>
      <c r="AZ429" s="2934">
        <f t="shared" si="247"/>
        <v>0</v>
      </c>
      <c r="BA429" s="2934">
        <f t="shared" si="248"/>
        <v>0</v>
      </c>
      <c r="BB429" s="2934">
        <f t="shared" si="249"/>
        <v>0</v>
      </c>
      <c r="BC429" s="2934">
        <f t="shared" si="250"/>
        <v>0</v>
      </c>
      <c r="BD429" s="2934">
        <f t="shared" si="251"/>
        <v>0</v>
      </c>
      <c r="BE429" s="2934">
        <f t="shared" si="252"/>
        <v>0</v>
      </c>
      <c r="BF429" s="2934">
        <f t="shared" si="253"/>
        <v>0</v>
      </c>
      <c r="BG429" s="2934">
        <f t="shared" si="254"/>
        <v>0</v>
      </c>
      <c r="BH429" s="2934">
        <f t="shared" si="255"/>
        <v>0</v>
      </c>
      <c r="BI429" s="2934">
        <f t="shared" si="256"/>
        <v>0</v>
      </c>
      <c r="BJ429" s="2934">
        <f t="shared" si="257"/>
        <v>0</v>
      </c>
      <c r="BK429" s="2934">
        <f t="shared" si="258"/>
        <v>0</v>
      </c>
      <c r="BL429" s="2934">
        <f t="shared" si="259"/>
        <v>0</v>
      </c>
      <c r="BM429" s="2934">
        <f t="shared" si="260"/>
        <v>0</v>
      </c>
      <c r="BN429" s="2934">
        <f t="shared" si="261"/>
        <v>0</v>
      </c>
      <c r="BO429" s="2934">
        <f t="shared" si="262"/>
        <v>0</v>
      </c>
      <c r="BP429" s="2934">
        <f t="shared" si="263"/>
        <v>0</v>
      </c>
      <c r="BQ429" s="2934">
        <f t="shared" si="264"/>
        <v>0</v>
      </c>
      <c r="BR429" s="2934">
        <f t="shared" si="265"/>
        <v>0</v>
      </c>
      <c r="BS429" s="2934">
        <f t="shared" si="266"/>
        <v>0</v>
      </c>
      <c r="BT429" s="2982">
        <f t="shared" si="267"/>
        <v>0</v>
      </c>
    </row>
    <row r="430" spans="1:72">
      <c r="A430" s="874"/>
      <c r="B430" s="882"/>
      <c r="C430" s="882"/>
      <c r="D430" s="2933"/>
      <c r="E430" s="2934">
        <f t="shared" si="239"/>
        <v>0</v>
      </c>
      <c r="F430" s="2935"/>
      <c r="G430" s="2936">
        <f t="shared" si="240"/>
        <v>0</v>
      </c>
      <c r="H430" s="2937">
        <f t="shared" si="241"/>
        <v>0</v>
      </c>
      <c r="I430" s="2944"/>
      <c r="J430" s="2944"/>
      <c r="K430" s="2944"/>
      <c r="L430" s="2944"/>
      <c r="M430" s="2944"/>
      <c r="N430" s="2944"/>
      <c r="O430" s="2944"/>
      <c r="P430" s="2944"/>
      <c r="Q430" s="2944"/>
      <c r="R430" s="2944"/>
      <c r="S430" s="2944"/>
      <c r="T430" s="2944"/>
      <c r="U430" s="2944"/>
      <c r="V430" s="2944"/>
      <c r="W430" s="2944"/>
      <c r="X430" s="2944"/>
      <c r="Y430" s="2944"/>
      <c r="Z430" s="2944"/>
      <c r="AA430" s="2944"/>
      <c r="AB430" s="2944"/>
      <c r="AC430" s="2934">
        <f t="shared" si="242"/>
        <v>0</v>
      </c>
      <c r="AD430" s="2954"/>
      <c r="AE430" s="2954"/>
      <c r="AF430" s="2954"/>
      <c r="AG430" s="2954"/>
      <c r="AH430" s="2954"/>
      <c r="AI430" s="2954"/>
      <c r="AJ430" s="2954"/>
      <c r="AK430" s="2954"/>
      <c r="AL430" s="2954"/>
      <c r="AM430" s="2954"/>
      <c r="AN430" s="2954"/>
      <c r="AO430" s="2954"/>
      <c r="AP430" s="2954"/>
      <c r="AQ430" s="2954"/>
      <c r="AR430" s="2954"/>
      <c r="AS430" s="2954"/>
      <c r="AT430" s="2935"/>
      <c r="AU430" s="2964"/>
      <c r="AV430" s="857">
        <f t="shared" si="243"/>
        <v>0</v>
      </c>
      <c r="AW430" s="857">
        <f t="shared" si="244"/>
        <v>0</v>
      </c>
      <c r="AX430" s="857">
        <f t="shared" si="245"/>
        <v>0</v>
      </c>
      <c r="AY430" s="807">
        <f t="shared" si="246"/>
        <v>0</v>
      </c>
      <c r="AZ430" s="2934">
        <f t="shared" si="247"/>
        <v>0</v>
      </c>
      <c r="BA430" s="2934">
        <f t="shared" si="248"/>
        <v>0</v>
      </c>
      <c r="BB430" s="2934">
        <f t="shared" si="249"/>
        <v>0</v>
      </c>
      <c r="BC430" s="2934">
        <f t="shared" si="250"/>
        <v>0</v>
      </c>
      <c r="BD430" s="2934">
        <f t="shared" si="251"/>
        <v>0</v>
      </c>
      <c r="BE430" s="2934">
        <f t="shared" si="252"/>
        <v>0</v>
      </c>
      <c r="BF430" s="2934">
        <f t="shared" si="253"/>
        <v>0</v>
      </c>
      <c r="BG430" s="2934">
        <f t="shared" si="254"/>
        <v>0</v>
      </c>
      <c r="BH430" s="2934">
        <f t="shared" si="255"/>
        <v>0</v>
      </c>
      <c r="BI430" s="2934">
        <f t="shared" si="256"/>
        <v>0</v>
      </c>
      <c r="BJ430" s="2934">
        <f t="shared" si="257"/>
        <v>0</v>
      </c>
      <c r="BK430" s="2934">
        <f t="shared" si="258"/>
        <v>0</v>
      </c>
      <c r="BL430" s="2934">
        <f t="shared" si="259"/>
        <v>0</v>
      </c>
      <c r="BM430" s="2934">
        <f t="shared" si="260"/>
        <v>0</v>
      </c>
      <c r="BN430" s="2934">
        <f t="shared" si="261"/>
        <v>0</v>
      </c>
      <c r="BO430" s="2934">
        <f t="shared" si="262"/>
        <v>0</v>
      </c>
      <c r="BP430" s="2934">
        <f t="shared" si="263"/>
        <v>0</v>
      </c>
      <c r="BQ430" s="2934">
        <f t="shared" si="264"/>
        <v>0</v>
      </c>
      <c r="BR430" s="2934">
        <f t="shared" si="265"/>
        <v>0</v>
      </c>
      <c r="BS430" s="2934">
        <f t="shared" si="266"/>
        <v>0</v>
      </c>
      <c r="BT430" s="2982">
        <f t="shared" si="267"/>
        <v>0</v>
      </c>
    </row>
    <row r="431" spans="1:72">
      <c r="A431" s="874"/>
      <c r="B431" s="882"/>
      <c r="C431" s="882"/>
      <c r="D431" s="2933"/>
      <c r="E431" s="2934">
        <f t="shared" si="239"/>
        <v>0</v>
      </c>
      <c r="F431" s="2935"/>
      <c r="G431" s="2936">
        <f t="shared" si="240"/>
        <v>0</v>
      </c>
      <c r="H431" s="2937">
        <f t="shared" si="241"/>
        <v>0</v>
      </c>
      <c r="I431" s="2944"/>
      <c r="J431" s="2944"/>
      <c r="K431" s="2944"/>
      <c r="L431" s="2944"/>
      <c r="M431" s="2944"/>
      <c r="N431" s="2944"/>
      <c r="O431" s="2944"/>
      <c r="P431" s="2944"/>
      <c r="Q431" s="2944"/>
      <c r="R431" s="2944"/>
      <c r="S431" s="2944"/>
      <c r="T431" s="2944"/>
      <c r="U431" s="2944"/>
      <c r="V431" s="2944"/>
      <c r="W431" s="2944"/>
      <c r="X431" s="2944"/>
      <c r="Y431" s="2944"/>
      <c r="Z431" s="2944"/>
      <c r="AA431" s="2944"/>
      <c r="AB431" s="2944"/>
      <c r="AC431" s="2934">
        <f t="shared" si="242"/>
        <v>0</v>
      </c>
      <c r="AD431" s="2954"/>
      <c r="AE431" s="2954"/>
      <c r="AF431" s="2954"/>
      <c r="AG431" s="2954"/>
      <c r="AH431" s="2954"/>
      <c r="AI431" s="2954"/>
      <c r="AJ431" s="2954"/>
      <c r="AK431" s="2954"/>
      <c r="AL431" s="2954"/>
      <c r="AM431" s="2954"/>
      <c r="AN431" s="2954"/>
      <c r="AO431" s="2954"/>
      <c r="AP431" s="2954"/>
      <c r="AQ431" s="2954"/>
      <c r="AR431" s="2954"/>
      <c r="AS431" s="2954"/>
      <c r="AT431" s="2935"/>
      <c r="AU431" s="2964"/>
      <c r="AV431" s="857">
        <f t="shared" si="243"/>
        <v>0</v>
      </c>
      <c r="AW431" s="857">
        <f t="shared" si="244"/>
        <v>0</v>
      </c>
      <c r="AX431" s="857">
        <f t="shared" si="245"/>
        <v>0</v>
      </c>
      <c r="AY431" s="807">
        <f t="shared" si="246"/>
        <v>0</v>
      </c>
      <c r="AZ431" s="2934">
        <f t="shared" si="247"/>
        <v>0</v>
      </c>
      <c r="BA431" s="2934">
        <f t="shared" si="248"/>
        <v>0</v>
      </c>
      <c r="BB431" s="2934">
        <f t="shared" si="249"/>
        <v>0</v>
      </c>
      <c r="BC431" s="2934">
        <f t="shared" si="250"/>
        <v>0</v>
      </c>
      <c r="BD431" s="2934">
        <f t="shared" si="251"/>
        <v>0</v>
      </c>
      <c r="BE431" s="2934">
        <f t="shared" si="252"/>
        <v>0</v>
      </c>
      <c r="BF431" s="2934">
        <f t="shared" si="253"/>
        <v>0</v>
      </c>
      <c r="BG431" s="2934">
        <f t="shared" si="254"/>
        <v>0</v>
      </c>
      <c r="BH431" s="2934">
        <f t="shared" si="255"/>
        <v>0</v>
      </c>
      <c r="BI431" s="2934">
        <f t="shared" si="256"/>
        <v>0</v>
      </c>
      <c r="BJ431" s="2934">
        <f t="shared" si="257"/>
        <v>0</v>
      </c>
      <c r="BK431" s="2934">
        <f t="shared" si="258"/>
        <v>0</v>
      </c>
      <c r="BL431" s="2934">
        <f t="shared" si="259"/>
        <v>0</v>
      </c>
      <c r="BM431" s="2934">
        <f t="shared" si="260"/>
        <v>0</v>
      </c>
      <c r="BN431" s="2934">
        <f t="shared" si="261"/>
        <v>0</v>
      </c>
      <c r="BO431" s="2934">
        <f t="shared" si="262"/>
        <v>0</v>
      </c>
      <c r="BP431" s="2934">
        <f t="shared" si="263"/>
        <v>0</v>
      </c>
      <c r="BQ431" s="2934">
        <f t="shared" si="264"/>
        <v>0</v>
      </c>
      <c r="BR431" s="2934">
        <f t="shared" si="265"/>
        <v>0</v>
      </c>
      <c r="BS431" s="2934">
        <f t="shared" si="266"/>
        <v>0</v>
      </c>
      <c r="BT431" s="2982">
        <f t="shared" si="267"/>
        <v>0</v>
      </c>
    </row>
    <row r="432" spans="1:72">
      <c r="A432" s="874"/>
      <c r="B432" s="882"/>
      <c r="C432" s="882"/>
      <c r="D432" s="2933"/>
      <c r="E432" s="2934">
        <f t="shared" si="239"/>
        <v>0</v>
      </c>
      <c r="F432" s="2935"/>
      <c r="G432" s="2936">
        <f t="shared" si="240"/>
        <v>0</v>
      </c>
      <c r="H432" s="2937">
        <f t="shared" si="241"/>
        <v>0</v>
      </c>
      <c r="I432" s="2944"/>
      <c r="J432" s="2944"/>
      <c r="K432" s="2944"/>
      <c r="L432" s="2944"/>
      <c r="M432" s="2944"/>
      <c r="N432" s="2944"/>
      <c r="O432" s="2944"/>
      <c r="P432" s="2944"/>
      <c r="Q432" s="2944"/>
      <c r="R432" s="2944"/>
      <c r="S432" s="2944"/>
      <c r="T432" s="2944"/>
      <c r="U432" s="2944"/>
      <c r="V432" s="2944"/>
      <c r="W432" s="2944"/>
      <c r="X432" s="2944"/>
      <c r="Y432" s="2944"/>
      <c r="Z432" s="2944"/>
      <c r="AA432" s="2944"/>
      <c r="AB432" s="2944"/>
      <c r="AC432" s="2934">
        <f t="shared" si="242"/>
        <v>0</v>
      </c>
      <c r="AD432" s="2954"/>
      <c r="AE432" s="2954"/>
      <c r="AF432" s="2954"/>
      <c r="AG432" s="2954"/>
      <c r="AH432" s="2954"/>
      <c r="AI432" s="2954"/>
      <c r="AJ432" s="2954"/>
      <c r="AK432" s="2954"/>
      <c r="AL432" s="2954"/>
      <c r="AM432" s="2954"/>
      <c r="AN432" s="2954"/>
      <c r="AO432" s="2954"/>
      <c r="AP432" s="2954"/>
      <c r="AQ432" s="2954"/>
      <c r="AR432" s="2954"/>
      <c r="AS432" s="2954"/>
      <c r="AT432" s="2935"/>
      <c r="AU432" s="2964"/>
      <c r="AV432" s="857">
        <f t="shared" si="243"/>
        <v>0</v>
      </c>
      <c r="AW432" s="857">
        <f t="shared" si="244"/>
        <v>0</v>
      </c>
      <c r="AX432" s="857">
        <f t="shared" si="245"/>
        <v>0</v>
      </c>
      <c r="AY432" s="807">
        <f t="shared" si="246"/>
        <v>0</v>
      </c>
      <c r="AZ432" s="2934">
        <f t="shared" si="247"/>
        <v>0</v>
      </c>
      <c r="BA432" s="2934">
        <f t="shared" si="248"/>
        <v>0</v>
      </c>
      <c r="BB432" s="2934">
        <f t="shared" si="249"/>
        <v>0</v>
      </c>
      <c r="BC432" s="2934">
        <f t="shared" si="250"/>
        <v>0</v>
      </c>
      <c r="BD432" s="2934">
        <f t="shared" si="251"/>
        <v>0</v>
      </c>
      <c r="BE432" s="2934">
        <f t="shared" si="252"/>
        <v>0</v>
      </c>
      <c r="BF432" s="2934">
        <f t="shared" si="253"/>
        <v>0</v>
      </c>
      <c r="BG432" s="2934">
        <f t="shared" si="254"/>
        <v>0</v>
      </c>
      <c r="BH432" s="2934">
        <f t="shared" si="255"/>
        <v>0</v>
      </c>
      <c r="BI432" s="2934">
        <f t="shared" si="256"/>
        <v>0</v>
      </c>
      <c r="BJ432" s="2934">
        <f t="shared" si="257"/>
        <v>0</v>
      </c>
      <c r="BK432" s="2934">
        <f t="shared" si="258"/>
        <v>0</v>
      </c>
      <c r="BL432" s="2934">
        <f t="shared" si="259"/>
        <v>0</v>
      </c>
      <c r="BM432" s="2934">
        <f t="shared" si="260"/>
        <v>0</v>
      </c>
      <c r="BN432" s="2934">
        <f t="shared" si="261"/>
        <v>0</v>
      </c>
      <c r="BO432" s="2934">
        <f t="shared" si="262"/>
        <v>0</v>
      </c>
      <c r="BP432" s="2934">
        <f t="shared" si="263"/>
        <v>0</v>
      </c>
      <c r="BQ432" s="2934">
        <f t="shared" si="264"/>
        <v>0</v>
      </c>
      <c r="BR432" s="2934">
        <f t="shared" si="265"/>
        <v>0</v>
      </c>
      <c r="BS432" s="2934">
        <f t="shared" si="266"/>
        <v>0</v>
      </c>
      <c r="BT432" s="2982">
        <f t="shared" si="267"/>
        <v>0</v>
      </c>
    </row>
    <row r="433" spans="1:72">
      <c r="A433" s="874"/>
      <c r="B433" s="882"/>
      <c r="C433" s="882"/>
      <c r="D433" s="2933"/>
      <c r="E433" s="2934">
        <f t="shared" si="239"/>
        <v>0</v>
      </c>
      <c r="F433" s="2935"/>
      <c r="G433" s="2936">
        <f t="shared" si="240"/>
        <v>0</v>
      </c>
      <c r="H433" s="2937">
        <f t="shared" si="241"/>
        <v>0</v>
      </c>
      <c r="I433" s="2944"/>
      <c r="J433" s="2944"/>
      <c r="K433" s="2944"/>
      <c r="L433" s="2944"/>
      <c r="M433" s="2944"/>
      <c r="N433" s="2944"/>
      <c r="O433" s="2944"/>
      <c r="P433" s="2944"/>
      <c r="Q433" s="2944"/>
      <c r="R433" s="2944"/>
      <c r="S433" s="2944"/>
      <c r="T433" s="2944"/>
      <c r="U433" s="2944"/>
      <c r="V433" s="2944"/>
      <c r="W433" s="2944"/>
      <c r="X433" s="2944"/>
      <c r="Y433" s="2944"/>
      <c r="Z433" s="2944"/>
      <c r="AA433" s="2944"/>
      <c r="AB433" s="2944"/>
      <c r="AC433" s="2934">
        <f t="shared" si="242"/>
        <v>0</v>
      </c>
      <c r="AD433" s="2954"/>
      <c r="AE433" s="2954"/>
      <c r="AF433" s="2954"/>
      <c r="AG433" s="2954"/>
      <c r="AH433" s="2954"/>
      <c r="AI433" s="2954"/>
      <c r="AJ433" s="2954"/>
      <c r="AK433" s="2954"/>
      <c r="AL433" s="2954"/>
      <c r="AM433" s="2954"/>
      <c r="AN433" s="2954"/>
      <c r="AO433" s="2954"/>
      <c r="AP433" s="2954"/>
      <c r="AQ433" s="2954"/>
      <c r="AR433" s="2954"/>
      <c r="AS433" s="2954"/>
      <c r="AT433" s="2935"/>
      <c r="AU433" s="2964"/>
      <c r="AV433" s="857">
        <f t="shared" si="243"/>
        <v>0</v>
      </c>
      <c r="AW433" s="857">
        <f t="shared" si="244"/>
        <v>0</v>
      </c>
      <c r="AX433" s="857">
        <f t="shared" si="245"/>
        <v>0</v>
      </c>
      <c r="AY433" s="807">
        <f t="shared" si="246"/>
        <v>0</v>
      </c>
      <c r="AZ433" s="2934">
        <f t="shared" si="247"/>
        <v>0</v>
      </c>
      <c r="BA433" s="2934">
        <f t="shared" si="248"/>
        <v>0</v>
      </c>
      <c r="BB433" s="2934">
        <f t="shared" si="249"/>
        <v>0</v>
      </c>
      <c r="BC433" s="2934">
        <f t="shared" si="250"/>
        <v>0</v>
      </c>
      <c r="BD433" s="2934">
        <f t="shared" si="251"/>
        <v>0</v>
      </c>
      <c r="BE433" s="2934">
        <f t="shared" si="252"/>
        <v>0</v>
      </c>
      <c r="BF433" s="2934">
        <f t="shared" si="253"/>
        <v>0</v>
      </c>
      <c r="BG433" s="2934">
        <f t="shared" si="254"/>
        <v>0</v>
      </c>
      <c r="BH433" s="2934">
        <f t="shared" si="255"/>
        <v>0</v>
      </c>
      <c r="BI433" s="2934">
        <f t="shared" si="256"/>
        <v>0</v>
      </c>
      <c r="BJ433" s="2934">
        <f t="shared" si="257"/>
        <v>0</v>
      </c>
      <c r="BK433" s="2934">
        <f t="shared" si="258"/>
        <v>0</v>
      </c>
      <c r="BL433" s="2934">
        <f t="shared" si="259"/>
        <v>0</v>
      </c>
      <c r="BM433" s="2934">
        <f t="shared" si="260"/>
        <v>0</v>
      </c>
      <c r="BN433" s="2934">
        <f t="shared" si="261"/>
        <v>0</v>
      </c>
      <c r="BO433" s="2934">
        <f t="shared" si="262"/>
        <v>0</v>
      </c>
      <c r="BP433" s="2934">
        <f t="shared" si="263"/>
        <v>0</v>
      </c>
      <c r="BQ433" s="2934">
        <f t="shared" si="264"/>
        <v>0</v>
      </c>
      <c r="BR433" s="2934">
        <f t="shared" si="265"/>
        <v>0</v>
      </c>
      <c r="BS433" s="2934">
        <f t="shared" si="266"/>
        <v>0</v>
      </c>
      <c r="BT433" s="2982">
        <f t="shared" si="267"/>
        <v>0</v>
      </c>
    </row>
    <row r="434" spans="1:72">
      <c r="A434" s="874"/>
      <c r="B434" s="882"/>
      <c r="C434" s="882"/>
      <c r="D434" s="2933"/>
      <c r="E434" s="2934">
        <f t="shared" si="239"/>
        <v>0</v>
      </c>
      <c r="F434" s="2935"/>
      <c r="G434" s="2936">
        <f t="shared" si="240"/>
        <v>0</v>
      </c>
      <c r="H434" s="2937">
        <f t="shared" si="241"/>
        <v>0</v>
      </c>
      <c r="I434" s="2944"/>
      <c r="J434" s="2944"/>
      <c r="K434" s="2944"/>
      <c r="L434" s="2944"/>
      <c r="M434" s="2944"/>
      <c r="N434" s="2944"/>
      <c r="O434" s="2944"/>
      <c r="P434" s="2944"/>
      <c r="Q434" s="2944"/>
      <c r="R434" s="2944"/>
      <c r="S434" s="2944"/>
      <c r="T434" s="2944"/>
      <c r="U434" s="2944"/>
      <c r="V434" s="2944"/>
      <c r="W434" s="2944"/>
      <c r="X434" s="2944"/>
      <c r="Y434" s="2944"/>
      <c r="Z434" s="2944"/>
      <c r="AA434" s="2944"/>
      <c r="AB434" s="2944"/>
      <c r="AC434" s="2934">
        <f t="shared" si="242"/>
        <v>0</v>
      </c>
      <c r="AD434" s="2954"/>
      <c r="AE434" s="2954"/>
      <c r="AF434" s="2954"/>
      <c r="AG434" s="2954"/>
      <c r="AH434" s="2954"/>
      <c r="AI434" s="2954"/>
      <c r="AJ434" s="2954"/>
      <c r="AK434" s="2954"/>
      <c r="AL434" s="2954"/>
      <c r="AM434" s="2954"/>
      <c r="AN434" s="2954"/>
      <c r="AO434" s="2954"/>
      <c r="AP434" s="2954"/>
      <c r="AQ434" s="2954"/>
      <c r="AR434" s="2954"/>
      <c r="AS434" s="2954"/>
      <c r="AT434" s="2935"/>
      <c r="AU434" s="2964"/>
      <c r="AV434" s="857">
        <f t="shared" si="243"/>
        <v>0</v>
      </c>
      <c r="AW434" s="857">
        <f t="shared" si="244"/>
        <v>0</v>
      </c>
      <c r="AX434" s="857">
        <f t="shared" si="245"/>
        <v>0</v>
      </c>
      <c r="AY434" s="807">
        <f t="shared" si="246"/>
        <v>0</v>
      </c>
      <c r="AZ434" s="2934">
        <f t="shared" si="247"/>
        <v>0</v>
      </c>
      <c r="BA434" s="2934">
        <f t="shared" si="248"/>
        <v>0</v>
      </c>
      <c r="BB434" s="2934">
        <f t="shared" si="249"/>
        <v>0</v>
      </c>
      <c r="BC434" s="2934">
        <f t="shared" si="250"/>
        <v>0</v>
      </c>
      <c r="BD434" s="2934">
        <f t="shared" si="251"/>
        <v>0</v>
      </c>
      <c r="BE434" s="2934">
        <f t="shared" si="252"/>
        <v>0</v>
      </c>
      <c r="BF434" s="2934">
        <f t="shared" si="253"/>
        <v>0</v>
      </c>
      <c r="BG434" s="2934">
        <f t="shared" si="254"/>
        <v>0</v>
      </c>
      <c r="BH434" s="2934">
        <f t="shared" si="255"/>
        <v>0</v>
      </c>
      <c r="BI434" s="2934">
        <f t="shared" si="256"/>
        <v>0</v>
      </c>
      <c r="BJ434" s="2934">
        <f t="shared" si="257"/>
        <v>0</v>
      </c>
      <c r="BK434" s="2934">
        <f t="shared" si="258"/>
        <v>0</v>
      </c>
      <c r="BL434" s="2934">
        <f t="shared" si="259"/>
        <v>0</v>
      </c>
      <c r="BM434" s="2934">
        <f t="shared" si="260"/>
        <v>0</v>
      </c>
      <c r="BN434" s="2934">
        <f t="shared" si="261"/>
        <v>0</v>
      </c>
      <c r="BO434" s="2934">
        <f t="shared" si="262"/>
        <v>0</v>
      </c>
      <c r="BP434" s="2934">
        <f t="shared" si="263"/>
        <v>0</v>
      </c>
      <c r="BQ434" s="2934">
        <f t="shared" si="264"/>
        <v>0</v>
      </c>
      <c r="BR434" s="2934">
        <f t="shared" si="265"/>
        <v>0</v>
      </c>
      <c r="BS434" s="2934">
        <f t="shared" si="266"/>
        <v>0</v>
      </c>
      <c r="BT434" s="2982">
        <f t="shared" si="267"/>
        <v>0</v>
      </c>
    </row>
    <row r="435" spans="1:72">
      <c r="A435" s="874"/>
      <c r="B435" s="882"/>
      <c r="C435" s="882"/>
      <c r="D435" s="2933"/>
      <c r="E435" s="2934">
        <f t="shared" si="239"/>
        <v>0</v>
      </c>
      <c r="F435" s="2935"/>
      <c r="G435" s="2936">
        <f t="shared" si="240"/>
        <v>0</v>
      </c>
      <c r="H435" s="2937">
        <f t="shared" si="241"/>
        <v>0</v>
      </c>
      <c r="I435" s="2944"/>
      <c r="J435" s="2944"/>
      <c r="K435" s="2944"/>
      <c r="L435" s="2944"/>
      <c r="M435" s="2944"/>
      <c r="N435" s="2944"/>
      <c r="O435" s="2944"/>
      <c r="P435" s="2944"/>
      <c r="Q435" s="2944"/>
      <c r="R435" s="2944"/>
      <c r="S435" s="2944"/>
      <c r="T435" s="2944"/>
      <c r="U435" s="2944"/>
      <c r="V435" s="2944"/>
      <c r="W435" s="2944"/>
      <c r="X435" s="2944"/>
      <c r="Y435" s="2944"/>
      <c r="Z435" s="2944"/>
      <c r="AA435" s="2944"/>
      <c r="AB435" s="2944"/>
      <c r="AC435" s="2934">
        <f t="shared" si="242"/>
        <v>0</v>
      </c>
      <c r="AD435" s="2954"/>
      <c r="AE435" s="2954"/>
      <c r="AF435" s="2954"/>
      <c r="AG435" s="2954"/>
      <c r="AH435" s="2954"/>
      <c r="AI435" s="2954"/>
      <c r="AJ435" s="2954"/>
      <c r="AK435" s="2954"/>
      <c r="AL435" s="2954"/>
      <c r="AM435" s="2954"/>
      <c r="AN435" s="2954"/>
      <c r="AO435" s="2954"/>
      <c r="AP435" s="2954"/>
      <c r="AQ435" s="2954"/>
      <c r="AR435" s="2954"/>
      <c r="AS435" s="2954"/>
      <c r="AT435" s="2935"/>
      <c r="AU435" s="2964"/>
      <c r="AV435" s="857">
        <f t="shared" si="243"/>
        <v>0</v>
      </c>
      <c r="AW435" s="857">
        <f t="shared" si="244"/>
        <v>0</v>
      </c>
      <c r="AX435" s="857">
        <f t="shared" si="245"/>
        <v>0</v>
      </c>
      <c r="AY435" s="807">
        <f t="shared" si="246"/>
        <v>0</v>
      </c>
      <c r="AZ435" s="2934">
        <f t="shared" si="247"/>
        <v>0</v>
      </c>
      <c r="BA435" s="2934">
        <f t="shared" si="248"/>
        <v>0</v>
      </c>
      <c r="BB435" s="2934">
        <f t="shared" si="249"/>
        <v>0</v>
      </c>
      <c r="BC435" s="2934">
        <f t="shared" si="250"/>
        <v>0</v>
      </c>
      <c r="BD435" s="2934">
        <f t="shared" si="251"/>
        <v>0</v>
      </c>
      <c r="BE435" s="2934">
        <f t="shared" si="252"/>
        <v>0</v>
      </c>
      <c r="BF435" s="2934">
        <f t="shared" si="253"/>
        <v>0</v>
      </c>
      <c r="BG435" s="2934">
        <f t="shared" si="254"/>
        <v>0</v>
      </c>
      <c r="BH435" s="2934">
        <f t="shared" si="255"/>
        <v>0</v>
      </c>
      <c r="BI435" s="2934">
        <f t="shared" si="256"/>
        <v>0</v>
      </c>
      <c r="BJ435" s="2934">
        <f t="shared" si="257"/>
        <v>0</v>
      </c>
      <c r="BK435" s="2934">
        <f t="shared" si="258"/>
        <v>0</v>
      </c>
      <c r="BL435" s="2934">
        <f t="shared" si="259"/>
        <v>0</v>
      </c>
      <c r="BM435" s="2934">
        <f t="shared" si="260"/>
        <v>0</v>
      </c>
      <c r="BN435" s="2934">
        <f t="shared" si="261"/>
        <v>0</v>
      </c>
      <c r="BO435" s="2934">
        <f t="shared" si="262"/>
        <v>0</v>
      </c>
      <c r="BP435" s="2934">
        <f t="shared" si="263"/>
        <v>0</v>
      </c>
      <c r="BQ435" s="2934">
        <f t="shared" si="264"/>
        <v>0</v>
      </c>
      <c r="BR435" s="2934">
        <f t="shared" si="265"/>
        <v>0</v>
      </c>
      <c r="BS435" s="2934">
        <f t="shared" si="266"/>
        <v>0</v>
      </c>
      <c r="BT435" s="2982">
        <f t="shared" si="267"/>
        <v>0</v>
      </c>
    </row>
    <row r="436" spans="1:72">
      <c r="A436" s="874"/>
      <c r="B436" s="882"/>
      <c r="C436" s="882"/>
      <c r="D436" s="2933"/>
      <c r="E436" s="2934">
        <f t="shared" si="239"/>
        <v>0</v>
      </c>
      <c r="F436" s="2935"/>
      <c r="G436" s="2936">
        <f t="shared" si="240"/>
        <v>0</v>
      </c>
      <c r="H436" s="2937">
        <f t="shared" si="241"/>
        <v>0</v>
      </c>
      <c r="I436" s="2944"/>
      <c r="J436" s="2944"/>
      <c r="K436" s="2944"/>
      <c r="L436" s="2944"/>
      <c r="M436" s="2944"/>
      <c r="N436" s="2944"/>
      <c r="O436" s="2944"/>
      <c r="P436" s="2944"/>
      <c r="Q436" s="2944"/>
      <c r="R436" s="2944"/>
      <c r="S436" s="2944"/>
      <c r="T436" s="2944"/>
      <c r="U436" s="2944"/>
      <c r="V436" s="2944"/>
      <c r="W436" s="2944"/>
      <c r="X436" s="2944"/>
      <c r="Y436" s="2944"/>
      <c r="Z436" s="2944"/>
      <c r="AA436" s="2944"/>
      <c r="AB436" s="2944"/>
      <c r="AC436" s="2934">
        <f t="shared" si="242"/>
        <v>0</v>
      </c>
      <c r="AD436" s="2954"/>
      <c r="AE436" s="2954"/>
      <c r="AF436" s="2954"/>
      <c r="AG436" s="2954"/>
      <c r="AH436" s="2954"/>
      <c r="AI436" s="2954"/>
      <c r="AJ436" s="2954"/>
      <c r="AK436" s="2954"/>
      <c r="AL436" s="2954"/>
      <c r="AM436" s="2954"/>
      <c r="AN436" s="2954"/>
      <c r="AO436" s="2954"/>
      <c r="AP436" s="2954"/>
      <c r="AQ436" s="2954"/>
      <c r="AR436" s="2954"/>
      <c r="AS436" s="2954"/>
      <c r="AT436" s="2935"/>
      <c r="AU436" s="2964"/>
      <c r="AV436" s="857">
        <f t="shared" si="243"/>
        <v>0</v>
      </c>
      <c r="AW436" s="857">
        <f t="shared" si="244"/>
        <v>0</v>
      </c>
      <c r="AX436" s="857">
        <f t="shared" si="245"/>
        <v>0</v>
      </c>
      <c r="AY436" s="807">
        <f t="shared" si="246"/>
        <v>0</v>
      </c>
      <c r="AZ436" s="2934">
        <f t="shared" si="247"/>
        <v>0</v>
      </c>
      <c r="BA436" s="2934">
        <f t="shared" si="248"/>
        <v>0</v>
      </c>
      <c r="BB436" s="2934">
        <f t="shared" si="249"/>
        <v>0</v>
      </c>
      <c r="BC436" s="2934">
        <f t="shared" si="250"/>
        <v>0</v>
      </c>
      <c r="BD436" s="2934">
        <f t="shared" si="251"/>
        <v>0</v>
      </c>
      <c r="BE436" s="2934">
        <f t="shared" si="252"/>
        <v>0</v>
      </c>
      <c r="BF436" s="2934">
        <f t="shared" si="253"/>
        <v>0</v>
      </c>
      <c r="BG436" s="2934">
        <f t="shared" si="254"/>
        <v>0</v>
      </c>
      <c r="BH436" s="2934">
        <f t="shared" si="255"/>
        <v>0</v>
      </c>
      <c r="BI436" s="2934">
        <f t="shared" si="256"/>
        <v>0</v>
      </c>
      <c r="BJ436" s="2934">
        <f t="shared" si="257"/>
        <v>0</v>
      </c>
      <c r="BK436" s="2934">
        <f t="shared" si="258"/>
        <v>0</v>
      </c>
      <c r="BL436" s="2934">
        <f t="shared" si="259"/>
        <v>0</v>
      </c>
      <c r="BM436" s="2934">
        <f t="shared" si="260"/>
        <v>0</v>
      </c>
      <c r="BN436" s="2934">
        <f t="shared" si="261"/>
        <v>0</v>
      </c>
      <c r="BO436" s="2934">
        <f t="shared" si="262"/>
        <v>0</v>
      </c>
      <c r="BP436" s="2934">
        <f t="shared" si="263"/>
        <v>0</v>
      </c>
      <c r="BQ436" s="2934">
        <f t="shared" si="264"/>
        <v>0</v>
      </c>
      <c r="BR436" s="2934">
        <f t="shared" si="265"/>
        <v>0</v>
      </c>
      <c r="BS436" s="2934">
        <f t="shared" si="266"/>
        <v>0</v>
      </c>
      <c r="BT436" s="2982">
        <f t="shared" si="267"/>
        <v>0</v>
      </c>
    </row>
    <row r="437" spans="1:72">
      <c r="A437" s="874"/>
      <c r="B437" s="882"/>
      <c r="C437" s="882"/>
      <c r="D437" s="2933"/>
      <c r="E437" s="2934">
        <f t="shared" si="239"/>
        <v>0</v>
      </c>
      <c r="F437" s="2935"/>
      <c r="G437" s="2936">
        <f t="shared" si="240"/>
        <v>0</v>
      </c>
      <c r="H437" s="2937">
        <f t="shared" si="241"/>
        <v>0</v>
      </c>
      <c r="I437" s="2944"/>
      <c r="J437" s="2944"/>
      <c r="K437" s="2944"/>
      <c r="L437" s="2944"/>
      <c r="M437" s="2944"/>
      <c r="N437" s="2944"/>
      <c r="O437" s="2944"/>
      <c r="P437" s="2944"/>
      <c r="Q437" s="2944"/>
      <c r="R437" s="2944"/>
      <c r="S437" s="2944"/>
      <c r="T437" s="2944"/>
      <c r="U437" s="2944"/>
      <c r="V437" s="2944"/>
      <c r="W437" s="2944"/>
      <c r="X437" s="2944"/>
      <c r="Y437" s="2944"/>
      <c r="Z437" s="2944"/>
      <c r="AA437" s="2944"/>
      <c r="AB437" s="2944"/>
      <c r="AC437" s="2934">
        <f t="shared" si="242"/>
        <v>0</v>
      </c>
      <c r="AD437" s="2954"/>
      <c r="AE437" s="2954"/>
      <c r="AF437" s="2954"/>
      <c r="AG437" s="2954"/>
      <c r="AH437" s="2954"/>
      <c r="AI437" s="2954"/>
      <c r="AJ437" s="2954"/>
      <c r="AK437" s="2954"/>
      <c r="AL437" s="2954"/>
      <c r="AM437" s="2954"/>
      <c r="AN437" s="2954"/>
      <c r="AO437" s="2954"/>
      <c r="AP437" s="2954"/>
      <c r="AQ437" s="2954"/>
      <c r="AR437" s="2954"/>
      <c r="AS437" s="2954"/>
      <c r="AT437" s="2935"/>
      <c r="AU437" s="2964"/>
      <c r="AV437" s="857">
        <f t="shared" si="243"/>
        <v>0</v>
      </c>
      <c r="AW437" s="857">
        <f t="shared" si="244"/>
        <v>0</v>
      </c>
      <c r="AX437" s="857">
        <f t="shared" si="245"/>
        <v>0</v>
      </c>
      <c r="AY437" s="807">
        <f t="shared" si="246"/>
        <v>0</v>
      </c>
      <c r="AZ437" s="2934">
        <f t="shared" si="247"/>
        <v>0</v>
      </c>
      <c r="BA437" s="2934">
        <f t="shared" si="248"/>
        <v>0</v>
      </c>
      <c r="BB437" s="2934">
        <f t="shared" si="249"/>
        <v>0</v>
      </c>
      <c r="BC437" s="2934">
        <f t="shared" si="250"/>
        <v>0</v>
      </c>
      <c r="BD437" s="2934">
        <f t="shared" si="251"/>
        <v>0</v>
      </c>
      <c r="BE437" s="2934">
        <f t="shared" si="252"/>
        <v>0</v>
      </c>
      <c r="BF437" s="2934">
        <f t="shared" si="253"/>
        <v>0</v>
      </c>
      <c r="BG437" s="2934">
        <f t="shared" si="254"/>
        <v>0</v>
      </c>
      <c r="BH437" s="2934">
        <f t="shared" si="255"/>
        <v>0</v>
      </c>
      <c r="BI437" s="2934">
        <f t="shared" si="256"/>
        <v>0</v>
      </c>
      <c r="BJ437" s="2934">
        <f t="shared" si="257"/>
        <v>0</v>
      </c>
      <c r="BK437" s="2934">
        <f t="shared" si="258"/>
        <v>0</v>
      </c>
      <c r="BL437" s="2934">
        <f t="shared" si="259"/>
        <v>0</v>
      </c>
      <c r="BM437" s="2934">
        <f t="shared" si="260"/>
        <v>0</v>
      </c>
      <c r="BN437" s="2934">
        <f t="shared" si="261"/>
        <v>0</v>
      </c>
      <c r="BO437" s="2934">
        <f t="shared" si="262"/>
        <v>0</v>
      </c>
      <c r="BP437" s="2934">
        <f t="shared" si="263"/>
        <v>0</v>
      </c>
      <c r="BQ437" s="2934">
        <f t="shared" si="264"/>
        <v>0</v>
      </c>
      <c r="BR437" s="2934">
        <f t="shared" si="265"/>
        <v>0</v>
      </c>
      <c r="BS437" s="2934">
        <f t="shared" si="266"/>
        <v>0</v>
      </c>
      <c r="BT437" s="2982">
        <f t="shared" si="267"/>
        <v>0</v>
      </c>
    </row>
    <row r="438" spans="1:72">
      <c r="A438" s="874"/>
      <c r="B438" s="882"/>
      <c r="C438" s="882"/>
      <c r="D438" s="2933"/>
      <c r="E438" s="2934">
        <f t="shared" si="239"/>
        <v>0</v>
      </c>
      <c r="F438" s="2935"/>
      <c r="G438" s="2936">
        <f t="shared" si="240"/>
        <v>0</v>
      </c>
      <c r="H438" s="2937">
        <f t="shared" si="241"/>
        <v>0</v>
      </c>
      <c r="I438" s="2944"/>
      <c r="J438" s="2944"/>
      <c r="K438" s="2944"/>
      <c r="L438" s="2944"/>
      <c r="M438" s="2944"/>
      <c r="N438" s="2944"/>
      <c r="O438" s="2944"/>
      <c r="P438" s="2944"/>
      <c r="Q438" s="2944"/>
      <c r="R438" s="2944"/>
      <c r="S438" s="2944"/>
      <c r="T438" s="2944"/>
      <c r="U438" s="2944"/>
      <c r="V438" s="2944"/>
      <c r="W438" s="2944"/>
      <c r="X438" s="2944"/>
      <c r="Y438" s="2944"/>
      <c r="Z438" s="2944"/>
      <c r="AA438" s="2944"/>
      <c r="AB438" s="2944"/>
      <c r="AC438" s="2934">
        <f t="shared" si="242"/>
        <v>0</v>
      </c>
      <c r="AD438" s="2954"/>
      <c r="AE438" s="2954"/>
      <c r="AF438" s="2954"/>
      <c r="AG438" s="2954"/>
      <c r="AH438" s="2954"/>
      <c r="AI438" s="2954"/>
      <c r="AJ438" s="2954"/>
      <c r="AK438" s="2954"/>
      <c r="AL438" s="2954"/>
      <c r="AM438" s="2954"/>
      <c r="AN438" s="2954"/>
      <c r="AO438" s="2954"/>
      <c r="AP438" s="2954"/>
      <c r="AQ438" s="2954"/>
      <c r="AR438" s="2954"/>
      <c r="AS438" s="2954"/>
      <c r="AT438" s="2935"/>
      <c r="AU438" s="2964"/>
      <c r="AV438" s="857">
        <f t="shared" si="243"/>
        <v>0</v>
      </c>
      <c r="AW438" s="857">
        <f t="shared" si="244"/>
        <v>0</v>
      </c>
      <c r="AX438" s="857">
        <f t="shared" si="245"/>
        <v>0</v>
      </c>
      <c r="AY438" s="807">
        <f t="shared" si="246"/>
        <v>0</v>
      </c>
      <c r="AZ438" s="2934">
        <f t="shared" si="247"/>
        <v>0</v>
      </c>
      <c r="BA438" s="2934">
        <f t="shared" si="248"/>
        <v>0</v>
      </c>
      <c r="BB438" s="2934">
        <f t="shared" si="249"/>
        <v>0</v>
      </c>
      <c r="BC438" s="2934">
        <f t="shared" si="250"/>
        <v>0</v>
      </c>
      <c r="BD438" s="2934">
        <f t="shared" si="251"/>
        <v>0</v>
      </c>
      <c r="BE438" s="2934">
        <f t="shared" si="252"/>
        <v>0</v>
      </c>
      <c r="BF438" s="2934">
        <f t="shared" si="253"/>
        <v>0</v>
      </c>
      <c r="BG438" s="2934">
        <f t="shared" si="254"/>
        <v>0</v>
      </c>
      <c r="BH438" s="2934">
        <f t="shared" si="255"/>
        <v>0</v>
      </c>
      <c r="BI438" s="2934">
        <f t="shared" si="256"/>
        <v>0</v>
      </c>
      <c r="BJ438" s="2934">
        <f t="shared" si="257"/>
        <v>0</v>
      </c>
      <c r="BK438" s="2934">
        <f t="shared" si="258"/>
        <v>0</v>
      </c>
      <c r="BL438" s="2934">
        <f t="shared" si="259"/>
        <v>0</v>
      </c>
      <c r="BM438" s="2934">
        <f t="shared" si="260"/>
        <v>0</v>
      </c>
      <c r="BN438" s="2934">
        <f t="shared" si="261"/>
        <v>0</v>
      </c>
      <c r="BO438" s="2934">
        <f t="shared" si="262"/>
        <v>0</v>
      </c>
      <c r="BP438" s="2934">
        <f t="shared" si="263"/>
        <v>0</v>
      </c>
      <c r="BQ438" s="2934">
        <f t="shared" si="264"/>
        <v>0</v>
      </c>
      <c r="BR438" s="2934">
        <f t="shared" si="265"/>
        <v>0</v>
      </c>
      <c r="BS438" s="2934">
        <f t="shared" si="266"/>
        <v>0</v>
      </c>
      <c r="BT438" s="2982">
        <f t="shared" si="267"/>
        <v>0</v>
      </c>
    </row>
    <row r="439" spans="1:72">
      <c r="A439" s="874"/>
      <c r="B439" s="882"/>
      <c r="C439" s="882"/>
      <c r="D439" s="2933"/>
      <c r="E439" s="2934">
        <f t="shared" si="239"/>
        <v>0</v>
      </c>
      <c r="F439" s="2935"/>
      <c r="G439" s="2936">
        <f t="shared" si="240"/>
        <v>0</v>
      </c>
      <c r="H439" s="2937">
        <f t="shared" si="241"/>
        <v>0</v>
      </c>
      <c r="I439" s="2944"/>
      <c r="J439" s="2944"/>
      <c r="K439" s="2944"/>
      <c r="L439" s="2944"/>
      <c r="M439" s="2944"/>
      <c r="N439" s="2944"/>
      <c r="O439" s="2944"/>
      <c r="P439" s="2944"/>
      <c r="Q439" s="2944"/>
      <c r="R439" s="2944"/>
      <c r="S439" s="2944"/>
      <c r="T439" s="2944"/>
      <c r="U439" s="2944"/>
      <c r="V439" s="2944"/>
      <c r="W439" s="2944"/>
      <c r="X439" s="2944"/>
      <c r="Y439" s="2944"/>
      <c r="Z439" s="2944"/>
      <c r="AA439" s="2944"/>
      <c r="AB439" s="2944"/>
      <c r="AC439" s="2934">
        <f t="shared" si="242"/>
        <v>0</v>
      </c>
      <c r="AD439" s="2954"/>
      <c r="AE439" s="2954"/>
      <c r="AF439" s="2954"/>
      <c r="AG439" s="2954"/>
      <c r="AH439" s="2954"/>
      <c r="AI439" s="2954"/>
      <c r="AJ439" s="2954"/>
      <c r="AK439" s="2954"/>
      <c r="AL439" s="2954"/>
      <c r="AM439" s="2954"/>
      <c r="AN439" s="2954"/>
      <c r="AO439" s="2954"/>
      <c r="AP439" s="2954"/>
      <c r="AQ439" s="2954"/>
      <c r="AR439" s="2954"/>
      <c r="AS439" s="2954"/>
      <c r="AT439" s="2935"/>
      <c r="AU439" s="2964"/>
      <c r="AV439" s="857">
        <f t="shared" si="243"/>
        <v>0</v>
      </c>
      <c r="AW439" s="857">
        <f t="shared" si="244"/>
        <v>0</v>
      </c>
      <c r="AX439" s="857">
        <f t="shared" si="245"/>
        <v>0</v>
      </c>
      <c r="AY439" s="807">
        <f t="shared" si="246"/>
        <v>0</v>
      </c>
      <c r="AZ439" s="2934">
        <f t="shared" si="247"/>
        <v>0</v>
      </c>
      <c r="BA439" s="2934">
        <f t="shared" si="248"/>
        <v>0</v>
      </c>
      <c r="BB439" s="2934">
        <f t="shared" si="249"/>
        <v>0</v>
      </c>
      <c r="BC439" s="2934">
        <f t="shared" si="250"/>
        <v>0</v>
      </c>
      <c r="BD439" s="2934">
        <f t="shared" si="251"/>
        <v>0</v>
      </c>
      <c r="BE439" s="2934">
        <f t="shared" si="252"/>
        <v>0</v>
      </c>
      <c r="BF439" s="2934">
        <f t="shared" si="253"/>
        <v>0</v>
      </c>
      <c r="BG439" s="2934">
        <f t="shared" si="254"/>
        <v>0</v>
      </c>
      <c r="BH439" s="2934">
        <f t="shared" si="255"/>
        <v>0</v>
      </c>
      <c r="BI439" s="2934">
        <f t="shared" si="256"/>
        <v>0</v>
      </c>
      <c r="BJ439" s="2934">
        <f t="shared" si="257"/>
        <v>0</v>
      </c>
      <c r="BK439" s="2934">
        <f t="shared" si="258"/>
        <v>0</v>
      </c>
      <c r="BL439" s="2934">
        <f t="shared" si="259"/>
        <v>0</v>
      </c>
      <c r="BM439" s="2934">
        <f t="shared" si="260"/>
        <v>0</v>
      </c>
      <c r="BN439" s="2934">
        <f t="shared" si="261"/>
        <v>0</v>
      </c>
      <c r="BO439" s="2934">
        <f t="shared" si="262"/>
        <v>0</v>
      </c>
      <c r="BP439" s="2934">
        <f t="shared" si="263"/>
        <v>0</v>
      </c>
      <c r="BQ439" s="2934">
        <f t="shared" si="264"/>
        <v>0</v>
      </c>
      <c r="BR439" s="2934">
        <f t="shared" si="265"/>
        <v>0</v>
      </c>
      <c r="BS439" s="2934">
        <f t="shared" si="266"/>
        <v>0</v>
      </c>
      <c r="BT439" s="2982">
        <f t="shared" si="267"/>
        <v>0</v>
      </c>
    </row>
    <row r="440" spans="1:72">
      <c r="A440" s="874"/>
      <c r="B440" s="882"/>
      <c r="C440" s="882"/>
      <c r="D440" s="2933"/>
      <c r="E440" s="2934">
        <f t="shared" si="239"/>
        <v>0</v>
      </c>
      <c r="F440" s="2935"/>
      <c r="G440" s="2936">
        <f t="shared" si="240"/>
        <v>0</v>
      </c>
      <c r="H440" s="2937">
        <f t="shared" si="241"/>
        <v>0</v>
      </c>
      <c r="I440" s="2944"/>
      <c r="J440" s="2944"/>
      <c r="K440" s="2944"/>
      <c r="L440" s="2944"/>
      <c r="M440" s="2944"/>
      <c r="N440" s="2944"/>
      <c r="O440" s="2944"/>
      <c r="P440" s="2944"/>
      <c r="Q440" s="2944"/>
      <c r="R440" s="2944"/>
      <c r="S440" s="2944"/>
      <c r="T440" s="2944"/>
      <c r="U440" s="2944"/>
      <c r="V440" s="2944"/>
      <c r="W440" s="2944"/>
      <c r="X440" s="2944"/>
      <c r="Y440" s="2944"/>
      <c r="Z440" s="2944"/>
      <c r="AA440" s="2944"/>
      <c r="AB440" s="2944"/>
      <c r="AC440" s="2934">
        <f t="shared" si="242"/>
        <v>0</v>
      </c>
      <c r="AD440" s="2954"/>
      <c r="AE440" s="2954"/>
      <c r="AF440" s="2954"/>
      <c r="AG440" s="2954"/>
      <c r="AH440" s="2954"/>
      <c r="AI440" s="2954"/>
      <c r="AJ440" s="2954"/>
      <c r="AK440" s="2954"/>
      <c r="AL440" s="2954"/>
      <c r="AM440" s="2954"/>
      <c r="AN440" s="2954"/>
      <c r="AO440" s="2954"/>
      <c r="AP440" s="2954"/>
      <c r="AQ440" s="2954"/>
      <c r="AR440" s="2954"/>
      <c r="AS440" s="2954"/>
      <c r="AT440" s="2935"/>
      <c r="AU440" s="2964"/>
      <c r="AV440" s="857">
        <f t="shared" si="243"/>
        <v>0</v>
      </c>
      <c r="AW440" s="857">
        <f t="shared" si="244"/>
        <v>0</v>
      </c>
      <c r="AX440" s="857">
        <f t="shared" si="245"/>
        <v>0</v>
      </c>
      <c r="AY440" s="807">
        <f t="shared" si="246"/>
        <v>0</v>
      </c>
      <c r="AZ440" s="2934">
        <f t="shared" si="247"/>
        <v>0</v>
      </c>
      <c r="BA440" s="2934">
        <f t="shared" si="248"/>
        <v>0</v>
      </c>
      <c r="BB440" s="2934">
        <f t="shared" si="249"/>
        <v>0</v>
      </c>
      <c r="BC440" s="2934">
        <f t="shared" si="250"/>
        <v>0</v>
      </c>
      <c r="BD440" s="2934">
        <f t="shared" si="251"/>
        <v>0</v>
      </c>
      <c r="BE440" s="2934">
        <f t="shared" si="252"/>
        <v>0</v>
      </c>
      <c r="BF440" s="2934">
        <f t="shared" si="253"/>
        <v>0</v>
      </c>
      <c r="BG440" s="2934">
        <f t="shared" si="254"/>
        <v>0</v>
      </c>
      <c r="BH440" s="2934">
        <f t="shared" si="255"/>
        <v>0</v>
      </c>
      <c r="BI440" s="2934">
        <f t="shared" si="256"/>
        <v>0</v>
      </c>
      <c r="BJ440" s="2934">
        <f t="shared" si="257"/>
        <v>0</v>
      </c>
      <c r="BK440" s="2934">
        <f t="shared" si="258"/>
        <v>0</v>
      </c>
      <c r="BL440" s="2934">
        <f t="shared" si="259"/>
        <v>0</v>
      </c>
      <c r="BM440" s="2934">
        <f t="shared" si="260"/>
        <v>0</v>
      </c>
      <c r="BN440" s="2934">
        <f t="shared" si="261"/>
        <v>0</v>
      </c>
      <c r="BO440" s="2934">
        <f t="shared" si="262"/>
        <v>0</v>
      </c>
      <c r="BP440" s="2934">
        <f t="shared" si="263"/>
        <v>0</v>
      </c>
      <c r="BQ440" s="2934">
        <f t="shared" si="264"/>
        <v>0</v>
      </c>
      <c r="BR440" s="2934">
        <f t="shared" si="265"/>
        <v>0</v>
      </c>
      <c r="BS440" s="2934">
        <f t="shared" si="266"/>
        <v>0</v>
      </c>
      <c r="BT440" s="2982">
        <f t="shared" si="267"/>
        <v>0</v>
      </c>
    </row>
    <row r="441" spans="1:72">
      <c r="A441" s="874"/>
      <c r="B441" s="882"/>
      <c r="C441" s="882"/>
      <c r="D441" s="2933"/>
      <c r="E441" s="2934">
        <f t="shared" si="239"/>
        <v>0</v>
      </c>
      <c r="F441" s="2935"/>
      <c r="G441" s="2936">
        <f t="shared" si="240"/>
        <v>0</v>
      </c>
      <c r="H441" s="2937">
        <f t="shared" si="241"/>
        <v>0</v>
      </c>
      <c r="I441" s="2944"/>
      <c r="J441" s="2944"/>
      <c r="K441" s="2944"/>
      <c r="L441" s="2944"/>
      <c r="M441" s="2944"/>
      <c r="N441" s="2944"/>
      <c r="O441" s="2944"/>
      <c r="P441" s="2944"/>
      <c r="Q441" s="2944"/>
      <c r="R441" s="2944"/>
      <c r="S441" s="2944"/>
      <c r="T441" s="2944"/>
      <c r="U441" s="2944"/>
      <c r="V441" s="2944"/>
      <c r="W441" s="2944"/>
      <c r="X441" s="2944"/>
      <c r="Y441" s="2944"/>
      <c r="Z441" s="2944"/>
      <c r="AA441" s="2944"/>
      <c r="AB441" s="2944"/>
      <c r="AC441" s="2934">
        <f t="shared" si="242"/>
        <v>0</v>
      </c>
      <c r="AD441" s="2954"/>
      <c r="AE441" s="2954"/>
      <c r="AF441" s="2954"/>
      <c r="AG441" s="2954"/>
      <c r="AH441" s="2954"/>
      <c r="AI441" s="2954"/>
      <c r="AJ441" s="2954"/>
      <c r="AK441" s="2954"/>
      <c r="AL441" s="2954"/>
      <c r="AM441" s="2954"/>
      <c r="AN441" s="2954"/>
      <c r="AO441" s="2954"/>
      <c r="AP441" s="2954"/>
      <c r="AQ441" s="2954"/>
      <c r="AR441" s="2954"/>
      <c r="AS441" s="2954"/>
      <c r="AT441" s="2935"/>
      <c r="AU441" s="2964"/>
      <c r="AV441" s="857">
        <f t="shared" si="243"/>
        <v>0</v>
      </c>
      <c r="AW441" s="857">
        <f t="shared" si="244"/>
        <v>0</v>
      </c>
      <c r="AX441" s="857">
        <f t="shared" si="245"/>
        <v>0</v>
      </c>
      <c r="AY441" s="807">
        <f t="shared" si="246"/>
        <v>0</v>
      </c>
      <c r="AZ441" s="2934">
        <f t="shared" si="247"/>
        <v>0</v>
      </c>
      <c r="BA441" s="2934">
        <f t="shared" si="248"/>
        <v>0</v>
      </c>
      <c r="BB441" s="2934">
        <f t="shared" si="249"/>
        <v>0</v>
      </c>
      <c r="BC441" s="2934">
        <f t="shared" si="250"/>
        <v>0</v>
      </c>
      <c r="BD441" s="2934">
        <f t="shared" si="251"/>
        <v>0</v>
      </c>
      <c r="BE441" s="2934">
        <f t="shared" si="252"/>
        <v>0</v>
      </c>
      <c r="BF441" s="2934">
        <f t="shared" si="253"/>
        <v>0</v>
      </c>
      <c r="BG441" s="2934">
        <f t="shared" si="254"/>
        <v>0</v>
      </c>
      <c r="BH441" s="2934">
        <f t="shared" si="255"/>
        <v>0</v>
      </c>
      <c r="BI441" s="2934">
        <f t="shared" si="256"/>
        <v>0</v>
      </c>
      <c r="BJ441" s="2934">
        <f t="shared" si="257"/>
        <v>0</v>
      </c>
      <c r="BK441" s="2934">
        <f t="shared" si="258"/>
        <v>0</v>
      </c>
      <c r="BL441" s="2934">
        <f t="shared" si="259"/>
        <v>0</v>
      </c>
      <c r="BM441" s="2934">
        <f t="shared" si="260"/>
        <v>0</v>
      </c>
      <c r="BN441" s="2934">
        <f t="shared" si="261"/>
        <v>0</v>
      </c>
      <c r="BO441" s="2934">
        <f t="shared" si="262"/>
        <v>0</v>
      </c>
      <c r="BP441" s="2934">
        <f t="shared" si="263"/>
        <v>0</v>
      </c>
      <c r="BQ441" s="2934">
        <f t="shared" si="264"/>
        <v>0</v>
      </c>
      <c r="BR441" s="2934">
        <f t="shared" si="265"/>
        <v>0</v>
      </c>
      <c r="BS441" s="2934">
        <f t="shared" si="266"/>
        <v>0</v>
      </c>
      <c r="BT441" s="2982">
        <f t="shared" si="267"/>
        <v>0</v>
      </c>
    </row>
    <row r="442" spans="1:72">
      <c r="A442" s="874"/>
      <c r="B442" s="882"/>
      <c r="C442" s="882"/>
      <c r="D442" s="2933"/>
      <c r="E442" s="2934">
        <f t="shared" si="239"/>
        <v>0</v>
      </c>
      <c r="F442" s="2935"/>
      <c r="G442" s="2936">
        <f t="shared" si="240"/>
        <v>0</v>
      </c>
      <c r="H442" s="2937">
        <f t="shared" si="241"/>
        <v>0</v>
      </c>
      <c r="I442" s="2944"/>
      <c r="J442" s="2944"/>
      <c r="K442" s="2944"/>
      <c r="L442" s="2944"/>
      <c r="M442" s="2944"/>
      <c r="N442" s="2944"/>
      <c r="O442" s="2944"/>
      <c r="P442" s="2944"/>
      <c r="Q442" s="2944"/>
      <c r="R442" s="2944"/>
      <c r="S442" s="2944"/>
      <c r="T442" s="2944"/>
      <c r="U442" s="2944"/>
      <c r="V442" s="2944"/>
      <c r="W442" s="2944"/>
      <c r="X442" s="2944"/>
      <c r="Y442" s="2944"/>
      <c r="Z442" s="2944"/>
      <c r="AA442" s="2944"/>
      <c r="AB442" s="2944"/>
      <c r="AC442" s="2934">
        <f t="shared" si="242"/>
        <v>0</v>
      </c>
      <c r="AD442" s="2954"/>
      <c r="AE442" s="2954"/>
      <c r="AF442" s="2954"/>
      <c r="AG442" s="2954"/>
      <c r="AH442" s="2954"/>
      <c r="AI442" s="2954"/>
      <c r="AJ442" s="2954"/>
      <c r="AK442" s="2954"/>
      <c r="AL442" s="2954"/>
      <c r="AM442" s="2954"/>
      <c r="AN442" s="2954"/>
      <c r="AO442" s="2954"/>
      <c r="AP442" s="2954"/>
      <c r="AQ442" s="2954"/>
      <c r="AR442" s="2954"/>
      <c r="AS442" s="2954"/>
      <c r="AT442" s="2935"/>
      <c r="AU442" s="2964"/>
      <c r="AV442" s="857">
        <f t="shared" si="243"/>
        <v>0</v>
      </c>
      <c r="AW442" s="857">
        <f t="shared" si="244"/>
        <v>0</v>
      </c>
      <c r="AX442" s="857">
        <f t="shared" si="245"/>
        <v>0</v>
      </c>
      <c r="AY442" s="807">
        <f t="shared" si="246"/>
        <v>0</v>
      </c>
      <c r="AZ442" s="2934">
        <f t="shared" si="247"/>
        <v>0</v>
      </c>
      <c r="BA442" s="2934">
        <f t="shared" si="248"/>
        <v>0</v>
      </c>
      <c r="BB442" s="2934">
        <f t="shared" si="249"/>
        <v>0</v>
      </c>
      <c r="BC442" s="2934">
        <f t="shared" si="250"/>
        <v>0</v>
      </c>
      <c r="BD442" s="2934">
        <f t="shared" si="251"/>
        <v>0</v>
      </c>
      <c r="BE442" s="2934">
        <f t="shared" si="252"/>
        <v>0</v>
      </c>
      <c r="BF442" s="2934">
        <f t="shared" si="253"/>
        <v>0</v>
      </c>
      <c r="BG442" s="2934">
        <f t="shared" si="254"/>
        <v>0</v>
      </c>
      <c r="BH442" s="2934">
        <f t="shared" si="255"/>
        <v>0</v>
      </c>
      <c r="BI442" s="2934">
        <f t="shared" si="256"/>
        <v>0</v>
      </c>
      <c r="BJ442" s="2934">
        <f t="shared" si="257"/>
        <v>0</v>
      </c>
      <c r="BK442" s="2934">
        <f t="shared" si="258"/>
        <v>0</v>
      </c>
      <c r="BL442" s="2934">
        <f t="shared" si="259"/>
        <v>0</v>
      </c>
      <c r="BM442" s="2934">
        <f t="shared" si="260"/>
        <v>0</v>
      </c>
      <c r="BN442" s="2934">
        <f t="shared" si="261"/>
        <v>0</v>
      </c>
      <c r="BO442" s="2934">
        <f t="shared" si="262"/>
        <v>0</v>
      </c>
      <c r="BP442" s="2934">
        <f t="shared" si="263"/>
        <v>0</v>
      </c>
      <c r="BQ442" s="2934">
        <f t="shared" si="264"/>
        <v>0</v>
      </c>
      <c r="BR442" s="2934">
        <f t="shared" si="265"/>
        <v>0</v>
      </c>
      <c r="BS442" s="2934">
        <f t="shared" si="266"/>
        <v>0</v>
      </c>
      <c r="BT442" s="2982">
        <f t="shared" si="267"/>
        <v>0</v>
      </c>
    </row>
    <row r="443" spans="1:72">
      <c r="A443" s="874"/>
      <c r="B443" s="882"/>
      <c r="C443" s="882"/>
      <c r="D443" s="2933"/>
      <c r="E443" s="2934">
        <f t="shared" si="239"/>
        <v>0</v>
      </c>
      <c r="F443" s="2935"/>
      <c r="G443" s="2936">
        <f t="shared" si="240"/>
        <v>0</v>
      </c>
      <c r="H443" s="2937">
        <f t="shared" si="241"/>
        <v>0</v>
      </c>
      <c r="I443" s="2944"/>
      <c r="J443" s="2944"/>
      <c r="K443" s="2944"/>
      <c r="L443" s="2944"/>
      <c r="M443" s="2944"/>
      <c r="N443" s="2944"/>
      <c r="O443" s="2944"/>
      <c r="P443" s="2944"/>
      <c r="Q443" s="2944"/>
      <c r="R443" s="2944"/>
      <c r="S443" s="2944"/>
      <c r="T443" s="2944"/>
      <c r="U443" s="2944"/>
      <c r="V443" s="2944"/>
      <c r="W443" s="2944"/>
      <c r="X443" s="2944"/>
      <c r="Y443" s="2944"/>
      <c r="Z443" s="2944"/>
      <c r="AA443" s="2944"/>
      <c r="AB443" s="2944"/>
      <c r="AC443" s="2934">
        <f t="shared" si="242"/>
        <v>0</v>
      </c>
      <c r="AD443" s="2954"/>
      <c r="AE443" s="2954"/>
      <c r="AF443" s="2954"/>
      <c r="AG443" s="2954"/>
      <c r="AH443" s="2954"/>
      <c r="AI443" s="2954"/>
      <c r="AJ443" s="2954"/>
      <c r="AK443" s="2954"/>
      <c r="AL443" s="2954"/>
      <c r="AM443" s="2954"/>
      <c r="AN443" s="2954"/>
      <c r="AO443" s="2954"/>
      <c r="AP443" s="2954"/>
      <c r="AQ443" s="2954"/>
      <c r="AR443" s="2954"/>
      <c r="AS443" s="2954"/>
      <c r="AT443" s="2935"/>
      <c r="AU443" s="2964"/>
      <c r="AV443" s="857">
        <f t="shared" si="243"/>
        <v>0</v>
      </c>
      <c r="AW443" s="857">
        <f t="shared" si="244"/>
        <v>0</v>
      </c>
      <c r="AX443" s="857">
        <f t="shared" si="245"/>
        <v>0</v>
      </c>
      <c r="AY443" s="807">
        <f t="shared" si="246"/>
        <v>0</v>
      </c>
      <c r="AZ443" s="2934">
        <f t="shared" si="247"/>
        <v>0</v>
      </c>
      <c r="BA443" s="2934">
        <f t="shared" si="248"/>
        <v>0</v>
      </c>
      <c r="BB443" s="2934">
        <f t="shared" si="249"/>
        <v>0</v>
      </c>
      <c r="BC443" s="2934">
        <f t="shared" si="250"/>
        <v>0</v>
      </c>
      <c r="BD443" s="2934">
        <f t="shared" si="251"/>
        <v>0</v>
      </c>
      <c r="BE443" s="2934">
        <f t="shared" si="252"/>
        <v>0</v>
      </c>
      <c r="BF443" s="2934">
        <f t="shared" si="253"/>
        <v>0</v>
      </c>
      <c r="BG443" s="2934">
        <f t="shared" si="254"/>
        <v>0</v>
      </c>
      <c r="BH443" s="2934">
        <f t="shared" si="255"/>
        <v>0</v>
      </c>
      <c r="BI443" s="2934">
        <f t="shared" si="256"/>
        <v>0</v>
      </c>
      <c r="BJ443" s="2934">
        <f t="shared" si="257"/>
        <v>0</v>
      </c>
      <c r="BK443" s="2934">
        <f t="shared" si="258"/>
        <v>0</v>
      </c>
      <c r="BL443" s="2934">
        <f t="shared" si="259"/>
        <v>0</v>
      </c>
      <c r="BM443" s="2934">
        <f t="shared" si="260"/>
        <v>0</v>
      </c>
      <c r="BN443" s="2934">
        <f t="shared" si="261"/>
        <v>0</v>
      </c>
      <c r="BO443" s="2934">
        <f t="shared" si="262"/>
        <v>0</v>
      </c>
      <c r="BP443" s="2934">
        <f t="shared" si="263"/>
        <v>0</v>
      </c>
      <c r="BQ443" s="2934">
        <f t="shared" si="264"/>
        <v>0</v>
      </c>
      <c r="BR443" s="2934">
        <f t="shared" si="265"/>
        <v>0</v>
      </c>
      <c r="BS443" s="2934">
        <f t="shared" si="266"/>
        <v>0</v>
      </c>
      <c r="BT443" s="2982">
        <f t="shared" si="267"/>
        <v>0</v>
      </c>
    </row>
    <row r="444" spans="1:72">
      <c r="A444" s="874"/>
      <c r="B444" s="882"/>
      <c r="C444" s="882"/>
      <c r="D444" s="2933"/>
      <c r="E444" s="2934">
        <f t="shared" si="239"/>
        <v>0</v>
      </c>
      <c r="F444" s="2935"/>
      <c r="G444" s="2936">
        <f t="shared" si="240"/>
        <v>0</v>
      </c>
      <c r="H444" s="2937">
        <f t="shared" si="241"/>
        <v>0</v>
      </c>
      <c r="I444" s="2944"/>
      <c r="J444" s="2944"/>
      <c r="K444" s="2944"/>
      <c r="L444" s="2944"/>
      <c r="M444" s="2944"/>
      <c r="N444" s="2944"/>
      <c r="O444" s="2944"/>
      <c r="P444" s="2944"/>
      <c r="Q444" s="2944"/>
      <c r="R444" s="2944"/>
      <c r="S444" s="2944"/>
      <c r="T444" s="2944"/>
      <c r="U444" s="2944"/>
      <c r="V444" s="2944"/>
      <c r="W444" s="2944"/>
      <c r="X444" s="2944"/>
      <c r="Y444" s="2944"/>
      <c r="Z444" s="2944"/>
      <c r="AA444" s="2944"/>
      <c r="AB444" s="2944"/>
      <c r="AC444" s="2934">
        <f t="shared" si="242"/>
        <v>0</v>
      </c>
      <c r="AD444" s="2954"/>
      <c r="AE444" s="2954"/>
      <c r="AF444" s="2954"/>
      <c r="AG444" s="2954"/>
      <c r="AH444" s="2954"/>
      <c r="AI444" s="2954"/>
      <c r="AJ444" s="2954"/>
      <c r="AK444" s="2954"/>
      <c r="AL444" s="2954"/>
      <c r="AM444" s="2954"/>
      <c r="AN444" s="2954"/>
      <c r="AO444" s="2954"/>
      <c r="AP444" s="2954"/>
      <c r="AQ444" s="2954"/>
      <c r="AR444" s="2954"/>
      <c r="AS444" s="2954"/>
      <c r="AT444" s="2935"/>
      <c r="AU444" s="2964"/>
      <c r="AV444" s="857">
        <f t="shared" si="243"/>
        <v>0</v>
      </c>
      <c r="AW444" s="857">
        <f t="shared" si="244"/>
        <v>0</v>
      </c>
      <c r="AX444" s="857">
        <f t="shared" si="245"/>
        <v>0</v>
      </c>
      <c r="AY444" s="807">
        <f t="shared" si="246"/>
        <v>0</v>
      </c>
      <c r="AZ444" s="2934">
        <f t="shared" si="247"/>
        <v>0</v>
      </c>
      <c r="BA444" s="2934">
        <f t="shared" si="248"/>
        <v>0</v>
      </c>
      <c r="BB444" s="2934">
        <f t="shared" si="249"/>
        <v>0</v>
      </c>
      <c r="BC444" s="2934">
        <f t="shared" si="250"/>
        <v>0</v>
      </c>
      <c r="BD444" s="2934">
        <f t="shared" si="251"/>
        <v>0</v>
      </c>
      <c r="BE444" s="2934">
        <f t="shared" si="252"/>
        <v>0</v>
      </c>
      <c r="BF444" s="2934">
        <f t="shared" si="253"/>
        <v>0</v>
      </c>
      <c r="BG444" s="2934">
        <f t="shared" si="254"/>
        <v>0</v>
      </c>
      <c r="BH444" s="2934">
        <f t="shared" si="255"/>
        <v>0</v>
      </c>
      <c r="BI444" s="2934">
        <f t="shared" si="256"/>
        <v>0</v>
      </c>
      <c r="BJ444" s="2934">
        <f t="shared" si="257"/>
        <v>0</v>
      </c>
      <c r="BK444" s="2934">
        <f t="shared" si="258"/>
        <v>0</v>
      </c>
      <c r="BL444" s="2934">
        <f t="shared" si="259"/>
        <v>0</v>
      </c>
      <c r="BM444" s="2934">
        <f t="shared" si="260"/>
        <v>0</v>
      </c>
      <c r="BN444" s="2934">
        <f t="shared" si="261"/>
        <v>0</v>
      </c>
      <c r="BO444" s="2934">
        <f t="shared" si="262"/>
        <v>0</v>
      </c>
      <c r="BP444" s="2934">
        <f t="shared" si="263"/>
        <v>0</v>
      </c>
      <c r="BQ444" s="2934">
        <f t="shared" si="264"/>
        <v>0</v>
      </c>
      <c r="BR444" s="2934">
        <f t="shared" si="265"/>
        <v>0</v>
      </c>
      <c r="BS444" s="2934">
        <f t="shared" si="266"/>
        <v>0</v>
      </c>
      <c r="BT444" s="2982">
        <f t="shared" si="267"/>
        <v>0</v>
      </c>
    </row>
    <row r="445" spans="1:72">
      <c r="A445" s="874"/>
      <c r="B445" s="882"/>
      <c r="C445" s="882"/>
      <c r="D445" s="2933"/>
      <c r="E445" s="2934">
        <f t="shared" si="239"/>
        <v>0</v>
      </c>
      <c r="F445" s="2935"/>
      <c r="G445" s="2936">
        <f t="shared" si="240"/>
        <v>0</v>
      </c>
      <c r="H445" s="2937">
        <f t="shared" si="241"/>
        <v>0</v>
      </c>
      <c r="I445" s="2944"/>
      <c r="J445" s="2944"/>
      <c r="K445" s="2944"/>
      <c r="L445" s="2944"/>
      <c r="M445" s="2944"/>
      <c r="N445" s="2944"/>
      <c r="O445" s="2944"/>
      <c r="P445" s="2944"/>
      <c r="Q445" s="2944"/>
      <c r="R445" s="2944"/>
      <c r="S445" s="2944"/>
      <c r="T445" s="2944"/>
      <c r="U445" s="2944"/>
      <c r="V445" s="2944"/>
      <c r="W445" s="2944"/>
      <c r="X445" s="2944"/>
      <c r="Y445" s="2944"/>
      <c r="Z445" s="2944"/>
      <c r="AA445" s="2944"/>
      <c r="AB445" s="2944"/>
      <c r="AC445" s="2934">
        <f t="shared" si="242"/>
        <v>0</v>
      </c>
      <c r="AD445" s="2954"/>
      <c r="AE445" s="2954"/>
      <c r="AF445" s="2954"/>
      <c r="AG445" s="2954"/>
      <c r="AH445" s="2954"/>
      <c r="AI445" s="2954"/>
      <c r="AJ445" s="2954"/>
      <c r="AK445" s="2954"/>
      <c r="AL445" s="2954"/>
      <c r="AM445" s="2954"/>
      <c r="AN445" s="2954"/>
      <c r="AO445" s="2954"/>
      <c r="AP445" s="2954"/>
      <c r="AQ445" s="2954"/>
      <c r="AR445" s="2954"/>
      <c r="AS445" s="2954"/>
      <c r="AT445" s="2935"/>
      <c r="AU445" s="2964"/>
      <c r="AV445" s="857">
        <f t="shared" si="243"/>
        <v>0</v>
      </c>
      <c r="AW445" s="857">
        <f t="shared" si="244"/>
        <v>0</v>
      </c>
      <c r="AX445" s="857">
        <f t="shared" si="245"/>
        <v>0</v>
      </c>
      <c r="AY445" s="807">
        <f t="shared" si="246"/>
        <v>0</v>
      </c>
      <c r="AZ445" s="2934">
        <f t="shared" si="247"/>
        <v>0</v>
      </c>
      <c r="BA445" s="2934">
        <f t="shared" si="248"/>
        <v>0</v>
      </c>
      <c r="BB445" s="2934">
        <f t="shared" si="249"/>
        <v>0</v>
      </c>
      <c r="BC445" s="2934">
        <f t="shared" si="250"/>
        <v>0</v>
      </c>
      <c r="BD445" s="2934">
        <f t="shared" si="251"/>
        <v>0</v>
      </c>
      <c r="BE445" s="2934">
        <f t="shared" si="252"/>
        <v>0</v>
      </c>
      <c r="BF445" s="2934">
        <f t="shared" si="253"/>
        <v>0</v>
      </c>
      <c r="BG445" s="2934">
        <f t="shared" si="254"/>
        <v>0</v>
      </c>
      <c r="BH445" s="2934">
        <f t="shared" si="255"/>
        <v>0</v>
      </c>
      <c r="BI445" s="2934">
        <f t="shared" si="256"/>
        <v>0</v>
      </c>
      <c r="BJ445" s="2934">
        <f t="shared" si="257"/>
        <v>0</v>
      </c>
      <c r="BK445" s="2934">
        <f t="shared" si="258"/>
        <v>0</v>
      </c>
      <c r="BL445" s="2934">
        <f t="shared" si="259"/>
        <v>0</v>
      </c>
      <c r="BM445" s="2934">
        <f t="shared" si="260"/>
        <v>0</v>
      </c>
      <c r="BN445" s="2934">
        <f t="shared" si="261"/>
        <v>0</v>
      </c>
      <c r="BO445" s="2934">
        <f t="shared" si="262"/>
        <v>0</v>
      </c>
      <c r="BP445" s="2934">
        <f t="shared" si="263"/>
        <v>0</v>
      </c>
      <c r="BQ445" s="2934">
        <f t="shared" si="264"/>
        <v>0</v>
      </c>
      <c r="BR445" s="2934">
        <f t="shared" si="265"/>
        <v>0</v>
      </c>
      <c r="BS445" s="2934">
        <f t="shared" si="266"/>
        <v>0</v>
      </c>
      <c r="BT445" s="2982">
        <f t="shared" si="267"/>
        <v>0</v>
      </c>
    </row>
    <row r="446" spans="1:72">
      <c r="A446" s="874"/>
      <c r="B446" s="882"/>
      <c r="C446" s="882"/>
      <c r="D446" s="2933"/>
      <c r="E446" s="2934">
        <f t="shared" si="239"/>
        <v>0</v>
      </c>
      <c r="F446" s="2935"/>
      <c r="G446" s="2936">
        <f t="shared" si="240"/>
        <v>0</v>
      </c>
      <c r="H446" s="2937">
        <f t="shared" si="241"/>
        <v>0</v>
      </c>
      <c r="I446" s="2944"/>
      <c r="J446" s="2944"/>
      <c r="K446" s="2944"/>
      <c r="L446" s="2944"/>
      <c r="M446" s="2944"/>
      <c r="N446" s="2944"/>
      <c r="O446" s="2944"/>
      <c r="P446" s="2944"/>
      <c r="Q446" s="2944"/>
      <c r="R446" s="2944"/>
      <c r="S446" s="2944"/>
      <c r="T446" s="2944"/>
      <c r="U446" s="2944"/>
      <c r="V446" s="2944"/>
      <c r="W446" s="2944"/>
      <c r="X446" s="2944"/>
      <c r="Y446" s="2944"/>
      <c r="Z446" s="2944"/>
      <c r="AA446" s="2944"/>
      <c r="AB446" s="2944"/>
      <c r="AC446" s="2934">
        <f t="shared" si="242"/>
        <v>0</v>
      </c>
      <c r="AD446" s="2954"/>
      <c r="AE446" s="2954"/>
      <c r="AF446" s="2954"/>
      <c r="AG446" s="2954"/>
      <c r="AH446" s="2954"/>
      <c r="AI446" s="2954"/>
      <c r="AJ446" s="2954"/>
      <c r="AK446" s="2954"/>
      <c r="AL446" s="2954"/>
      <c r="AM446" s="2954"/>
      <c r="AN446" s="2954"/>
      <c r="AO446" s="2954"/>
      <c r="AP446" s="2954"/>
      <c r="AQ446" s="2954"/>
      <c r="AR446" s="2954"/>
      <c r="AS446" s="2954"/>
      <c r="AT446" s="2935"/>
      <c r="AU446" s="2964"/>
      <c r="AV446" s="857">
        <f t="shared" si="243"/>
        <v>0</v>
      </c>
      <c r="AW446" s="857">
        <f t="shared" si="244"/>
        <v>0</v>
      </c>
      <c r="AX446" s="857">
        <f t="shared" si="245"/>
        <v>0</v>
      </c>
      <c r="AY446" s="807">
        <f t="shared" si="246"/>
        <v>0</v>
      </c>
      <c r="AZ446" s="2934">
        <f t="shared" si="247"/>
        <v>0</v>
      </c>
      <c r="BA446" s="2934">
        <f t="shared" si="248"/>
        <v>0</v>
      </c>
      <c r="BB446" s="2934">
        <f t="shared" si="249"/>
        <v>0</v>
      </c>
      <c r="BC446" s="2934">
        <f t="shared" si="250"/>
        <v>0</v>
      </c>
      <c r="BD446" s="2934">
        <f t="shared" si="251"/>
        <v>0</v>
      </c>
      <c r="BE446" s="2934">
        <f t="shared" si="252"/>
        <v>0</v>
      </c>
      <c r="BF446" s="2934">
        <f t="shared" si="253"/>
        <v>0</v>
      </c>
      <c r="BG446" s="2934">
        <f t="shared" si="254"/>
        <v>0</v>
      </c>
      <c r="BH446" s="2934">
        <f t="shared" si="255"/>
        <v>0</v>
      </c>
      <c r="BI446" s="2934">
        <f t="shared" si="256"/>
        <v>0</v>
      </c>
      <c r="BJ446" s="2934">
        <f t="shared" si="257"/>
        <v>0</v>
      </c>
      <c r="BK446" s="2934">
        <f t="shared" si="258"/>
        <v>0</v>
      </c>
      <c r="BL446" s="2934">
        <f t="shared" si="259"/>
        <v>0</v>
      </c>
      <c r="BM446" s="2934">
        <f t="shared" si="260"/>
        <v>0</v>
      </c>
      <c r="BN446" s="2934">
        <f t="shared" si="261"/>
        <v>0</v>
      </c>
      <c r="BO446" s="2934">
        <f t="shared" si="262"/>
        <v>0</v>
      </c>
      <c r="BP446" s="2934">
        <f t="shared" si="263"/>
        <v>0</v>
      </c>
      <c r="BQ446" s="2934">
        <f t="shared" si="264"/>
        <v>0</v>
      </c>
      <c r="BR446" s="2934">
        <f t="shared" si="265"/>
        <v>0</v>
      </c>
      <c r="BS446" s="2934">
        <f t="shared" si="266"/>
        <v>0</v>
      </c>
      <c r="BT446" s="2982">
        <f t="shared" si="267"/>
        <v>0</v>
      </c>
    </row>
    <row r="447" spans="1:72">
      <c r="A447" s="874"/>
      <c r="B447" s="882"/>
      <c r="C447" s="882"/>
      <c r="D447" s="2933"/>
      <c r="E447" s="2934">
        <f t="shared" si="239"/>
        <v>0</v>
      </c>
      <c r="F447" s="2935"/>
      <c r="G447" s="2936">
        <f t="shared" si="240"/>
        <v>0</v>
      </c>
      <c r="H447" s="2937">
        <f t="shared" si="241"/>
        <v>0</v>
      </c>
      <c r="I447" s="2944"/>
      <c r="J447" s="2944"/>
      <c r="K447" s="2944"/>
      <c r="L447" s="2944"/>
      <c r="M447" s="2944"/>
      <c r="N447" s="2944"/>
      <c r="O447" s="2944"/>
      <c r="P447" s="2944"/>
      <c r="Q447" s="2944"/>
      <c r="R447" s="2944"/>
      <c r="S447" s="2944"/>
      <c r="T447" s="2944"/>
      <c r="U447" s="2944"/>
      <c r="V447" s="2944"/>
      <c r="W447" s="2944"/>
      <c r="X447" s="2944"/>
      <c r="Y447" s="2944"/>
      <c r="Z447" s="2944"/>
      <c r="AA447" s="2944"/>
      <c r="AB447" s="2944"/>
      <c r="AC447" s="2934">
        <f t="shared" si="242"/>
        <v>0</v>
      </c>
      <c r="AD447" s="2954"/>
      <c r="AE447" s="2954"/>
      <c r="AF447" s="2954"/>
      <c r="AG447" s="2954"/>
      <c r="AH447" s="2954"/>
      <c r="AI447" s="2954"/>
      <c r="AJ447" s="2954"/>
      <c r="AK447" s="2954"/>
      <c r="AL447" s="2954"/>
      <c r="AM447" s="2954"/>
      <c r="AN447" s="2954"/>
      <c r="AO447" s="2954"/>
      <c r="AP447" s="2954"/>
      <c r="AQ447" s="2954"/>
      <c r="AR447" s="2954"/>
      <c r="AS447" s="2954"/>
      <c r="AT447" s="2935"/>
      <c r="AU447" s="2964"/>
      <c r="AV447" s="857">
        <f t="shared" si="243"/>
        <v>0</v>
      </c>
      <c r="AW447" s="857">
        <f t="shared" si="244"/>
        <v>0</v>
      </c>
      <c r="AX447" s="857">
        <f t="shared" si="245"/>
        <v>0</v>
      </c>
      <c r="AY447" s="807">
        <f t="shared" si="246"/>
        <v>0</v>
      </c>
      <c r="AZ447" s="2934">
        <f t="shared" si="247"/>
        <v>0</v>
      </c>
      <c r="BA447" s="2934">
        <f t="shared" si="248"/>
        <v>0</v>
      </c>
      <c r="BB447" s="2934">
        <f t="shared" si="249"/>
        <v>0</v>
      </c>
      <c r="BC447" s="2934">
        <f t="shared" si="250"/>
        <v>0</v>
      </c>
      <c r="BD447" s="2934">
        <f t="shared" si="251"/>
        <v>0</v>
      </c>
      <c r="BE447" s="2934">
        <f t="shared" si="252"/>
        <v>0</v>
      </c>
      <c r="BF447" s="2934">
        <f t="shared" si="253"/>
        <v>0</v>
      </c>
      <c r="BG447" s="2934">
        <f t="shared" si="254"/>
        <v>0</v>
      </c>
      <c r="BH447" s="2934">
        <f t="shared" si="255"/>
        <v>0</v>
      </c>
      <c r="BI447" s="2934">
        <f t="shared" si="256"/>
        <v>0</v>
      </c>
      <c r="BJ447" s="2934">
        <f t="shared" si="257"/>
        <v>0</v>
      </c>
      <c r="BK447" s="2934">
        <f t="shared" si="258"/>
        <v>0</v>
      </c>
      <c r="BL447" s="2934">
        <f t="shared" si="259"/>
        <v>0</v>
      </c>
      <c r="BM447" s="2934">
        <f t="shared" si="260"/>
        <v>0</v>
      </c>
      <c r="BN447" s="2934">
        <f t="shared" si="261"/>
        <v>0</v>
      </c>
      <c r="BO447" s="2934">
        <f t="shared" si="262"/>
        <v>0</v>
      </c>
      <c r="BP447" s="2934">
        <f t="shared" si="263"/>
        <v>0</v>
      </c>
      <c r="BQ447" s="2934">
        <f t="shared" si="264"/>
        <v>0</v>
      </c>
      <c r="BR447" s="2934">
        <f t="shared" si="265"/>
        <v>0</v>
      </c>
      <c r="BS447" s="2934">
        <f t="shared" si="266"/>
        <v>0</v>
      </c>
      <c r="BT447" s="2982">
        <f t="shared" si="267"/>
        <v>0</v>
      </c>
    </row>
    <row r="448" spans="1:72">
      <c r="A448" s="874"/>
      <c r="B448" s="882"/>
      <c r="C448" s="882"/>
      <c r="D448" s="2933"/>
      <c r="E448" s="2934">
        <f t="shared" si="239"/>
        <v>0</v>
      </c>
      <c r="F448" s="2935"/>
      <c r="G448" s="2936">
        <f t="shared" si="240"/>
        <v>0</v>
      </c>
      <c r="H448" s="2937">
        <f t="shared" si="241"/>
        <v>0</v>
      </c>
      <c r="I448" s="2944"/>
      <c r="J448" s="2944"/>
      <c r="K448" s="2944"/>
      <c r="L448" s="2944"/>
      <c r="M448" s="2944"/>
      <c r="N448" s="2944"/>
      <c r="O448" s="2944"/>
      <c r="P448" s="2944"/>
      <c r="Q448" s="2944"/>
      <c r="R448" s="2944"/>
      <c r="S448" s="2944"/>
      <c r="T448" s="2944"/>
      <c r="U448" s="2944"/>
      <c r="V448" s="2944"/>
      <c r="W448" s="2944"/>
      <c r="X448" s="2944"/>
      <c r="Y448" s="2944"/>
      <c r="Z448" s="2944"/>
      <c r="AA448" s="2944"/>
      <c r="AB448" s="2944"/>
      <c r="AC448" s="2934">
        <f t="shared" si="242"/>
        <v>0</v>
      </c>
      <c r="AD448" s="2954"/>
      <c r="AE448" s="2954"/>
      <c r="AF448" s="2954"/>
      <c r="AG448" s="2954"/>
      <c r="AH448" s="2954"/>
      <c r="AI448" s="2954"/>
      <c r="AJ448" s="2954"/>
      <c r="AK448" s="2954"/>
      <c r="AL448" s="2954"/>
      <c r="AM448" s="2954"/>
      <c r="AN448" s="2954"/>
      <c r="AO448" s="2954"/>
      <c r="AP448" s="2954"/>
      <c r="AQ448" s="2954"/>
      <c r="AR448" s="2954"/>
      <c r="AS448" s="2954"/>
      <c r="AT448" s="2935"/>
      <c r="AU448" s="2964"/>
      <c r="AV448" s="857">
        <f t="shared" si="243"/>
        <v>0</v>
      </c>
      <c r="AW448" s="857">
        <f t="shared" si="244"/>
        <v>0</v>
      </c>
      <c r="AX448" s="857">
        <f t="shared" si="245"/>
        <v>0</v>
      </c>
      <c r="AY448" s="807">
        <f t="shared" si="246"/>
        <v>0</v>
      </c>
      <c r="AZ448" s="2934">
        <f t="shared" si="247"/>
        <v>0</v>
      </c>
      <c r="BA448" s="2934">
        <f t="shared" si="248"/>
        <v>0</v>
      </c>
      <c r="BB448" s="2934">
        <f t="shared" si="249"/>
        <v>0</v>
      </c>
      <c r="BC448" s="2934">
        <f t="shared" si="250"/>
        <v>0</v>
      </c>
      <c r="BD448" s="2934">
        <f t="shared" si="251"/>
        <v>0</v>
      </c>
      <c r="BE448" s="2934">
        <f t="shared" si="252"/>
        <v>0</v>
      </c>
      <c r="BF448" s="2934">
        <f t="shared" si="253"/>
        <v>0</v>
      </c>
      <c r="BG448" s="2934">
        <f t="shared" si="254"/>
        <v>0</v>
      </c>
      <c r="BH448" s="2934">
        <f t="shared" si="255"/>
        <v>0</v>
      </c>
      <c r="BI448" s="2934">
        <f t="shared" si="256"/>
        <v>0</v>
      </c>
      <c r="BJ448" s="2934">
        <f t="shared" si="257"/>
        <v>0</v>
      </c>
      <c r="BK448" s="2934">
        <f t="shared" si="258"/>
        <v>0</v>
      </c>
      <c r="BL448" s="2934">
        <f t="shared" si="259"/>
        <v>0</v>
      </c>
      <c r="BM448" s="2934">
        <f t="shared" si="260"/>
        <v>0</v>
      </c>
      <c r="BN448" s="2934">
        <f t="shared" si="261"/>
        <v>0</v>
      </c>
      <c r="BO448" s="2934">
        <f t="shared" si="262"/>
        <v>0</v>
      </c>
      <c r="BP448" s="2934">
        <f t="shared" si="263"/>
        <v>0</v>
      </c>
      <c r="BQ448" s="2934">
        <f t="shared" si="264"/>
        <v>0</v>
      </c>
      <c r="BR448" s="2934">
        <f t="shared" si="265"/>
        <v>0</v>
      </c>
      <c r="BS448" s="2934">
        <f t="shared" si="266"/>
        <v>0</v>
      </c>
      <c r="BT448" s="2982">
        <f t="shared" si="267"/>
        <v>0</v>
      </c>
    </row>
    <row r="449" spans="1:72">
      <c r="A449" s="874"/>
      <c r="B449" s="882"/>
      <c r="C449" s="882"/>
      <c r="D449" s="2933"/>
      <c r="E449" s="2934">
        <f t="shared" si="239"/>
        <v>0</v>
      </c>
      <c r="F449" s="2935"/>
      <c r="G449" s="2936">
        <f t="shared" si="240"/>
        <v>0</v>
      </c>
      <c r="H449" s="2937">
        <f t="shared" si="241"/>
        <v>0</v>
      </c>
      <c r="I449" s="2944"/>
      <c r="J449" s="2944"/>
      <c r="K449" s="2944"/>
      <c r="L449" s="2944"/>
      <c r="M449" s="2944"/>
      <c r="N449" s="2944"/>
      <c r="O449" s="2944"/>
      <c r="P449" s="2944"/>
      <c r="Q449" s="2944"/>
      <c r="R449" s="2944"/>
      <c r="S449" s="2944"/>
      <c r="T449" s="2944"/>
      <c r="U449" s="2944"/>
      <c r="V449" s="2944"/>
      <c r="W449" s="2944"/>
      <c r="X449" s="2944"/>
      <c r="Y449" s="2944"/>
      <c r="Z449" s="2944"/>
      <c r="AA449" s="2944"/>
      <c r="AB449" s="2944"/>
      <c r="AC449" s="2934">
        <f t="shared" si="242"/>
        <v>0</v>
      </c>
      <c r="AD449" s="2954"/>
      <c r="AE449" s="2954"/>
      <c r="AF449" s="2954"/>
      <c r="AG449" s="2954"/>
      <c r="AH449" s="2954"/>
      <c r="AI449" s="2954"/>
      <c r="AJ449" s="2954"/>
      <c r="AK449" s="2954"/>
      <c r="AL449" s="2954"/>
      <c r="AM449" s="2954"/>
      <c r="AN449" s="2954"/>
      <c r="AO449" s="2954"/>
      <c r="AP449" s="2954"/>
      <c r="AQ449" s="2954"/>
      <c r="AR449" s="2954"/>
      <c r="AS449" s="2954"/>
      <c r="AT449" s="2935"/>
      <c r="AU449" s="2964"/>
      <c r="AV449" s="857">
        <f t="shared" si="243"/>
        <v>0</v>
      </c>
      <c r="AW449" s="857">
        <f t="shared" si="244"/>
        <v>0</v>
      </c>
      <c r="AX449" s="857">
        <f t="shared" si="245"/>
        <v>0</v>
      </c>
      <c r="AY449" s="807">
        <f t="shared" si="246"/>
        <v>0</v>
      </c>
      <c r="AZ449" s="2934">
        <f t="shared" si="247"/>
        <v>0</v>
      </c>
      <c r="BA449" s="2934">
        <f t="shared" si="248"/>
        <v>0</v>
      </c>
      <c r="BB449" s="2934">
        <f t="shared" si="249"/>
        <v>0</v>
      </c>
      <c r="BC449" s="2934">
        <f t="shared" si="250"/>
        <v>0</v>
      </c>
      <c r="BD449" s="2934">
        <f t="shared" si="251"/>
        <v>0</v>
      </c>
      <c r="BE449" s="2934">
        <f t="shared" si="252"/>
        <v>0</v>
      </c>
      <c r="BF449" s="2934">
        <f t="shared" si="253"/>
        <v>0</v>
      </c>
      <c r="BG449" s="2934">
        <f t="shared" si="254"/>
        <v>0</v>
      </c>
      <c r="BH449" s="2934">
        <f t="shared" si="255"/>
        <v>0</v>
      </c>
      <c r="BI449" s="2934">
        <f t="shared" si="256"/>
        <v>0</v>
      </c>
      <c r="BJ449" s="2934">
        <f t="shared" si="257"/>
        <v>0</v>
      </c>
      <c r="BK449" s="2934">
        <f t="shared" si="258"/>
        <v>0</v>
      </c>
      <c r="BL449" s="2934">
        <f t="shared" si="259"/>
        <v>0</v>
      </c>
      <c r="BM449" s="2934">
        <f t="shared" si="260"/>
        <v>0</v>
      </c>
      <c r="BN449" s="2934">
        <f t="shared" si="261"/>
        <v>0</v>
      </c>
      <c r="BO449" s="2934">
        <f t="shared" si="262"/>
        <v>0</v>
      </c>
      <c r="BP449" s="2934">
        <f t="shared" si="263"/>
        <v>0</v>
      </c>
      <c r="BQ449" s="2934">
        <f t="shared" si="264"/>
        <v>0</v>
      </c>
      <c r="BR449" s="2934">
        <f t="shared" si="265"/>
        <v>0</v>
      </c>
      <c r="BS449" s="2934">
        <f t="shared" si="266"/>
        <v>0</v>
      </c>
      <c r="BT449" s="2982">
        <f t="shared" si="267"/>
        <v>0</v>
      </c>
    </row>
    <row r="450" spans="1:72">
      <c r="A450" s="874"/>
      <c r="B450" s="882"/>
      <c r="C450" s="882"/>
      <c r="D450" s="2933"/>
      <c r="E450" s="2934">
        <f t="shared" si="239"/>
        <v>0</v>
      </c>
      <c r="F450" s="2935"/>
      <c r="G450" s="2936">
        <f t="shared" si="240"/>
        <v>0</v>
      </c>
      <c r="H450" s="2937">
        <f t="shared" si="241"/>
        <v>0</v>
      </c>
      <c r="I450" s="2944"/>
      <c r="J450" s="2944"/>
      <c r="K450" s="2944"/>
      <c r="L450" s="2944"/>
      <c r="M450" s="2944"/>
      <c r="N450" s="2944"/>
      <c r="O450" s="2944"/>
      <c r="P450" s="2944"/>
      <c r="Q450" s="2944"/>
      <c r="R450" s="2944"/>
      <c r="S450" s="2944"/>
      <c r="T450" s="2944"/>
      <c r="U450" s="2944"/>
      <c r="V450" s="2944"/>
      <c r="W450" s="2944"/>
      <c r="X450" s="2944"/>
      <c r="Y450" s="2944"/>
      <c r="Z450" s="2944"/>
      <c r="AA450" s="2944"/>
      <c r="AB450" s="2944"/>
      <c r="AC450" s="2934">
        <f t="shared" si="242"/>
        <v>0</v>
      </c>
      <c r="AD450" s="2954"/>
      <c r="AE450" s="2954"/>
      <c r="AF450" s="2954"/>
      <c r="AG450" s="2954"/>
      <c r="AH450" s="2954"/>
      <c r="AI450" s="2954"/>
      <c r="AJ450" s="2954"/>
      <c r="AK450" s="2954"/>
      <c r="AL450" s="2954"/>
      <c r="AM450" s="2954"/>
      <c r="AN450" s="2954"/>
      <c r="AO450" s="2954"/>
      <c r="AP450" s="2954"/>
      <c r="AQ450" s="2954"/>
      <c r="AR450" s="2954"/>
      <c r="AS450" s="2954"/>
      <c r="AT450" s="2935"/>
      <c r="AU450" s="2964"/>
      <c r="AV450" s="857">
        <f t="shared" si="243"/>
        <v>0</v>
      </c>
      <c r="AW450" s="857">
        <f t="shared" si="244"/>
        <v>0</v>
      </c>
      <c r="AX450" s="857">
        <f t="shared" si="245"/>
        <v>0</v>
      </c>
      <c r="AY450" s="807">
        <f t="shared" si="246"/>
        <v>0</v>
      </c>
      <c r="AZ450" s="2934">
        <f t="shared" si="247"/>
        <v>0</v>
      </c>
      <c r="BA450" s="2934">
        <f t="shared" si="248"/>
        <v>0</v>
      </c>
      <c r="BB450" s="2934">
        <f t="shared" si="249"/>
        <v>0</v>
      </c>
      <c r="BC450" s="2934">
        <f t="shared" si="250"/>
        <v>0</v>
      </c>
      <c r="BD450" s="2934">
        <f t="shared" si="251"/>
        <v>0</v>
      </c>
      <c r="BE450" s="2934">
        <f t="shared" si="252"/>
        <v>0</v>
      </c>
      <c r="BF450" s="2934">
        <f t="shared" si="253"/>
        <v>0</v>
      </c>
      <c r="BG450" s="2934">
        <f t="shared" si="254"/>
        <v>0</v>
      </c>
      <c r="BH450" s="2934">
        <f t="shared" si="255"/>
        <v>0</v>
      </c>
      <c r="BI450" s="2934">
        <f t="shared" si="256"/>
        <v>0</v>
      </c>
      <c r="BJ450" s="2934">
        <f t="shared" si="257"/>
        <v>0</v>
      </c>
      <c r="BK450" s="2934">
        <f t="shared" si="258"/>
        <v>0</v>
      </c>
      <c r="BL450" s="2934">
        <f t="shared" si="259"/>
        <v>0</v>
      </c>
      <c r="BM450" s="2934">
        <f t="shared" si="260"/>
        <v>0</v>
      </c>
      <c r="BN450" s="2934">
        <f t="shared" si="261"/>
        <v>0</v>
      </c>
      <c r="BO450" s="2934">
        <f t="shared" si="262"/>
        <v>0</v>
      </c>
      <c r="BP450" s="2934">
        <f t="shared" si="263"/>
        <v>0</v>
      </c>
      <c r="BQ450" s="2934">
        <f t="shared" si="264"/>
        <v>0</v>
      </c>
      <c r="BR450" s="2934">
        <f t="shared" si="265"/>
        <v>0</v>
      </c>
      <c r="BS450" s="2934">
        <f t="shared" si="266"/>
        <v>0</v>
      </c>
      <c r="BT450" s="2982">
        <f t="shared" si="267"/>
        <v>0</v>
      </c>
    </row>
    <row r="451" spans="1:72">
      <c r="A451" s="874"/>
      <c r="B451" s="882"/>
      <c r="C451" s="882"/>
      <c r="D451" s="2933"/>
      <c r="E451" s="2934">
        <f t="shared" si="239"/>
        <v>0</v>
      </c>
      <c r="F451" s="2935"/>
      <c r="G451" s="2936">
        <f t="shared" si="240"/>
        <v>0</v>
      </c>
      <c r="H451" s="2937">
        <f t="shared" si="241"/>
        <v>0</v>
      </c>
      <c r="I451" s="2944"/>
      <c r="J451" s="2944"/>
      <c r="K451" s="2944"/>
      <c r="L451" s="2944"/>
      <c r="M451" s="2944"/>
      <c r="N451" s="2944"/>
      <c r="O451" s="2944"/>
      <c r="P451" s="2944"/>
      <c r="Q451" s="2944"/>
      <c r="R451" s="2944"/>
      <c r="S451" s="2944"/>
      <c r="T451" s="2944"/>
      <c r="U451" s="2944"/>
      <c r="V451" s="2944"/>
      <c r="W451" s="2944"/>
      <c r="X451" s="2944"/>
      <c r="Y451" s="2944"/>
      <c r="Z451" s="2944"/>
      <c r="AA451" s="2944"/>
      <c r="AB451" s="2944"/>
      <c r="AC451" s="2934">
        <f t="shared" si="242"/>
        <v>0</v>
      </c>
      <c r="AD451" s="2954"/>
      <c r="AE451" s="2954"/>
      <c r="AF451" s="2954"/>
      <c r="AG451" s="2954"/>
      <c r="AH451" s="2954"/>
      <c r="AI451" s="2954"/>
      <c r="AJ451" s="2954"/>
      <c r="AK451" s="2954"/>
      <c r="AL451" s="2954"/>
      <c r="AM451" s="2954"/>
      <c r="AN451" s="2954"/>
      <c r="AO451" s="2954"/>
      <c r="AP451" s="2954"/>
      <c r="AQ451" s="2954"/>
      <c r="AR451" s="2954"/>
      <c r="AS451" s="2954"/>
      <c r="AT451" s="2935"/>
      <c r="AU451" s="2964"/>
      <c r="AV451" s="857">
        <f t="shared" si="243"/>
        <v>0</v>
      </c>
      <c r="AW451" s="857">
        <f t="shared" si="244"/>
        <v>0</v>
      </c>
      <c r="AX451" s="857">
        <f t="shared" si="245"/>
        <v>0</v>
      </c>
      <c r="AY451" s="807">
        <f t="shared" si="246"/>
        <v>0</v>
      </c>
      <c r="AZ451" s="2934">
        <f t="shared" si="247"/>
        <v>0</v>
      </c>
      <c r="BA451" s="2934">
        <f t="shared" si="248"/>
        <v>0</v>
      </c>
      <c r="BB451" s="2934">
        <f t="shared" si="249"/>
        <v>0</v>
      </c>
      <c r="BC451" s="2934">
        <f t="shared" si="250"/>
        <v>0</v>
      </c>
      <c r="BD451" s="2934">
        <f t="shared" si="251"/>
        <v>0</v>
      </c>
      <c r="BE451" s="2934">
        <f t="shared" si="252"/>
        <v>0</v>
      </c>
      <c r="BF451" s="2934">
        <f t="shared" si="253"/>
        <v>0</v>
      </c>
      <c r="BG451" s="2934">
        <f t="shared" si="254"/>
        <v>0</v>
      </c>
      <c r="BH451" s="2934">
        <f t="shared" si="255"/>
        <v>0</v>
      </c>
      <c r="BI451" s="2934">
        <f t="shared" si="256"/>
        <v>0</v>
      </c>
      <c r="BJ451" s="2934">
        <f t="shared" si="257"/>
        <v>0</v>
      </c>
      <c r="BK451" s="2934">
        <f t="shared" si="258"/>
        <v>0</v>
      </c>
      <c r="BL451" s="2934">
        <f t="shared" si="259"/>
        <v>0</v>
      </c>
      <c r="BM451" s="2934">
        <f t="shared" si="260"/>
        <v>0</v>
      </c>
      <c r="BN451" s="2934">
        <f t="shared" si="261"/>
        <v>0</v>
      </c>
      <c r="BO451" s="2934">
        <f t="shared" si="262"/>
        <v>0</v>
      </c>
      <c r="BP451" s="2934">
        <f t="shared" si="263"/>
        <v>0</v>
      </c>
      <c r="BQ451" s="2934">
        <f t="shared" si="264"/>
        <v>0</v>
      </c>
      <c r="BR451" s="2934">
        <f t="shared" si="265"/>
        <v>0</v>
      </c>
      <c r="BS451" s="2934">
        <f t="shared" si="266"/>
        <v>0</v>
      </c>
      <c r="BT451" s="2982">
        <f t="shared" si="267"/>
        <v>0</v>
      </c>
    </row>
    <row r="452" spans="1:72">
      <c r="A452" s="874"/>
      <c r="B452" s="882"/>
      <c r="C452" s="882"/>
      <c r="D452" s="2933"/>
      <c r="E452" s="2934">
        <f t="shared" si="239"/>
        <v>0</v>
      </c>
      <c r="F452" s="2935"/>
      <c r="G452" s="2936">
        <f t="shared" si="240"/>
        <v>0</v>
      </c>
      <c r="H452" s="2937">
        <f t="shared" si="241"/>
        <v>0</v>
      </c>
      <c r="I452" s="2944"/>
      <c r="J452" s="2944"/>
      <c r="K452" s="2944"/>
      <c r="L452" s="2944"/>
      <c r="M452" s="2944"/>
      <c r="N452" s="2944"/>
      <c r="O452" s="2944"/>
      <c r="P452" s="2944"/>
      <c r="Q452" s="2944"/>
      <c r="R452" s="2944"/>
      <c r="S452" s="2944"/>
      <c r="T452" s="2944"/>
      <c r="U452" s="2944"/>
      <c r="V452" s="2944"/>
      <c r="W452" s="2944"/>
      <c r="X452" s="2944"/>
      <c r="Y452" s="2944"/>
      <c r="Z452" s="2944"/>
      <c r="AA452" s="2944"/>
      <c r="AB452" s="2944"/>
      <c r="AC452" s="2934">
        <f t="shared" si="242"/>
        <v>0</v>
      </c>
      <c r="AD452" s="2954"/>
      <c r="AE452" s="2954"/>
      <c r="AF452" s="2954"/>
      <c r="AG452" s="2954"/>
      <c r="AH452" s="2954"/>
      <c r="AI452" s="2954"/>
      <c r="AJ452" s="2954"/>
      <c r="AK452" s="2954"/>
      <c r="AL452" s="2954"/>
      <c r="AM452" s="2954"/>
      <c r="AN452" s="2954"/>
      <c r="AO452" s="2954"/>
      <c r="AP452" s="2954"/>
      <c r="AQ452" s="2954"/>
      <c r="AR452" s="2954"/>
      <c r="AS452" s="2954"/>
      <c r="AT452" s="2935"/>
      <c r="AU452" s="2964"/>
      <c r="AV452" s="857">
        <f t="shared" si="243"/>
        <v>0</v>
      </c>
      <c r="AW452" s="857">
        <f t="shared" si="244"/>
        <v>0</v>
      </c>
      <c r="AX452" s="857">
        <f t="shared" si="245"/>
        <v>0</v>
      </c>
      <c r="AY452" s="807">
        <f t="shared" si="246"/>
        <v>0</v>
      </c>
      <c r="AZ452" s="2934">
        <f t="shared" si="247"/>
        <v>0</v>
      </c>
      <c r="BA452" s="2934">
        <f t="shared" si="248"/>
        <v>0</v>
      </c>
      <c r="BB452" s="2934">
        <f t="shared" si="249"/>
        <v>0</v>
      </c>
      <c r="BC452" s="2934">
        <f t="shared" si="250"/>
        <v>0</v>
      </c>
      <c r="BD452" s="2934">
        <f t="shared" si="251"/>
        <v>0</v>
      </c>
      <c r="BE452" s="2934">
        <f t="shared" si="252"/>
        <v>0</v>
      </c>
      <c r="BF452" s="2934">
        <f t="shared" si="253"/>
        <v>0</v>
      </c>
      <c r="BG452" s="2934">
        <f t="shared" si="254"/>
        <v>0</v>
      </c>
      <c r="BH452" s="2934">
        <f t="shared" si="255"/>
        <v>0</v>
      </c>
      <c r="BI452" s="2934">
        <f t="shared" si="256"/>
        <v>0</v>
      </c>
      <c r="BJ452" s="2934">
        <f t="shared" si="257"/>
        <v>0</v>
      </c>
      <c r="BK452" s="2934">
        <f t="shared" si="258"/>
        <v>0</v>
      </c>
      <c r="BL452" s="2934">
        <f t="shared" si="259"/>
        <v>0</v>
      </c>
      <c r="BM452" s="2934">
        <f t="shared" si="260"/>
        <v>0</v>
      </c>
      <c r="BN452" s="2934">
        <f t="shared" si="261"/>
        <v>0</v>
      </c>
      <c r="BO452" s="2934">
        <f t="shared" si="262"/>
        <v>0</v>
      </c>
      <c r="BP452" s="2934">
        <f t="shared" si="263"/>
        <v>0</v>
      </c>
      <c r="BQ452" s="2934">
        <f t="shared" si="264"/>
        <v>0</v>
      </c>
      <c r="BR452" s="2934">
        <f t="shared" si="265"/>
        <v>0</v>
      </c>
      <c r="BS452" s="2934">
        <f t="shared" si="266"/>
        <v>0</v>
      </c>
      <c r="BT452" s="2982">
        <f t="shared" si="267"/>
        <v>0</v>
      </c>
    </row>
    <row r="453" spans="1:72">
      <c r="A453" s="874"/>
      <c r="B453" s="882"/>
      <c r="C453" s="882"/>
      <c r="D453" s="2933"/>
      <c r="E453" s="2934">
        <f t="shared" si="239"/>
        <v>0</v>
      </c>
      <c r="F453" s="2935"/>
      <c r="G453" s="2936">
        <f t="shared" si="240"/>
        <v>0</v>
      </c>
      <c r="H453" s="2937">
        <f t="shared" si="241"/>
        <v>0</v>
      </c>
      <c r="I453" s="2944"/>
      <c r="J453" s="2944"/>
      <c r="K453" s="2944"/>
      <c r="L453" s="2944"/>
      <c r="M453" s="2944"/>
      <c r="N453" s="2944"/>
      <c r="O453" s="2944"/>
      <c r="P453" s="2944"/>
      <c r="Q453" s="2944"/>
      <c r="R453" s="2944"/>
      <c r="S453" s="2944"/>
      <c r="T453" s="2944"/>
      <c r="U453" s="2944"/>
      <c r="V453" s="2944"/>
      <c r="W453" s="2944"/>
      <c r="X453" s="2944"/>
      <c r="Y453" s="2944"/>
      <c r="Z453" s="2944"/>
      <c r="AA453" s="2944"/>
      <c r="AB453" s="2944"/>
      <c r="AC453" s="2934">
        <f t="shared" si="242"/>
        <v>0</v>
      </c>
      <c r="AD453" s="2954"/>
      <c r="AE453" s="2954"/>
      <c r="AF453" s="2954"/>
      <c r="AG453" s="2954"/>
      <c r="AH453" s="2954"/>
      <c r="AI453" s="2954"/>
      <c r="AJ453" s="2954"/>
      <c r="AK453" s="2954"/>
      <c r="AL453" s="2954"/>
      <c r="AM453" s="2954"/>
      <c r="AN453" s="2954"/>
      <c r="AO453" s="2954"/>
      <c r="AP453" s="2954"/>
      <c r="AQ453" s="2954"/>
      <c r="AR453" s="2954"/>
      <c r="AS453" s="2954"/>
      <c r="AT453" s="2935"/>
      <c r="AU453" s="2964"/>
      <c r="AV453" s="857">
        <f t="shared" si="243"/>
        <v>0</v>
      </c>
      <c r="AW453" s="857">
        <f t="shared" si="244"/>
        <v>0</v>
      </c>
      <c r="AX453" s="857">
        <f t="shared" si="245"/>
        <v>0</v>
      </c>
      <c r="AY453" s="807">
        <f t="shared" si="246"/>
        <v>0</v>
      </c>
      <c r="AZ453" s="2934">
        <f t="shared" si="247"/>
        <v>0</v>
      </c>
      <c r="BA453" s="2934">
        <f t="shared" si="248"/>
        <v>0</v>
      </c>
      <c r="BB453" s="2934">
        <f t="shared" si="249"/>
        <v>0</v>
      </c>
      <c r="BC453" s="2934">
        <f t="shared" si="250"/>
        <v>0</v>
      </c>
      <c r="BD453" s="2934">
        <f t="shared" si="251"/>
        <v>0</v>
      </c>
      <c r="BE453" s="2934">
        <f t="shared" si="252"/>
        <v>0</v>
      </c>
      <c r="BF453" s="2934">
        <f t="shared" si="253"/>
        <v>0</v>
      </c>
      <c r="BG453" s="2934">
        <f t="shared" si="254"/>
        <v>0</v>
      </c>
      <c r="BH453" s="2934">
        <f t="shared" si="255"/>
        <v>0</v>
      </c>
      <c r="BI453" s="2934">
        <f t="shared" si="256"/>
        <v>0</v>
      </c>
      <c r="BJ453" s="2934">
        <f t="shared" si="257"/>
        <v>0</v>
      </c>
      <c r="BK453" s="2934">
        <f t="shared" si="258"/>
        <v>0</v>
      </c>
      <c r="BL453" s="2934">
        <f t="shared" si="259"/>
        <v>0</v>
      </c>
      <c r="BM453" s="2934">
        <f t="shared" si="260"/>
        <v>0</v>
      </c>
      <c r="BN453" s="2934">
        <f t="shared" si="261"/>
        <v>0</v>
      </c>
      <c r="BO453" s="2934">
        <f t="shared" si="262"/>
        <v>0</v>
      </c>
      <c r="BP453" s="2934">
        <f t="shared" si="263"/>
        <v>0</v>
      </c>
      <c r="BQ453" s="2934">
        <f t="shared" si="264"/>
        <v>0</v>
      </c>
      <c r="BR453" s="2934">
        <f t="shared" si="265"/>
        <v>0</v>
      </c>
      <c r="BS453" s="2934">
        <f t="shared" si="266"/>
        <v>0</v>
      </c>
      <c r="BT453" s="2982">
        <f t="shared" si="267"/>
        <v>0</v>
      </c>
    </row>
    <row r="454" spans="1:72">
      <c r="A454" s="874"/>
      <c r="B454" s="882"/>
      <c r="C454" s="882"/>
      <c r="D454" s="2933"/>
      <c r="E454" s="2934">
        <f t="shared" si="239"/>
        <v>0</v>
      </c>
      <c r="F454" s="2935"/>
      <c r="G454" s="2936">
        <f t="shared" si="240"/>
        <v>0</v>
      </c>
      <c r="H454" s="2937">
        <f t="shared" si="241"/>
        <v>0</v>
      </c>
      <c r="I454" s="2944"/>
      <c r="J454" s="2944"/>
      <c r="K454" s="2944"/>
      <c r="L454" s="2944"/>
      <c r="M454" s="2944"/>
      <c r="N454" s="2944"/>
      <c r="O454" s="2944"/>
      <c r="P454" s="2944"/>
      <c r="Q454" s="2944"/>
      <c r="R454" s="2944"/>
      <c r="S454" s="2944"/>
      <c r="T454" s="2944"/>
      <c r="U454" s="2944"/>
      <c r="V454" s="2944"/>
      <c r="W454" s="2944"/>
      <c r="X454" s="2944"/>
      <c r="Y454" s="2944"/>
      <c r="Z454" s="2944"/>
      <c r="AA454" s="2944"/>
      <c r="AB454" s="2944"/>
      <c r="AC454" s="2934">
        <f t="shared" si="242"/>
        <v>0</v>
      </c>
      <c r="AD454" s="2954"/>
      <c r="AE454" s="2954"/>
      <c r="AF454" s="2954"/>
      <c r="AG454" s="2954"/>
      <c r="AH454" s="2954"/>
      <c r="AI454" s="2954"/>
      <c r="AJ454" s="2954"/>
      <c r="AK454" s="2954"/>
      <c r="AL454" s="2954"/>
      <c r="AM454" s="2954"/>
      <c r="AN454" s="2954"/>
      <c r="AO454" s="2954"/>
      <c r="AP454" s="2954"/>
      <c r="AQ454" s="2954"/>
      <c r="AR454" s="2954"/>
      <c r="AS454" s="2954"/>
      <c r="AT454" s="2935"/>
      <c r="AU454" s="2964"/>
      <c r="AV454" s="857">
        <f t="shared" si="243"/>
        <v>0</v>
      </c>
      <c r="AW454" s="857">
        <f t="shared" si="244"/>
        <v>0</v>
      </c>
      <c r="AX454" s="857">
        <f t="shared" si="245"/>
        <v>0</v>
      </c>
      <c r="AY454" s="807">
        <f t="shared" si="246"/>
        <v>0</v>
      </c>
      <c r="AZ454" s="2934">
        <f t="shared" si="247"/>
        <v>0</v>
      </c>
      <c r="BA454" s="2934">
        <f t="shared" si="248"/>
        <v>0</v>
      </c>
      <c r="BB454" s="2934">
        <f t="shared" si="249"/>
        <v>0</v>
      </c>
      <c r="BC454" s="2934">
        <f t="shared" si="250"/>
        <v>0</v>
      </c>
      <c r="BD454" s="2934">
        <f t="shared" si="251"/>
        <v>0</v>
      </c>
      <c r="BE454" s="2934">
        <f t="shared" si="252"/>
        <v>0</v>
      </c>
      <c r="BF454" s="2934">
        <f t="shared" si="253"/>
        <v>0</v>
      </c>
      <c r="BG454" s="2934">
        <f t="shared" si="254"/>
        <v>0</v>
      </c>
      <c r="BH454" s="2934">
        <f t="shared" si="255"/>
        <v>0</v>
      </c>
      <c r="BI454" s="2934">
        <f t="shared" si="256"/>
        <v>0</v>
      </c>
      <c r="BJ454" s="2934">
        <f t="shared" si="257"/>
        <v>0</v>
      </c>
      <c r="BK454" s="2934">
        <f t="shared" si="258"/>
        <v>0</v>
      </c>
      <c r="BL454" s="2934">
        <f t="shared" si="259"/>
        <v>0</v>
      </c>
      <c r="BM454" s="2934">
        <f t="shared" si="260"/>
        <v>0</v>
      </c>
      <c r="BN454" s="2934">
        <f t="shared" si="261"/>
        <v>0</v>
      </c>
      <c r="BO454" s="2934">
        <f t="shared" si="262"/>
        <v>0</v>
      </c>
      <c r="BP454" s="2934">
        <f t="shared" si="263"/>
        <v>0</v>
      </c>
      <c r="BQ454" s="2934">
        <f t="shared" si="264"/>
        <v>0</v>
      </c>
      <c r="BR454" s="2934">
        <f t="shared" si="265"/>
        <v>0</v>
      </c>
      <c r="BS454" s="2934">
        <f t="shared" si="266"/>
        <v>0</v>
      </c>
      <c r="BT454" s="2982">
        <f t="shared" si="267"/>
        <v>0</v>
      </c>
    </row>
    <row r="455" spans="1:72">
      <c r="A455" s="874"/>
      <c r="B455" s="882"/>
      <c r="C455" s="882"/>
      <c r="D455" s="2933"/>
      <c r="E455" s="2934">
        <f t="shared" si="239"/>
        <v>0</v>
      </c>
      <c r="F455" s="2935"/>
      <c r="G455" s="2936">
        <f t="shared" si="240"/>
        <v>0</v>
      </c>
      <c r="H455" s="2937">
        <f t="shared" si="241"/>
        <v>0</v>
      </c>
      <c r="I455" s="2944"/>
      <c r="J455" s="2944"/>
      <c r="K455" s="2944"/>
      <c r="L455" s="2944"/>
      <c r="M455" s="2944"/>
      <c r="N455" s="2944"/>
      <c r="O455" s="2944"/>
      <c r="P455" s="2944"/>
      <c r="Q455" s="2944"/>
      <c r="R455" s="2944"/>
      <c r="S455" s="2944"/>
      <c r="T455" s="2944"/>
      <c r="U455" s="2944"/>
      <c r="V455" s="2944"/>
      <c r="W455" s="2944"/>
      <c r="X455" s="2944"/>
      <c r="Y455" s="2944"/>
      <c r="Z455" s="2944"/>
      <c r="AA455" s="2944"/>
      <c r="AB455" s="2944"/>
      <c r="AC455" s="2934">
        <f t="shared" si="242"/>
        <v>0</v>
      </c>
      <c r="AD455" s="2954"/>
      <c r="AE455" s="2954"/>
      <c r="AF455" s="2954"/>
      <c r="AG455" s="2954"/>
      <c r="AH455" s="2954"/>
      <c r="AI455" s="2954"/>
      <c r="AJ455" s="2954"/>
      <c r="AK455" s="2954"/>
      <c r="AL455" s="2954"/>
      <c r="AM455" s="2954"/>
      <c r="AN455" s="2954"/>
      <c r="AO455" s="2954"/>
      <c r="AP455" s="2954"/>
      <c r="AQ455" s="2954"/>
      <c r="AR455" s="2954"/>
      <c r="AS455" s="2954"/>
      <c r="AT455" s="2935"/>
      <c r="AU455" s="2964"/>
      <c r="AV455" s="857">
        <f t="shared" si="243"/>
        <v>0</v>
      </c>
      <c r="AW455" s="857">
        <f t="shared" si="244"/>
        <v>0</v>
      </c>
      <c r="AX455" s="857">
        <f t="shared" si="245"/>
        <v>0</v>
      </c>
      <c r="AY455" s="807">
        <f t="shared" si="246"/>
        <v>0</v>
      </c>
      <c r="AZ455" s="2934">
        <f t="shared" si="247"/>
        <v>0</v>
      </c>
      <c r="BA455" s="2934">
        <f t="shared" si="248"/>
        <v>0</v>
      </c>
      <c r="BB455" s="2934">
        <f t="shared" si="249"/>
        <v>0</v>
      </c>
      <c r="BC455" s="2934">
        <f t="shared" si="250"/>
        <v>0</v>
      </c>
      <c r="BD455" s="2934">
        <f t="shared" si="251"/>
        <v>0</v>
      </c>
      <c r="BE455" s="2934">
        <f t="shared" si="252"/>
        <v>0</v>
      </c>
      <c r="BF455" s="2934">
        <f t="shared" si="253"/>
        <v>0</v>
      </c>
      <c r="BG455" s="2934">
        <f t="shared" si="254"/>
        <v>0</v>
      </c>
      <c r="BH455" s="2934">
        <f t="shared" si="255"/>
        <v>0</v>
      </c>
      <c r="BI455" s="2934">
        <f t="shared" si="256"/>
        <v>0</v>
      </c>
      <c r="BJ455" s="2934">
        <f t="shared" si="257"/>
        <v>0</v>
      </c>
      <c r="BK455" s="2934">
        <f t="shared" si="258"/>
        <v>0</v>
      </c>
      <c r="BL455" s="2934">
        <f t="shared" si="259"/>
        <v>0</v>
      </c>
      <c r="BM455" s="2934">
        <f t="shared" si="260"/>
        <v>0</v>
      </c>
      <c r="BN455" s="2934">
        <f t="shared" si="261"/>
        <v>0</v>
      </c>
      <c r="BO455" s="2934">
        <f t="shared" si="262"/>
        <v>0</v>
      </c>
      <c r="BP455" s="2934">
        <f t="shared" si="263"/>
        <v>0</v>
      </c>
      <c r="BQ455" s="2934">
        <f t="shared" si="264"/>
        <v>0</v>
      </c>
      <c r="BR455" s="2934">
        <f t="shared" si="265"/>
        <v>0</v>
      </c>
      <c r="BS455" s="2934">
        <f t="shared" si="266"/>
        <v>0</v>
      </c>
      <c r="BT455" s="2982">
        <f t="shared" si="267"/>
        <v>0</v>
      </c>
    </row>
    <row r="456" spans="1:72">
      <c r="A456" s="874"/>
      <c r="B456" s="882"/>
      <c r="C456" s="882"/>
      <c r="D456" s="2933"/>
      <c r="E456" s="2934">
        <f t="shared" si="239"/>
        <v>0</v>
      </c>
      <c r="F456" s="2935"/>
      <c r="G456" s="2936">
        <f t="shared" si="240"/>
        <v>0</v>
      </c>
      <c r="H456" s="2937">
        <f t="shared" si="241"/>
        <v>0</v>
      </c>
      <c r="I456" s="2944"/>
      <c r="J456" s="2944"/>
      <c r="K456" s="2944"/>
      <c r="L456" s="2944"/>
      <c r="M456" s="2944"/>
      <c r="N456" s="2944"/>
      <c r="O456" s="2944"/>
      <c r="P456" s="2944"/>
      <c r="Q456" s="2944"/>
      <c r="R456" s="2944"/>
      <c r="S456" s="2944"/>
      <c r="T456" s="2944"/>
      <c r="U456" s="2944"/>
      <c r="V456" s="2944"/>
      <c r="W456" s="2944"/>
      <c r="X456" s="2944"/>
      <c r="Y456" s="2944"/>
      <c r="Z456" s="2944"/>
      <c r="AA456" s="2944"/>
      <c r="AB456" s="2944"/>
      <c r="AC456" s="2934">
        <f t="shared" si="242"/>
        <v>0</v>
      </c>
      <c r="AD456" s="2954"/>
      <c r="AE456" s="2954"/>
      <c r="AF456" s="2954"/>
      <c r="AG456" s="2954"/>
      <c r="AH456" s="2954"/>
      <c r="AI456" s="2954"/>
      <c r="AJ456" s="2954"/>
      <c r="AK456" s="2954"/>
      <c r="AL456" s="2954"/>
      <c r="AM456" s="2954"/>
      <c r="AN456" s="2954"/>
      <c r="AO456" s="2954"/>
      <c r="AP456" s="2954"/>
      <c r="AQ456" s="2954"/>
      <c r="AR456" s="2954"/>
      <c r="AS456" s="2954"/>
      <c r="AT456" s="2935"/>
      <c r="AU456" s="2964"/>
      <c r="AV456" s="857">
        <f t="shared" si="243"/>
        <v>0</v>
      </c>
      <c r="AW456" s="857">
        <f t="shared" si="244"/>
        <v>0</v>
      </c>
      <c r="AX456" s="857">
        <f t="shared" si="245"/>
        <v>0</v>
      </c>
      <c r="AY456" s="807">
        <f t="shared" si="246"/>
        <v>0</v>
      </c>
      <c r="AZ456" s="2934">
        <f t="shared" si="247"/>
        <v>0</v>
      </c>
      <c r="BA456" s="2934">
        <f t="shared" si="248"/>
        <v>0</v>
      </c>
      <c r="BB456" s="2934">
        <f t="shared" si="249"/>
        <v>0</v>
      </c>
      <c r="BC456" s="2934">
        <f t="shared" si="250"/>
        <v>0</v>
      </c>
      <c r="BD456" s="2934">
        <f t="shared" si="251"/>
        <v>0</v>
      </c>
      <c r="BE456" s="2934">
        <f t="shared" si="252"/>
        <v>0</v>
      </c>
      <c r="BF456" s="2934">
        <f t="shared" si="253"/>
        <v>0</v>
      </c>
      <c r="BG456" s="2934">
        <f t="shared" si="254"/>
        <v>0</v>
      </c>
      <c r="BH456" s="2934">
        <f t="shared" si="255"/>
        <v>0</v>
      </c>
      <c r="BI456" s="2934">
        <f t="shared" si="256"/>
        <v>0</v>
      </c>
      <c r="BJ456" s="2934">
        <f t="shared" si="257"/>
        <v>0</v>
      </c>
      <c r="BK456" s="2934">
        <f t="shared" si="258"/>
        <v>0</v>
      </c>
      <c r="BL456" s="2934">
        <f t="shared" si="259"/>
        <v>0</v>
      </c>
      <c r="BM456" s="2934">
        <f t="shared" si="260"/>
        <v>0</v>
      </c>
      <c r="BN456" s="2934">
        <f t="shared" si="261"/>
        <v>0</v>
      </c>
      <c r="BO456" s="2934">
        <f t="shared" si="262"/>
        <v>0</v>
      </c>
      <c r="BP456" s="2934">
        <f t="shared" si="263"/>
        <v>0</v>
      </c>
      <c r="BQ456" s="2934">
        <f t="shared" si="264"/>
        <v>0</v>
      </c>
      <c r="BR456" s="2934">
        <f t="shared" si="265"/>
        <v>0</v>
      </c>
      <c r="BS456" s="2934">
        <f t="shared" si="266"/>
        <v>0</v>
      </c>
      <c r="BT456" s="2982">
        <f t="shared" si="267"/>
        <v>0</v>
      </c>
    </row>
    <row r="457" spans="1:72">
      <c r="A457" s="874"/>
      <c r="B457" s="882"/>
      <c r="C457" s="882"/>
      <c r="D457" s="2933"/>
      <c r="E457" s="2934">
        <f t="shared" si="239"/>
        <v>0</v>
      </c>
      <c r="F457" s="2935"/>
      <c r="G457" s="2936">
        <f t="shared" si="240"/>
        <v>0</v>
      </c>
      <c r="H457" s="2937">
        <f t="shared" si="241"/>
        <v>0</v>
      </c>
      <c r="I457" s="2944"/>
      <c r="J457" s="2944"/>
      <c r="K457" s="2944"/>
      <c r="L457" s="2944"/>
      <c r="M457" s="2944"/>
      <c r="N457" s="2944"/>
      <c r="O457" s="2944"/>
      <c r="P457" s="2944"/>
      <c r="Q457" s="2944"/>
      <c r="R457" s="2944"/>
      <c r="S457" s="2944"/>
      <c r="T457" s="2944"/>
      <c r="U457" s="2944"/>
      <c r="V457" s="2944"/>
      <c r="W457" s="2944"/>
      <c r="X457" s="2944"/>
      <c r="Y457" s="2944"/>
      <c r="Z457" s="2944"/>
      <c r="AA457" s="2944"/>
      <c r="AB457" s="2944"/>
      <c r="AC457" s="2934">
        <f t="shared" si="242"/>
        <v>0</v>
      </c>
      <c r="AD457" s="2954"/>
      <c r="AE457" s="2954"/>
      <c r="AF457" s="2954"/>
      <c r="AG457" s="2954"/>
      <c r="AH457" s="2954"/>
      <c r="AI457" s="2954"/>
      <c r="AJ457" s="2954"/>
      <c r="AK457" s="2954"/>
      <c r="AL457" s="2954"/>
      <c r="AM457" s="2954"/>
      <c r="AN457" s="2954"/>
      <c r="AO457" s="2954"/>
      <c r="AP457" s="2954"/>
      <c r="AQ457" s="2954"/>
      <c r="AR457" s="2954"/>
      <c r="AS457" s="2954"/>
      <c r="AT457" s="2935"/>
      <c r="AU457" s="2964"/>
      <c r="AV457" s="857">
        <f t="shared" si="243"/>
        <v>0</v>
      </c>
      <c r="AW457" s="857">
        <f t="shared" si="244"/>
        <v>0</v>
      </c>
      <c r="AX457" s="857">
        <f t="shared" si="245"/>
        <v>0</v>
      </c>
      <c r="AY457" s="807">
        <f t="shared" si="246"/>
        <v>0</v>
      </c>
      <c r="AZ457" s="2934">
        <f t="shared" si="247"/>
        <v>0</v>
      </c>
      <c r="BA457" s="2934">
        <f t="shared" si="248"/>
        <v>0</v>
      </c>
      <c r="BB457" s="2934">
        <f t="shared" si="249"/>
        <v>0</v>
      </c>
      <c r="BC457" s="2934">
        <f t="shared" si="250"/>
        <v>0</v>
      </c>
      <c r="BD457" s="2934">
        <f t="shared" si="251"/>
        <v>0</v>
      </c>
      <c r="BE457" s="2934">
        <f t="shared" si="252"/>
        <v>0</v>
      </c>
      <c r="BF457" s="2934">
        <f t="shared" si="253"/>
        <v>0</v>
      </c>
      <c r="BG457" s="2934">
        <f t="shared" si="254"/>
        <v>0</v>
      </c>
      <c r="BH457" s="2934">
        <f t="shared" si="255"/>
        <v>0</v>
      </c>
      <c r="BI457" s="2934">
        <f t="shared" si="256"/>
        <v>0</v>
      </c>
      <c r="BJ457" s="2934">
        <f t="shared" si="257"/>
        <v>0</v>
      </c>
      <c r="BK457" s="2934">
        <f t="shared" si="258"/>
        <v>0</v>
      </c>
      <c r="BL457" s="2934">
        <f t="shared" si="259"/>
        <v>0</v>
      </c>
      <c r="BM457" s="2934">
        <f t="shared" si="260"/>
        <v>0</v>
      </c>
      <c r="BN457" s="2934">
        <f t="shared" si="261"/>
        <v>0</v>
      </c>
      <c r="BO457" s="2934">
        <f t="shared" si="262"/>
        <v>0</v>
      </c>
      <c r="BP457" s="2934">
        <f t="shared" si="263"/>
        <v>0</v>
      </c>
      <c r="BQ457" s="2934">
        <f t="shared" si="264"/>
        <v>0</v>
      </c>
      <c r="BR457" s="2934">
        <f t="shared" si="265"/>
        <v>0</v>
      </c>
      <c r="BS457" s="2934">
        <f t="shared" si="266"/>
        <v>0</v>
      </c>
      <c r="BT457" s="2982">
        <f t="shared" si="267"/>
        <v>0</v>
      </c>
    </row>
    <row r="458" spans="1:72">
      <c r="A458" s="874"/>
      <c r="B458" s="882"/>
      <c r="C458" s="882"/>
      <c r="D458" s="2933"/>
      <c r="E458" s="2934">
        <f t="shared" si="239"/>
        <v>0</v>
      </c>
      <c r="F458" s="2935"/>
      <c r="G458" s="2936">
        <f t="shared" si="240"/>
        <v>0</v>
      </c>
      <c r="H458" s="2937">
        <f t="shared" si="241"/>
        <v>0</v>
      </c>
      <c r="I458" s="2944"/>
      <c r="J458" s="2944"/>
      <c r="K458" s="2944"/>
      <c r="L458" s="2944"/>
      <c r="M458" s="2944"/>
      <c r="N458" s="2944"/>
      <c r="O458" s="2944"/>
      <c r="P458" s="2944"/>
      <c r="Q458" s="2944"/>
      <c r="R458" s="2944"/>
      <c r="S458" s="2944"/>
      <c r="T458" s="2944"/>
      <c r="U458" s="2944"/>
      <c r="V458" s="2944"/>
      <c r="W458" s="2944"/>
      <c r="X458" s="2944"/>
      <c r="Y458" s="2944"/>
      <c r="Z458" s="2944"/>
      <c r="AA458" s="2944"/>
      <c r="AB458" s="2944"/>
      <c r="AC458" s="2934">
        <f t="shared" si="242"/>
        <v>0</v>
      </c>
      <c r="AD458" s="2954"/>
      <c r="AE458" s="2954"/>
      <c r="AF458" s="2954"/>
      <c r="AG458" s="2954"/>
      <c r="AH458" s="2954"/>
      <c r="AI458" s="2954"/>
      <c r="AJ458" s="2954"/>
      <c r="AK458" s="2954"/>
      <c r="AL458" s="2954"/>
      <c r="AM458" s="2954"/>
      <c r="AN458" s="2954"/>
      <c r="AO458" s="2954"/>
      <c r="AP458" s="2954"/>
      <c r="AQ458" s="2954"/>
      <c r="AR458" s="2954"/>
      <c r="AS458" s="2954"/>
      <c r="AT458" s="2935"/>
      <c r="AU458" s="2964"/>
      <c r="AV458" s="857">
        <f t="shared" si="243"/>
        <v>0</v>
      </c>
      <c r="AW458" s="857">
        <f t="shared" si="244"/>
        <v>0</v>
      </c>
      <c r="AX458" s="857">
        <f t="shared" si="245"/>
        <v>0</v>
      </c>
      <c r="AY458" s="807">
        <f t="shared" si="246"/>
        <v>0</v>
      </c>
      <c r="AZ458" s="2934">
        <f t="shared" si="247"/>
        <v>0</v>
      </c>
      <c r="BA458" s="2934">
        <f t="shared" si="248"/>
        <v>0</v>
      </c>
      <c r="BB458" s="2934">
        <f t="shared" si="249"/>
        <v>0</v>
      </c>
      <c r="BC458" s="2934">
        <f t="shared" si="250"/>
        <v>0</v>
      </c>
      <c r="BD458" s="2934">
        <f t="shared" si="251"/>
        <v>0</v>
      </c>
      <c r="BE458" s="2934">
        <f t="shared" si="252"/>
        <v>0</v>
      </c>
      <c r="BF458" s="2934">
        <f t="shared" si="253"/>
        <v>0</v>
      </c>
      <c r="BG458" s="2934">
        <f t="shared" si="254"/>
        <v>0</v>
      </c>
      <c r="BH458" s="2934">
        <f t="shared" si="255"/>
        <v>0</v>
      </c>
      <c r="BI458" s="2934">
        <f t="shared" si="256"/>
        <v>0</v>
      </c>
      <c r="BJ458" s="2934">
        <f t="shared" si="257"/>
        <v>0</v>
      </c>
      <c r="BK458" s="2934">
        <f t="shared" si="258"/>
        <v>0</v>
      </c>
      <c r="BL458" s="2934">
        <f t="shared" si="259"/>
        <v>0</v>
      </c>
      <c r="BM458" s="2934">
        <f t="shared" si="260"/>
        <v>0</v>
      </c>
      <c r="BN458" s="2934">
        <f t="shared" si="261"/>
        <v>0</v>
      </c>
      <c r="BO458" s="2934">
        <f t="shared" si="262"/>
        <v>0</v>
      </c>
      <c r="BP458" s="2934">
        <f t="shared" si="263"/>
        <v>0</v>
      </c>
      <c r="BQ458" s="2934">
        <f t="shared" si="264"/>
        <v>0</v>
      </c>
      <c r="BR458" s="2934">
        <f t="shared" si="265"/>
        <v>0</v>
      </c>
      <c r="BS458" s="2934">
        <f t="shared" si="266"/>
        <v>0</v>
      </c>
      <c r="BT458" s="2982">
        <f t="shared" si="267"/>
        <v>0</v>
      </c>
    </row>
    <row r="459" spans="1:72">
      <c r="A459" s="874"/>
      <c r="B459" s="882"/>
      <c r="C459" s="882"/>
      <c r="D459" s="2933"/>
      <c r="E459" s="2934">
        <f t="shared" si="239"/>
        <v>0</v>
      </c>
      <c r="F459" s="2935"/>
      <c r="G459" s="2936">
        <f t="shared" si="240"/>
        <v>0</v>
      </c>
      <c r="H459" s="2937">
        <f t="shared" si="241"/>
        <v>0</v>
      </c>
      <c r="I459" s="2944"/>
      <c r="J459" s="2944"/>
      <c r="K459" s="2944"/>
      <c r="L459" s="2944"/>
      <c r="M459" s="2944"/>
      <c r="N459" s="2944"/>
      <c r="O459" s="2944"/>
      <c r="P459" s="2944"/>
      <c r="Q459" s="2944"/>
      <c r="R459" s="2944"/>
      <c r="S459" s="2944"/>
      <c r="T459" s="2944"/>
      <c r="U459" s="2944"/>
      <c r="V459" s="2944"/>
      <c r="W459" s="2944"/>
      <c r="X459" s="2944"/>
      <c r="Y459" s="2944"/>
      <c r="Z459" s="2944"/>
      <c r="AA459" s="2944"/>
      <c r="AB459" s="2944"/>
      <c r="AC459" s="2934">
        <f t="shared" si="242"/>
        <v>0</v>
      </c>
      <c r="AD459" s="2954"/>
      <c r="AE459" s="2954"/>
      <c r="AF459" s="2954"/>
      <c r="AG459" s="2954"/>
      <c r="AH459" s="2954"/>
      <c r="AI459" s="2954"/>
      <c r="AJ459" s="2954"/>
      <c r="AK459" s="2954"/>
      <c r="AL459" s="2954"/>
      <c r="AM459" s="2954"/>
      <c r="AN459" s="2954"/>
      <c r="AO459" s="2954"/>
      <c r="AP459" s="2954"/>
      <c r="AQ459" s="2954"/>
      <c r="AR459" s="2954"/>
      <c r="AS459" s="2954"/>
      <c r="AT459" s="2935"/>
      <c r="AU459" s="2964"/>
      <c r="AV459" s="857">
        <f t="shared" si="243"/>
        <v>0</v>
      </c>
      <c r="AW459" s="857">
        <f t="shared" si="244"/>
        <v>0</v>
      </c>
      <c r="AX459" s="857">
        <f t="shared" si="245"/>
        <v>0</v>
      </c>
      <c r="AY459" s="807">
        <f t="shared" si="246"/>
        <v>0</v>
      </c>
      <c r="AZ459" s="2934">
        <f t="shared" si="247"/>
        <v>0</v>
      </c>
      <c r="BA459" s="2934">
        <f t="shared" si="248"/>
        <v>0</v>
      </c>
      <c r="BB459" s="2934">
        <f t="shared" si="249"/>
        <v>0</v>
      </c>
      <c r="BC459" s="2934">
        <f t="shared" si="250"/>
        <v>0</v>
      </c>
      <c r="BD459" s="2934">
        <f t="shared" si="251"/>
        <v>0</v>
      </c>
      <c r="BE459" s="2934">
        <f t="shared" si="252"/>
        <v>0</v>
      </c>
      <c r="BF459" s="2934">
        <f t="shared" si="253"/>
        <v>0</v>
      </c>
      <c r="BG459" s="2934">
        <f t="shared" si="254"/>
        <v>0</v>
      </c>
      <c r="BH459" s="2934">
        <f t="shared" si="255"/>
        <v>0</v>
      </c>
      <c r="BI459" s="2934">
        <f t="shared" si="256"/>
        <v>0</v>
      </c>
      <c r="BJ459" s="2934">
        <f t="shared" si="257"/>
        <v>0</v>
      </c>
      <c r="BK459" s="2934">
        <f t="shared" si="258"/>
        <v>0</v>
      </c>
      <c r="BL459" s="2934">
        <f t="shared" si="259"/>
        <v>0</v>
      </c>
      <c r="BM459" s="2934">
        <f t="shared" si="260"/>
        <v>0</v>
      </c>
      <c r="BN459" s="2934">
        <f t="shared" si="261"/>
        <v>0</v>
      </c>
      <c r="BO459" s="2934">
        <f t="shared" si="262"/>
        <v>0</v>
      </c>
      <c r="BP459" s="2934">
        <f t="shared" si="263"/>
        <v>0</v>
      </c>
      <c r="BQ459" s="2934">
        <f t="shared" si="264"/>
        <v>0</v>
      </c>
      <c r="BR459" s="2934">
        <f t="shared" si="265"/>
        <v>0</v>
      </c>
      <c r="BS459" s="2934">
        <f t="shared" si="266"/>
        <v>0</v>
      </c>
      <c r="BT459" s="2982">
        <f t="shared" si="267"/>
        <v>0</v>
      </c>
    </row>
    <row r="460" spans="1:72">
      <c r="A460" s="874"/>
      <c r="B460" s="882"/>
      <c r="C460" s="882"/>
      <c r="D460" s="2933"/>
      <c r="E460" s="2934">
        <f t="shared" si="239"/>
        <v>0</v>
      </c>
      <c r="F460" s="2935"/>
      <c r="G460" s="2936">
        <f t="shared" si="240"/>
        <v>0</v>
      </c>
      <c r="H460" s="2937">
        <f t="shared" si="241"/>
        <v>0</v>
      </c>
      <c r="I460" s="2944"/>
      <c r="J460" s="2944"/>
      <c r="K460" s="2944"/>
      <c r="L460" s="2944"/>
      <c r="M460" s="2944"/>
      <c r="N460" s="2944"/>
      <c r="O460" s="2944"/>
      <c r="P460" s="2944"/>
      <c r="Q460" s="2944"/>
      <c r="R460" s="2944"/>
      <c r="S460" s="2944"/>
      <c r="T460" s="2944"/>
      <c r="U460" s="2944"/>
      <c r="V460" s="2944"/>
      <c r="W460" s="2944"/>
      <c r="X460" s="2944"/>
      <c r="Y460" s="2944"/>
      <c r="Z460" s="2944"/>
      <c r="AA460" s="2944"/>
      <c r="AB460" s="2944"/>
      <c r="AC460" s="2934">
        <f t="shared" si="242"/>
        <v>0</v>
      </c>
      <c r="AD460" s="2954"/>
      <c r="AE460" s="2954"/>
      <c r="AF460" s="2954"/>
      <c r="AG460" s="2954"/>
      <c r="AH460" s="2954"/>
      <c r="AI460" s="2954"/>
      <c r="AJ460" s="2954"/>
      <c r="AK460" s="2954"/>
      <c r="AL460" s="2954"/>
      <c r="AM460" s="2954"/>
      <c r="AN460" s="2954"/>
      <c r="AO460" s="2954"/>
      <c r="AP460" s="2954"/>
      <c r="AQ460" s="2954"/>
      <c r="AR460" s="2954"/>
      <c r="AS460" s="2954"/>
      <c r="AT460" s="2935"/>
      <c r="AU460" s="2964"/>
      <c r="AV460" s="857">
        <f t="shared" si="243"/>
        <v>0</v>
      </c>
      <c r="AW460" s="857">
        <f t="shared" si="244"/>
        <v>0</v>
      </c>
      <c r="AX460" s="857">
        <f t="shared" si="245"/>
        <v>0</v>
      </c>
      <c r="AY460" s="807">
        <f t="shared" si="246"/>
        <v>0</v>
      </c>
      <c r="AZ460" s="2934">
        <f t="shared" si="247"/>
        <v>0</v>
      </c>
      <c r="BA460" s="2934">
        <f t="shared" si="248"/>
        <v>0</v>
      </c>
      <c r="BB460" s="2934">
        <f t="shared" si="249"/>
        <v>0</v>
      </c>
      <c r="BC460" s="2934">
        <f t="shared" si="250"/>
        <v>0</v>
      </c>
      <c r="BD460" s="2934">
        <f t="shared" si="251"/>
        <v>0</v>
      </c>
      <c r="BE460" s="2934">
        <f t="shared" si="252"/>
        <v>0</v>
      </c>
      <c r="BF460" s="2934">
        <f t="shared" si="253"/>
        <v>0</v>
      </c>
      <c r="BG460" s="2934">
        <f t="shared" si="254"/>
        <v>0</v>
      </c>
      <c r="BH460" s="2934">
        <f t="shared" si="255"/>
        <v>0</v>
      </c>
      <c r="BI460" s="2934">
        <f t="shared" si="256"/>
        <v>0</v>
      </c>
      <c r="BJ460" s="2934">
        <f t="shared" si="257"/>
        <v>0</v>
      </c>
      <c r="BK460" s="2934">
        <f t="shared" si="258"/>
        <v>0</v>
      </c>
      <c r="BL460" s="2934">
        <f t="shared" si="259"/>
        <v>0</v>
      </c>
      <c r="BM460" s="2934">
        <f t="shared" si="260"/>
        <v>0</v>
      </c>
      <c r="BN460" s="2934">
        <f t="shared" si="261"/>
        <v>0</v>
      </c>
      <c r="BO460" s="2934">
        <f t="shared" si="262"/>
        <v>0</v>
      </c>
      <c r="BP460" s="2934">
        <f t="shared" si="263"/>
        <v>0</v>
      </c>
      <c r="BQ460" s="2934">
        <f t="shared" si="264"/>
        <v>0</v>
      </c>
      <c r="BR460" s="2934">
        <f t="shared" si="265"/>
        <v>0</v>
      </c>
      <c r="BS460" s="2934">
        <f t="shared" si="266"/>
        <v>0</v>
      </c>
      <c r="BT460" s="2982">
        <f t="shared" si="267"/>
        <v>0</v>
      </c>
    </row>
    <row r="461" spans="1:72">
      <c r="A461" s="874"/>
      <c r="B461" s="882"/>
      <c r="C461" s="882"/>
      <c r="D461" s="2933"/>
      <c r="E461" s="2934">
        <f t="shared" si="239"/>
        <v>0</v>
      </c>
      <c r="F461" s="2935"/>
      <c r="G461" s="2936">
        <f t="shared" si="240"/>
        <v>0</v>
      </c>
      <c r="H461" s="2937">
        <f t="shared" si="241"/>
        <v>0</v>
      </c>
      <c r="I461" s="2944"/>
      <c r="J461" s="2944"/>
      <c r="K461" s="2944"/>
      <c r="L461" s="2944"/>
      <c r="M461" s="2944"/>
      <c r="N461" s="2944"/>
      <c r="O461" s="2944"/>
      <c r="P461" s="2944"/>
      <c r="Q461" s="2944"/>
      <c r="R461" s="2944"/>
      <c r="S461" s="2944"/>
      <c r="T461" s="2944"/>
      <c r="U461" s="2944"/>
      <c r="V461" s="2944"/>
      <c r="W461" s="2944"/>
      <c r="X461" s="2944"/>
      <c r="Y461" s="2944"/>
      <c r="Z461" s="2944"/>
      <c r="AA461" s="2944"/>
      <c r="AB461" s="2944"/>
      <c r="AC461" s="2934">
        <f t="shared" si="242"/>
        <v>0</v>
      </c>
      <c r="AD461" s="2954"/>
      <c r="AE461" s="2954"/>
      <c r="AF461" s="2954"/>
      <c r="AG461" s="2954"/>
      <c r="AH461" s="2954"/>
      <c r="AI461" s="2954"/>
      <c r="AJ461" s="2954"/>
      <c r="AK461" s="2954"/>
      <c r="AL461" s="2954"/>
      <c r="AM461" s="2954"/>
      <c r="AN461" s="2954"/>
      <c r="AO461" s="2954"/>
      <c r="AP461" s="2954"/>
      <c r="AQ461" s="2954"/>
      <c r="AR461" s="2954"/>
      <c r="AS461" s="2954"/>
      <c r="AT461" s="2935"/>
      <c r="AU461" s="2964"/>
      <c r="AV461" s="857">
        <f t="shared" si="243"/>
        <v>0</v>
      </c>
      <c r="AW461" s="857">
        <f t="shared" si="244"/>
        <v>0</v>
      </c>
      <c r="AX461" s="857">
        <f t="shared" si="245"/>
        <v>0</v>
      </c>
      <c r="AY461" s="807">
        <f t="shared" si="246"/>
        <v>0</v>
      </c>
      <c r="AZ461" s="2934">
        <f t="shared" si="247"/>
        <v>0</v>
      </c>
      <c r="BA461" s="2934">
        <f t="shared" si="248"/>
        <v>0</v>
      </c>
      <c r="BB461" s="2934">
        <f t="shared" si="249"/>
        <v>0</v>
      </c>
      <c r="BC461" s="2934">
        <f t="shared" si="250"/>
        <v>0</v>
      </c>
      <c r="BD461" s="2934">
        <f t="shared" si="251"/>
        <v>0</v>
      </c>
      <c r="BE461" s="2934">
        <f t="shared" si="252"/>
        <v>0</v>
      </c>
      <c r="BF461" s="2934">
        <f t="shared" si="253"/>
        <v>0</v>
      </c>
      <c r="BG461" s="2934">
        <f t="shared" si="254"/>
        <v>0</v>
      </c>
      <c r="BH461" s="2934">
        <f t="shared" si="255"/>
        <v>0</v>
      </c>
      <c r="BI461" s="2934">
        <f t="shared" si="256"/>
        <v>0</v>
      </c>
      <c r="BJ461" s="2934">
        <f t="shared" si="257"/>
        <v>0</v>
      </c>
      <c r="BK461" s="2934">
        <f t="shared" si="258"/>
        <v>0</v>
      </c>
      <c r="BL461" s="2934">
        <f t="shared" si="259"/>
        <v>0</v>
      </c>
      <c r="BM461" s="2934">
        <f t="shared" si="260"/>
        <v>0</v>
      </c>
      <c r="BN461" s="2934">
        <f t="shared" si="261"/>
        <v>0</v>
      </c>
      <c r="BO461" s="2934">
        <f t="shared" si="262"/>
        <v>0</v>
      </c>
      <c r="BP461" s="2934">
        <f t="shared" si="263"/>
        <v>0</v>
      </c>
      <c r="BQ461" s="2934">
        <f t="shared" si="264"/>
        <v>0</v>
      </c>
      <c r="BR461" s="2934">
        <f t="shared" si="265"/>
        <v>0</v>
      </c>
      <c r="BS461" s="2934">
        <f t="shared" si="266"/>
        <v>0</v>
      </c>
      <c r="BT461" s="2982">
        <f t="shared" si="267"/>
        <v>0</v>
      </c>
    </row>
    <row r="462" spans="1:72">
      <c r="A462" s="874"/>
      <c r="B462" s="882"/>
      <c r="C462" s="882"/>
      <c r="D462" s="2933"/>
      <c r="E462" s="2934">
        <f t="shared" si="239"/>
        <v>0</v>
      </c>
      <c r="F462" s="2935"/>
      <c r="G462" s="2936">
        <f t="shared" si="240"/>
        <v>0</v>
      </c>
      <c r="H462" s="2937">
        <f t="shared" si="241"/>
        <v>0</v>
      </c>
      <c r="I462" s="2944"/>
      <c r="J462" s="2944"/>
      <c r="K462" s="2944"/>
      <c r="L462" s="2944"/>
      <c r="M462" s="2944"/>
      <c r="N462" s="2944"/>
      <c r="O462" s="2944"/>
      <c r="P462" s="2944"/>
      <c r="Q462" s="2944"/>
      <c r="R462" s="2944"/>
      <c r="S462" s="2944"/>
      <c r="T462" s="2944"/>
      <c r="U462" s="2944"/>
      <c r="V462" s="2944"/>
      <c r="W462" s="2944"/>
      <c r="X462" s="2944"/>
      <c r="Y462" s="2944"/>
      <c r="Z462" s="2944"/>
      <c r="AA462" s="2944"/>
      <c r="AB462" s="2944"/>
      <c r="AC462" s="2934">
        <f t="shared" si="242"/>
        <v>0</v>
      </c>
      <c r="AD462" s="2954"/>
      <c r="AE462" s="2954"/>
      <c r="AF462" s="2954"/>
      <c r="AG462" s="2954"/>
      <c r="AH462" s="2954"/>
      <c r="AI462" s="2954"/>
      <c r="AJ462" s="2954"/>
      <c r="AK462" s="2954"/>
      <c r="AL462" s="2954"/>
      <c r="AM462" s="2954"/>
      <c r="AN462" s="2954"/>
      <c r="AO462" s="2954"/>
      <c r="AP462" s="2954"/>
      <c r="AQ462" s="2954"/>
      <c r="AR462" s="2954"/>
      <c r="AS462" s="2954"/>
      <c r="AT462" s="2935"/>
      <c r="AU462" s="2964"/>
      <c r="AV462" s="857">
        <f t="shared" si="243"/>
        <v>0</v>
      </c>
      <c r="AW462" s="857">
        <f t="shared" si="244"/>
        <v>0</v>
      </c>
      <c r="AX462" s="857">
        <f t="shared" si="245"/>
        <v>0</v>
      </c>
      <c r="AY462" s="807">
        <f t="shared" si="246"/>
        <v>0</v>
      </c>
      <c r="AZ462" s="2934">
        <f t="shared" si="247"/>
        <v>0</v>
      </c>
      <c r="BA462" s="2934">
        <f t="shared" si="248"/>
        <v>0</v>
      </c>
      <c r="BB462" s="2934">
        <f t="shared" si="249"/>
        <v>0</v>
      </c>
      <c r="BC462" s="2934">
        <f t="shared" si="250"/>
        <v>0</v>
      </c>
      <c r="BD462" s="2934">
        <f t="shared" si="251"/>
        <v>0</v>
      </c>
      <c r="BE462" s="2934">
        <f t="shared" si="252"/>
        <v>0</v>
      </c>
      <c r="BF462" s="2934">
        <f t="shared" si="253"/>
        <v>0</v>
      </c>
      <c r="BG462" s="2934">
        <f t="shared" si="254"/>
        <v>0</v>
      </c>
      <c r="BH462" s="2934">
        <f t="shared" si="255"/>
        <v>0</v>
      </c>
      <c r="BI462" s="2934">
        <f t="shared" si="256"/>
        <v>0</v>
      </c>
      <c r="BJ462" s="2934">
        <f t="shared" si="257"/>
        <v>0</v>
      </c>
      <c r="BK462" s="2934">
        <f t="shared" si="258"/>
        <v>0</v>
      </c>
      <c r="BL462" s="2934">
        <f t="shared" si="259"/>
        <v>0</v>
      </c>
      <c r="BM462" s="2934">
        <f t="shared" si="260"/>
        <v>0</v>
      </c>
      <c r="BN462" s="2934">
        <f t="shared" si="261"/>
        <v>0</v>
      </c>
      <c r="BO462" s="2934">
        <f t="shared" si="262"/>
        <v>0</v>
      </c>
      <c r="BP462" s="2934">
        <f t="shared" si="263"/>
        <v>0</v>
      </c>
      <c r="BQ462" s="2934">
        <f t="shared" si="264"/>
        <v>0</v>
      </c>
      <c r="BR462" s="2934">
        <f t="shared" si="265"/>
        <v>0</v>
      </c>
      <c r="BS462" s="2934">
        <f t="shared" si="266"/>
        <v>0</v>
      </c>
      <c r="BT462" s="2982">
        <f t="shared" si="267"/>
        <v>0</v>
      </c>
    </row>
    <row r="463" spans="1:72">
      <c r="A463" s="874"/>
      <c r="B463" s="882"/>
      <c r="C463" s="882"/>
      <c r="D463" s="2933"/>
      <c r="E463" s="2934">
        <f t="shared" si="239"/>
        <v>0</v>
      </c>
      <c r="F463" s="2935"/>
      <c r="G463" s="2936">
        <f t="shared" si="240"/>
        <v>0</v>
      </c>
      <c r="H463" s="2937">
        <f t="shared" si="241"/>
        <v>0</v>
      </c>
      <c r="I463" s="2944"/>
      <c r="J463" s="2944"/>
      <c r="K463" s="2944"/>
      <c r="L463" s="2944"/>
      <c r="M463" s="2944"/>
      <c r="N463" s="2944"/>
      <c r="O463" s="2944"/>
      <c r="P463" s="2944"/>
      <c r="Q463" s="2944"/>
      <c r="R463" s="2944"/>
      <c r="S463" s="2944"/>
      <c r="T463" s="2944"/>
      <c r="U463" s="2944"/>
      <c r="V463" s="2944"/>
      <c r="W463" s="2944"/>
      <c r="X463" s="2944"/>
      <c r="Y463" s="2944"/>
      <c r="Z463" s="2944"/>
      <c r="AA463" s="2944"/>
      <c r="AB463" s="2944"/>
      <c r="AC463" s="2934">
        <f t="shared" si="242"/>
        <v>0</v>
      </c>
      <c r="AD463" s="2954"/>
      <c r="AE463" s="2954"/>
      <c r="AF463" s="2954"/>
      <c r="AG463" s="2954"/>
      <c r="AH463" s="2954"/>
      <c r="AI463" s="2954"/>
      <c r="AJ463" s="2954"/>
      <c r="AK463" s="2954"/>
      <c r="AL463" s="2954"/>
      <c r="AM463" s="2954"/>
      <c r="AN463" s="2954"/>
      <c r="AO463" s="2954"/>
      <c r="AP463" s="2954"/>
      <c r="AQ463" s="2954"/>
      <c r="AR463" s="2954"/>
      <c r="AS463" s="2954"/>
      <c r="AT463" s="2935"/>
      <c r="AU463" s="2964"/>
      <c r="AV463" s="857">
        <f t="shared" si="243"/>
        <v>0</v>
      </c>
      <c r="AW463" s="857">
        <f t="shared" si="244"/>
        <v>0</v>
      </c>
      <c r="AX463" s="857">
        <f t="shared" si="245"/>
        <v>0</v>
      </c>
      <c r="AY463" s="807">
        <f t="shared" si="246"/>
        <v>0</v>
      </c>
      <c r="AZ463" s="2934">
        <f t="shared" si="247"/>
        <v>0</v>
      </c>
      <c r="BA463" s="2934">
        <f t="shared" si="248"/>
        <v>0</v>
      </c>
      <c r="BB463" s="2934">
        <f t="shared" si="249"/>
        <v>0</v>
      </c>
      <c r="BC463" s="2934">
        <f t="shared" si="250"/>
        <v>0</v>
      </c>
      <c r="BD463" s="2934">
        <f t="shared" si="251"/>
        <v>0</v>
      </c>
      <c r="BE463" s="2934">
        <f t="shared" si="252"/>
        <v>0</v>
      </c>
      <c r="BF463" s="2934">
        <f t="shared" si="253"/>
        <v>0</v>
      </c>
      <c r="BG463" s="2934">
        <f t="shared" si="254"/>
        <v>0</v>
      </c>
      <c r="BH463" s="2934">
        <f t="shared" si="255"/>
        <v>0</v>
      </c>
      <c r="BI463" s="2934">
        <f t="shared" si="256"/>
        <v>0</v>
      </c>
      <c r="BJ463" s="2934">
        <f t="shared" si="257"/>
        <v>0</v>
      </c>
      <c r="BK463" s="2934">
        <f t="shared" si="258"/>
        <v>0</v>
      </c>
      <c r="BL463" s="2934">
        <f t="shared" si="259"/>
        <v>0</v>
      </c>
      <c r="BM463" s="2934">
        <f t="shared" si="260"/>
        <v>0</v>
      </c>
      <c r="BN463" s="2934">
        <f t="shared" si="261"/>
        <v>0</v>
      </c>
      <c r="BO463" s="2934">
        <f t="shared" si="262"/>
        <v>0</v>
      </c>
      <c r="BP463" s="2934">
        <f t="shared" si="263"/>
        <v>0</v>
      </c>
      <c r="BQ463" s="2934">
        <f t="shared" si="264"/>
        <v>0</v>
      </c>
      <c r="BR463" s="2934">
        <f t="shared" si="265"/>
        <v>0</v>
      </c>
      <c r="BS463" s="2934">
        <f t="shared" si="266"/>
        <v>0</v>
      </c>
      <c r="BT463" s="2982">
        <f t="shared" si="267"/>
        <v>0</v>
      </c>
    </row>
    <row r="464" spans="1:72">
      <c r="A464" s="874"/>
      <c r="B464" s="882"/>
      <c r="C464" s="882"/>
      <c r="D464" s="2933"/>
      <c r="E464" s="2934">
        <f t="shared" si="239"/>
        <v>0</v>
      </c>
      <c r="F464" s="2935"/>
      <c r="G464" s="2936">
        <f t="shared" si="240"/>
        <v>0</v>
      </c>
      <c r="H464" s="2937">
        <f t="shared" si="241"/>
        <v>0</v>
      </c>
      <c r="I464" s="2944"/>
      <c r="J464" s="2944"/>
      <c r="K464" s="2944"/>
      <c r="L464" s="2944"/>
      <c r="M464" s="2944"/>
      <c r="N464" s="2944"/>
      <c r="O464" s="2944"/>
      <c r="P464" s="2944"/>
      <c r="Q464" s="2944"/>
      <c r="R464" s="2944"/>
      <c r="S464" s="2944"/>
      <c r="T464" s="2944"/>
      <c r="U464" s="2944"/>
      <c r="V464" s="2944"/>
      <c r="W464" s="2944"/>
      <c r="X464" s="2944"/>
      <c r="Y464" s="2944"/>
      <c r="Z464" s="2944"/>
      <c r="AA464" s="2944"/>
      <c r="AB464" s="2944"/>
      <c r="AC464" s="2934">
        <f t="shared" si="242"/>
        <v>0</v>
      </c>
      <c r="AD464" s="2954"/>
      <c r="AE464" s="2954"/>
      <c r="AF464" s="2954"/>
      <c r="AG464" s="2954"/>
      <c r="AH464" s="2954"/>
      <c r="AI464" s="2954"/>
      <c r="AJ464" s="2954"/>
      <c r="AK464" s="2954"/>
      <c r="AL464" s="2954"/>
      <c r="AM464" s="2954"/>
      <c r="AN464" s="2954"/>
      <c r="AO464" s="2954"/>
      <c r="AP464" s="2954"/>
      <c r="AQ464" s="2954"/>
      <c r="AR464" s="2954"/>
      <c r="AS464" s="2954"/>
      <c r="AT464" s="2935"/>
      <c r="AU464" s="2964"/>
      <c r="AV464" s="857">
        <f t="shared" si="243"/>
        <v>0</v>
      </c>
      <c r="AW464" s="857">
        <f t="shared" si="244"/>
        <v>0</v>
      </c>
      <c r="AX464" s="857">
        <f t="shared" si="245"/>
        <v>0</v>
      </c>
      <c r="AY464" s="807">
        <f t="shared" si="246"/>
        <v>0</v>
      </c>
      <c r="AZ464" s="2934">
        <f t="shared" si="247"/>
        <v>0</v>
      </c>
      <c r="BA464" s="2934">
        <f t="shared" si="248"/>
        <v>0</v>
      </c>
      <c r="BB464" s="2934">
        <f t="shared" si="249"/>
        <v>0</v>
      </c>
      <c r="BC464" s="2934">
        <f t="shared" si="250"/>
        <v>0</v>
      </c>
      <c r="BD464" s="2934">
        <f t="shared" si="251"/>
        <v>0</v>
      </c>
      <c r="BE464" s="2934">
        <f t="shared" si="252"/>
        <v>0</v>
      </c>
      <c r="BF464" s="2934">
        <f t="shared" si="253"/>
        <v>0</v>
      </c>
      <c r="BG464" s="2934">
        <f t="shared" si="254"/>
        <v>0</v>
      </c>
      <c r="BH464" s="2934">
        <f t="shared" si="255"/>
        <v>0</v>
      </c>
      <c r="BI464" s="2934">
        <f t="shared" si="256"/>
        <v>0</v>
      </c>
      <c r="BJ464" s="2934">
        <f t="shared" si="257"/>
        <v>0</v>
      </c>
      <c r="BK464" s="2934">
        <f t="shared" si="258"/>
        <v>0</v>
      </c>
      <c r="BL464" s="2934">
        <f t="shared" si="259"/>
        <v>0</v>
      </c>
      <c r="BM464" s="2934">
        <f t="shared" si="260"/>
        <v>0</v>
      </c>
      <c r="BN464" s="2934">
        <f t="shared" si="261"/>
        <v>0</v>
      </c>
      <c r="BO464" s="2934">
        <f t="shared" si="262"/>
        <v>0</v>
      </c>
      <c r="BP464" s="2934">
        <f t="shared" si="263"/>
        <v>0</v>
      </c>
      <c r="BQ464" s="2934">
        <f t="shared" si="264"/>
        <v>0</v>
      </c>
      <c r="BR464" s="2934">
        <f t="shared" si="265"/>
        <v>0</v>
      </c>
      <c r="BS464" s="2934">
        <f t="shared" si="266"/>
        <v>0</v>
      </c>
      <c r="BT464" s="2982">
        <f t="shared" si="267"/>
        <v>0</v>
      </c>
    </row>
    <row r="465" spans="1:72">
      <c r="A465" s="874"/>
      <c r="B465" s="882"/>
      <c r="C465" s="882"/>
      <c r="D465" s="2933"/>
      <c r="E465" s="2934">
        <f t="shared" si="239"/>
        <v>0</v>
      </c>
      <c r="F465" s="2935"/>
      <c r="G465" s="2936">
        <f t="shared" si="240"/>
        <v>0</v>
      </c>
      <c r="H465" s="2937">
        <f t="shared" si="241"/>
        <v>0</v>
      </c>
      <c r="I465" s="2944"/>
      <c r="J465" s="2944"/>
      <c r="K465" s="2944"/>
      <c r="L465" s="2944"/>
      <c r="M465" s="2944"/>
      <c r="N465" s="2944"/>
      <c r="O465" s="2944"/>
      <c r="P465" s="2944"/>
      <c r="Q465" s="2944"/>
      <c r="R465" s="2944"/>
      <c r="S465" s="2944"/>
      <c r="T465" s="2944"/>
      <c r="U465" s="2944"/>
      <c r="V465" s="2944"/>
      <c r="W465" s="2944"/>
      <c r="X465" s="2944"/>
      <c r="Y465" s="2944"/>
      <c r="Z465" s="2944"/>
      <c r="AA465" s="2944"/>
      <c r="AB465" s="2944"/>
      <c r="AC465" s="2934">
        <f t="shared" si="242"/>
        <v>0</v>
      </c>
      <c r="AD465" s="2954"/>
      <c r="AE465" s="2954"/>
      <c r="AF465" s="2954"/>
      <c r="AG465" s="2954"/>
      <c r="AH465" s="2954"/>
      <c r="AI465" s="2954"/>
      <c r="AJ465" s="2954"/>
      <c r="AK465" s="2954"/>
      <c r="AL465" s="2954"/>
      <c r="AM465" s="2954"/>
      <c r="AN465" s="2954"/>
      <c r="AO465" s="2954"/>
      <c r="AP465" s="2954"/>
      <c r="AQ465" s="2954"/>
      <c r="AR465" s="2954"/>
      <c r="AS465" s="2954"/>
      <c r="AT465" s="2935"/>
      <c r="AU465" s="2964"/>
      <c r="AV465" s="857">
        <f t="shared" si="243"/>
        <v>0</v>
      </c>
      <c r="AW465" s="857">
        <f t="shared" si="244"/>
        <v>0</v>
      </c>
      <c r="AX465" s="857">
        <f t="shared" si="245"/>
        <v>0</v>
      </c>
      <c r="AY465" s="807">
        <f t="shared" si="246"/>
        <v>0</v>
      </c>
      <c r="AZ465" s="2934">
        <f t="shared" si="247"/>
        <v>0</v>
      </c>
      <c r="BA465" s="2934">
        <f t="shared" si="248"/>
        <v>0</v>
      </c>
      <c r="BB465" s="2934">
        <f t="shared" si="249"/>
        <v>0</v>
      </c>
      <c r="BC465" s="2934">
        <f t="shared" si="250"/>
        <v>0</v>
      </c>
      <c r="BD465" s="2934">
        <f t="shared" si="251"/>
        <v>0</v>
      </c>
      <c r="BE465" s="2934">
        <f t="shared" si="252"/>
        <v>0</v>
      </c>
      <c r="BF465" s="2934">
        <f t="shared" si="253"/>
        <v>0</v>
      </c>
      <c r="BG465" s="2934">
        <f t="shared" si="254"/>
        <v>0</v>
      </c>
      <c r="BH465" s="2934">
        <f t="shared" si="255"/>
        <v>0</v>
      </c>
      <c r="BI465" s="2934">
        <f t="shared" si="256"/>
        <v>0</v>
      </c>
      <c r="BJ465" s="2934">
        <f t="shared" si="257"/>
        <v>0</v>
      </c>
      <c r="BK465" s="2934">
        <f t="shared" si="258"/>
        <v>0</v>
      </c>
      <c r="BL465" s="2934">
        <f t="shared" si="259"/>
        <v>0</v>
      </c>
      <c r="BM465" s="2934">
        <f t="shared" si="260"/>
        <v>0</v>
      </c>
      <c r="BN465" s="2934">
        <f t="shared" si="261"/>
        <v>0</v>
      </c>
      <c r="BO465" s="2934">
        <f t="shared" si="262"/>
        <v>0</v>
      </c>
      <c r="BP465" s="2934">
        <f t="shared" si="263"/>
        <v>0</v>
      </c>
      <c r="BQ465" s="2934">
        <f t="shared" si="264"/>
        <v>0</v>
      </c>
      <c r="BR465" s="2934">
        <f t="shared" si="265"/>
        <v>0</v>
      </c>
      <c r="BS465" s="2934">
        <f t="shared" si="266"/>
        <v>0</v>
      </c>
      <c r="BT465" s="2982">
        <f t="shared" si="267"/>
        <v>0</v>
      </c>
    </row>
    <row r="466" spans="1:72">
      <c r="A466" s="874"/>
      <c r="B466" s="882"/>
      <c r="C466" s="882"/>
      <c r="D466" s="2933"/>
      <c r="E466" s="2934">
        <f t="shared" si="239"/>
        <v>0</v>
      </c>
      <c r="F466" s="2935"/>
      <c r="G466" s="2936">
        <f t="shared" si="240"/>
        <v>0</v>
      </c>
      <c r="H466" s="2937">
        <f t="shared" si="241"/>
        <v>0</v>
      </c>
      <c r="I466" s="2944"/>
      <c r="J466" s="2944"/>
      <c r="K466" s="2944"/>
      <c r="L466" s="2944"/>
      <c r="M466" s="2944"/>
      <c r="N466" s="2944"/>
      <c r="O466" s="2944"/>
      <c r="P466" s="2944"/>
      <c r="Q466" s="2944"/>
      <c r="R466" s="2944"/>
      <c r="S466" s="2944"/>
      <c r="T466" s="2944"/>
      <c r="U466" s="2944"/>
      <c r="V466" s="2944"/>
      <c r="W466" s="2944"/>
      <c r="X466" s="2944"/>
      <c r="Y466" s="2944"/>
      <c r="Z466" s="2944"/>
      <c r="AA466" s="2944"/>
      <c r="AB466" s="2944"/>
      <c r="AC466" s="2934">
        <f t="shared" si="242"/>
        <v>0</v>
      </c>
      <c r="AD466" s="2954"/>
      <c r="AE466" s="2954"/>
      <c r="AF466" s="2954"/>
      <c r="AG466" s="2954"/>
      <c r="AH466" s="2954"/>
      <c r="AI466" s="2954"/>
      <c r="AJ466" s="2954"/>
      <c r="AK466" s="2954"/>
      <c r="AL466" s="2954"/>
      <c r="AM466" s="2954"/>
      <c r="AN466" s="2954"/>
      <c r="AO466" s="2954"/>
      <c r="AP466" s="2954"/>
      <c r="AQ466" s="2954"/>
      <c r="AR466" s="2954"/>
      <c r="AS466" s="2954"/>
      <c r="AT466" s="2935"/>
      <c r="AU466" s="2964"/>
      <c r="AV466" s="857">
        <f t="shared" si="243"/>
        <v>0</v>
      </c>
      <c r="AW466" s="857">
        <f t="shared" si="244"/>
        <v>0</v>
      </c>
      <c r="AX466" s="857">
        <f t="shared" si="245"/>
        <v>0</v>
      </c>
      <c r="AY466" s="807">
        <f t="shared" si="246"/>
        <v>0</v>
      </c>
      <c r="AZ466" s="2934">
        <f t="shared" si="247"/>
        <v>0</v>
      </c>
      <c r="BA466" s="2934">
        <f t="shared" si="248"/>
        <v>0</v>
      </c>
      <c r="BB466" s="2934">
        <f t="shared" si="249"/>
        <v>0</v>
      </c>
      <c r="BC466" s="2934">
        <f t="shared" si="250"/>
        <v>0</v>
      </c>
      <c r="BD466" s="2934">
        <f t="shared" si="251"/>
        <v>0</v>
      </c>
      <c r="BE466" s="2934">
        <f t="shared" si="252"/>
        <v>0</v>
      </c>
      <c r="BF466" s="2934">
        <f t="shared" si="253"/>
        <v>0</v>
      </c>
      <c r="BG466" s="2934">
        <f t="shared" si="254"/>
        <v>0</v>
      </c>
      <c r="BH466" s="2934">
        <f t="shared" si="255"/>
        <v>0</v>
      </c>
      <c r="BI466" s="2934">
        <f t="shared" si="256"/>
        <v>0</v>
      </c>
      <c r="BJ466" s="2934">
        <f t="shared" si="257"/>
        <v>0</v>
      </c>
      <c r="BK466" s="2934">
        <f t="shared" si="258"/>
        <v>0</v>
      </c>
      <c r="BL466" s="2934">
        <f t="shared" si="259"/>
        <v>0</v>
      </c>
      <c r="BM466" s="2934">
        <f t="shared" si="260"/>
        <v>0</v>
      </c>
      <c r="BN466" s="2934">
        <f t="shared" si="261"/>
        <v>0</v>
      </c>
      <c r="BO466" s="2934">
        <f t="shared" si="262"/>
        <v>0</v>
      </c>
      <c r="BP466" s="2934">
        <f t="shared" si="263"/>
        <v>0</v>
      </c>
      <c r="BQ466" s="2934">
        <f t="shared" si="264"/>
        <v>0</v>
      </c>
      <c r="BR466" s="2934">
        <f t="shared" si="265"/>
        <v>0</v>
      </c>
      <c r="BS466" s="2934">
        <f t="shared" si="266"/>
        <v>0</v>
      </c>
      <c r="BT466" s="2982">
        <f t="shared" si="267"/>
        <v>0</v>
      </c>
    </row>
    <row r="467" spans="1:72">
      <c r="A467" s="874"/>
      <c r="B467" s="882"/>
      <c r="C467" s="882"/>
      <c r="D467" s="2933"/>
      <c r="E467" s="2934">
        <f t="shared" si="239"/>
        <v>0</v>
      </c>
      <c r="F467" s="2935"/>
      <c r="G467" s="2936">
        <f t="shared" si="240"/>
        <v>0</v>
      </c>
      <c r="H467" s="2937">
        <f t="shared" si="241"/>
        <v>0</v>
      </c>
      <c r="I467" s="2944"/>
      <c r="J467" s="2944"/>
      <c r="K467" s="2944"/>
      <c r="L467" s="2944"/>
      <c r="M467" s="2944"/>
      <c r="N467" s="2944"/>
      <c r="O467" s="2944"/>
      <c r="P467" s="2944"/>
      <c r="Q467" s="2944"/>
      <c r="R467" s="2944"/>
      <c r="S467" s="2944"/>
      <c r="T467" s="2944"/>
      <c r="U467" s="2944"/>
      <c r="V467" s="2944"/>
      <c r="W467" s="2944"/>
      <c r="X467" s="2944"/>
      <c r="Y467" s="2944"/>
      <c r="Z467" s="2944"/>
      <c r="AA467" s="2944"/>
      <c r="AB467" s="2944"/>
      <c r="AC467" s="2934">
        <f t="shared" si="242"/>
        <v>0</v>
      </c>
      <c r="AD467" s="2954"/>
      <c r="AE467" s="2954"/>
      <c r="AF467" s="2954"/>
      <c r="AG467" s="2954"/>
      <c r="AH467" s="2954"/>
      <c r="AI467" s="2954"/>
      <c r="AJ467" s="2954"/>
      <c r="AK467" s="2954"/>
      <c r="AL467" s="2954"/>
      <c r="AM467" s="2954"/>
      <c r="AN467" s="2954"/>
      <c r="AO467" s="2954"/>
      <c r="AP467" s="2954"/>
      <c r="AQ467" s="2954"/>
      <c r="AR467" s="2954"/>
      <c r="AS467" s="2954"/>
      <c r="AT467" s="2935"/>
      <c r="AU467" s="2964"/>
      <c r="AV467" s="857">
        <f t="shared" si="243"/>
        <v>0</v>
      </c>
      <c r="AW467" s="857">
        <f t="shared" si="244"/>
        <v>0</v>
      </c>
      <c r="AX467" s="857">
        <f t="shared" si="245"/>
        <v>0</v>
      </c>
      <c r="AY467" s="807">
        <f t="shared" si="246"/>
        <v>0</v>
      </c>
      <c r="AZ467" s="2934">
        <f t="shared" si="247"/>
        <v>0</v>
      </c>
      <c r="BA467" s="2934">
        <f t="shared" si="248"/>
        <v>0</v>
      </c>
      <c r="BB467" s="2934">
        <f t="shared" si="249"/>
        <v>0</v>
      </c>
      <c r="BC467" s="2934">
        <f t="shared" si="250"/>
        <v>0</v>
      </c>
      <c r="BD467" s="2934">
        <f t="shared" si="251"/>
        <v>0</v>
      </c>
      <c r="BE467" s="2934">
        <f t="shared" si="252"/>
        <v>0</v>
      </c>
      <c r="BF467" s="2934">
        <f t="shared" si="253"/>
        <v>0</v>
      </c>
      <c r="BG467" s="2934">
        <f t="shared" si="254"/>
        <v>0</v>
      </c>
      <c r="BH467" s="2934">
        <f t="shared" si="255"/>
        <v>0</v>
      </c>
      <c r="BI467" s="2934">
        <f t="shared" si="256"/>
        <v>0</v>
      </c>
      <c r="BJ467" s="2934">
        <f t="shared" si="257"/>
        <v>0</v>
      </c>
      <c r="BK467" s="2934">
        <f t="shared" si="258"/>
        <v>0</v>
      </c>
      <c r="BL467" s="2934">
        <f t="shared" si="259"/>
        <v>0</v>
      </c>
      <c r="BM467" s="2934">
        <f t="shared" si="260"/>
        <v>0</v>
      </c>
      <c r="BN467" s="2934">
        <f t="shared" si="261"/>
        <v>0</v>
      </c>
      <c r="BO467" s="2934">
        <f t="shared" si="262"/>
        <v>0</v>
      </c>
      <c r="BP467" s="2934">
        <f t="shared" si="263"/>
        <v>0</v>
      </c>
      <c r="BQ467" s="2934">
        <f t="shared" si="264"/>
        <v>0</v>
      </c>
      <c r="BR467" s="2934">
        <f t="shared" si="265"/>
        <v>0</v>
      </c>
      <c r="BS467" s="2934">
        <f t="shared" si="266"/>
        <v>0</v>
      </c>
      <c r="BT467" s="2982">
        <f t="shared" si="267"/>
        <v>0</v>
      </c>
    </row>
    <row r="468" spans="1:72">
      <c r="A468" s="874"/>
      <c r="B468" s="882"/>
      <c r="C468" s="882"/>
      <c r="D468" s="2933"/>
      <c r="E468" s="2934">
        <f t="shared" si="239"/>
        <v>0</v>
      </c>
      <c r="F468" s="2935"/>
      <c r="G468" s="2936">
        <f t="shared" si="240"/>
        <v>0</v>
      </c>
      <c r="H468" s="2937">
        <f t="shared" si="241"/>
        <v>0</v>
      </c>
      <c r="I468" s="2944"/>
      <c r="J468" s="2944"/>
      <c r="K468" s="2944"/>
      <c r="L468" s="2944"/>
      <c r="M468" s="2944"/>
      <c r="N468" s="2944"/>
      <c r="O468" s="2944"/>
      <c r="P468" s="2944"/>
      <c r="Q468" s="2944"/>
      <c r="R468" s="2944"/>
      <c r="S468" s="2944"/>
      <c r="T468" s="2944"/>
      <c r="U468" s="2944"/>
      <c r="V468" s="2944"/>
      <c r="W468" s="2944"/>
      <c r="X468" s="2944"/>
      <c r="Y468" s="2944"/>
      <c r="Z468" s="2944"/>
      <c r="AA468" s="2944"/>
      <c r="AB468" s="2944"/>
      <c r="AC468" s="2934">
        <f t="shared" si="242"/>
        <v>0</v>
      </c>
      <c r="AD468" s="2954"/>
      <c r="AE468" s="2954"/>
      <c r="AF468" s="2954"/>
      <c r="AG468" s="2954"/>
      <c r="AH468" s="2954"/>
      <c r="AI468" s="2954"/>
      <c r="AJ468" s="2954"/>
      <c r="AK468" s="2954"/>
      <c r="AL468" s="2954"/>
      <c r="AM468" s="2954"/>
      <c r="AN468" s="2954"/>
      <c r="AO468" s="2954"/>
      <c r="AP468" s="2954"/>
      <c r="AQ468" s="2954"/>
      <c r="AR468" s="2954"/>
      <c r="AS468" s="2954"/>
      <c r="AT468" s="2935"/>
      <c r="AU468" s="2964"/>
      <c r="AV468" s="857">
        <f t="shared" si="243"/>
        <v>0</v>
      </c>
      <c r="AW468" s="857">
        <f t="shared" si="244"/>
        <v>0</v>
      </c>
      <c r="AX468" s="857">
        <f t="shared" si="245"/>
        <v>0</v>
      </c>
      <c r="AY468" s="807">
        <f t="shared" si="246"/>
        <v>0</v>
      </c>
      <c r="AZ468" s="2934">
        <f t="shared" si="247"/>
        <v>0</v>
      </c>
      <c r="BA468" s="2934">
        <f t="shared" si="248"/>
        <v>0</v>
      </c>
      <c r="BB468" s="2934">
        <f t="shared" si="249"/>
        <v>0</v>
      </c>
      <c r="BC468" s="2934">
        <f t="shared" si="250"/>
        <v>0</v>
      </c>
      <c r="BD468" s="2934">
        <f t="shared" si="251"/>
        <v>0</v>
      </c>
      <c r="BE468" s="2934">
        <f t="shared" si="252"/>
        <v>0</v>
      </c>
      <c r="BF468" s="2934">
        <f t="shared" si="253"/>
        <v>0</v>
      </c>
      <c r="BG468" s="2934">
        <f t="shared" si="254"/>
        <v>0</v>
      </c>
      <c r="BH468" s="2934">
        <f t="shared" si="255"/>
        <v>0</v>
      </c>
      <c r="BI468" s="2934">
        <f t="shared" si="256"/>
        <v>0</v>
      </c>
      <c r="BJ468" s="2934">
        <f t="shared" si="257"/>
        <v>0</v>
      </c>
      <c r="BK468" s="2934">
        <f t="shared" si="258"/>
        <v>0</v>
      </c>
      <c r="BL468" s="2934">
        <f t="shared" si="259"/>
        <v>0</v>
      </c>
      <c r="BM468" s="2934">
        <f t="shared" si="260"/>
        <v>0</v>
      </c>
      <c r="BN468" s="2934">
        <f t="shared" si="261"/>
        <v>0</v>
      </c>
      <c r="BO468" s="2934">
        <f t="shared" si="262"/>
        <v>0</v>
      </c>
      <c r="BP468" s="2934">
        <f t="shared" si="263"/>
        <v>0</v>
      </c>
      <c r="BQ468" s="2934">
        <f t="shared" si="264"/>
        <v>0</v>
      </c>
      <c r="BR468" s="2934">
        <f t="shared" si="265"/>
        <v>0</v>
      </c>
      <c r="BS468" s="2934">
        <f t="shared" si="266"/>
        <v>0</v>
      </c>
      <c r="BT468" s="2982">
        <f t="shared" si="267"/>
        <v>0</v>
      </c>
    </row>
    <row r="469" spans="1:72">
      <c r="A469" s="874"/>
      <c r="B469" s="882"/>
      <c r="C469" s="882"/>
      <c r="D469" s="2933"/>
      <c r="E469" s="2934">
        <f t="shared" si="239"/>
        <v>0</v>
      </c>
      <c r="F469" s="2935"/>
      <c r="G469" s="2936">
        <f t="shared" si="240"/>
        <v>0</v>
      </c>
      <c r="H469" s="2937">
        <f t="shared" si="241"/>
        <v>0</v>
      </c>
      <c r="I469" s="2944"/>
      <c r="J469" s="2944"/>
      <c r="K469" s="2944"/>
      <c r="L469" s="2944"/>
      <c r="M469" s="2944"/>
      <c r="N469" s="2944"/>
      <c r="O469" s="2944"/>
      <c r="P469" s="2944"/>
      <c r="Q469" s="2944"/>
      <c r="R469" s="2944"/>
      <c r="S469" s="2944"/>
      <c r="T469" s="2944"/>
      <c r="U469" s="2944"/>
      <c r="V469" s="2944"/>
      <c r="W469" s="2944"/>
      <c r="X469" s="2944"/>
      <c r="Y469" s="2944"/>
      <c r="Z469" s="2944"/>
      <c r="AA469" s="2944"/>
      <c r="AB469" s="2944"/>
      <c r="AC469" s="2934">
        <f t="shared" si="242"/>
        <v>0</v>
      </c>
      <c r="AD469" s="2954"/>
      <c r="AE469" s="2954"/>
      <c r="AF469" s="2954"/>
      <c r="AG469" s="2954"/>
      <c r="AH469" s="2954"/>
      <c r="AI469" s="2954"/>
      <c r="AJ469" s="2954"/>
      <c r="AK469" s="2954"/>
      <c r="AL469" s="2954"/>
      <c r="AM469" s="2954"/>
      <c r="AN469" s="2954"/>
      <c r="AO469" s="2954"/>
      <c r="AP469" s="2954"/>
      <c r="AQ469" s="2954"/>
      <c r="AR469" s="2954"/>
      <c r="AS469" s="2954"/>
      <c r="AT469" s="2935"/>
      <c r="AU469" s="2964"/>
      <c r="AV469" s="857">
        <f t="shared" si="243"/>
        <v>0</v>
      </c>
      <c r="AW469" s="857">
        <f t="shared" si="244"/>
        <v>0</v>
      </c>
      <c r="AX469" s="857">
        <f t="shared" si="245"/>
        <v>0</v>
      </c>
      <c r="AY469" s="807">
        <f t="shared" si="246"/>
        <v>0</v>
      </c>
      <c r="AZ469" s="2934">
        <f t="shared" si="247"/>
        <v>0</v>
      </c>
      <c r="BA469" s="2934">
        <f t="shared" si="248"/>
        <v>0</v>
      </c>
      <c r="BB469" s="2934">
        <f t="shared" si="249"/>
        <v>0</v>
      </c>
      <c r="BC469" s="2934">
        <f t="shared" si="250"/>
        <v>0</v>
      </c>
      <c r="BD469" s="2934">
        <f t="shared" si="251"/>
        <v>0</v>
      </c>
      <c r="BE469" s="2934">
        <f t="shared" si="252"/>
        <v>0</v>
      </c>
      <c r="BF469" s="2934">
        <f t="shared" si="253"/>
        <v>0</v>
      </c>
      <c r="BG469" s="2934">
        <f t="shared" si="254"/>
        <v>0</v>
      </c>
      <c r="BH469" s="2934">
        <f t="shared" si="255"/>
        <v>0</v>
      </c>
      <c r="BI469" s="2934">
        <f t="shared" si="256"/>
        <v>0</v>
      </c>
      <c r="BJ469" s="2934">
        <f t="shared" si="257"/>
        <v>0</v>
      </c>
      <c r="BK469" s="2934">
        <f t="shared" si="258"/>
        <v>0</v>
      </c>
      <c r="BL469" s="2934">
        <f t="shared" si="259"/>
        <v>0</v>
      </c>
      <c r="BM469" s="2934">
        <f t="shared" si="260"/>
        <v>0</v>
      </c>
      <c r="BN469" s="2934">
        <f t="shared" si="261"/>
        <v>0</v>
      </c>
      <c r="BO469" s="2934">
        <f t="shared" si="262"/>
        <v>0</v>
      </c>
      <c r="BP469" s="2934">
        <f t="shared" si="263"/>
        <v>0</v>
      </c>
      <c r="BQ469" s="2934">
        <f t="shared" si="264"/>
        <v>0</v>
      </c>
      <c r="BR469" s="2934">
        <f t="shared" si="265"/>
        <v>0</v>
      </c>
      <c r="BS469" s="2934">
        <f t="shared" si="266"/>
        <v>0</v>
      </c>
      <c r="BT469" s="2982">
        <f t="shared" si="267"/>
        <v>0</v>
      </c>
    </row>
    <row r="470" spans="1:72">
      <c r="A470" s="874"/>
      <c r="B470" s="882"/>
      <c r="C470" s="882"/>
      <c r="D470" s="2933"/>
      <c r="E470" s="2934">
        <f t="shared" si="239"/>
        <v>0</v>
      </c>
      <c r="F470" s="2935"/>
      <c r="G470" s="2936">
        <f t="shared" si="240"/>
        <v>0</v>
      </c>
      <c r="H470" s="2937">
        <f t="shared" si="241"/>
        <v>0</v>
      </c>
      <c r="I470" s="2944"/>
      <c r="J470" s="2944"/>
      <c r="K470" s="2944"/>
      <c r="L470" s="2944"/>
      <c r="M470" s="2944"/>
      <c r="N470" s="2944"/>
      <c r="O470" s="2944"/>
      <c r="P470" s="2944"/>
      <c r="Q470" s="2944"/>
      <c r="R470" s="2944"/>
      <c r="S470" s="2944"/>
      <c r="T470" s="2944"/>
      <c r="U470" s="2944"/>
      <c r="V470" s="2944"/>
      <c r="W470" s="2944"/>
      <c r="X470" s="2944"/>
      <c r="Y470" s="2944"/>
      <c r="Z470" s="2944"/>
      <c r="AA470" s="2944"/>
      <c r="AB470" s="2944"/>
      <c r="AC470" s="2934">
        <f t="shared" si="242"/>
        <v>0</v>
      </c>
      <c r="AD470" s="2954"/>
      <c r="AE470" s="2954"/>
      <c r="AF470" s="2954"/>
      <c r="AG470" s="2954"/>
      <c r="AH470" s="2954"/>
      <c r="AI470" s="2954"/>
      <c r="AJ470" s="2954"/>
      <c r="AK470" s="2954"/>
      <c r="AL470" s="2954"/>
      <c r="AM470" s="2954"/>
      <c r="AN470" s="2954"/>
      <c r="AO470" s="2954"/>
      <c r="AP470" s="2954"/>
      <c r="AQ470" s="2954"/>
      <c r="AR470" s="2954"/>
      <c r="AS470" s="2954"/>
      <c r="AT470" s="2935"/>
      <c r="AU470" s="2964"/>
      <c r="AV470" s="857">
        <f t="shared" si="243"/>
        <v>0</v>
      </c>
      <c r="AW470" s="857">
        <f t="shared" si="244"/>
        <v>0</v>
      </c>
      <c r="AX470" s="857">
        <f t="shared" si="245"/>
        <v>0</v>
      </c>
      <c r="AY470" s="807">
        <f t="shared" si="246"/>
        <v>0</v>
      </c>
      <c r="AZ470" s="2934">
        <f t="shared" si="247"/>
        <v>0</v>
      </c>
      <c r="BA470" s="2934">
        <f t="shared" si="248"/>
        <v>0</v>
      </c>
      <c r="BB470" s="2934">
        <f t="shared" si="249"/>
        <v>0</v>
      </c>
      <c r="BC470" s="2934">
        <f t="shared" si="250"/>
        <v>0</v>
      </c>
      <c r="BD470" s="2934">
        <f t="shared" si="251"/>
        <v>0</v>
      </c>
      <c r="BE470" s="2934">
        <f t="shared" si="252"/>
        <v>0</v>
      </c>
      <c r="BF470" s="2934">
        <f t="shared" si="253"/>
        <v>0</v>
      </c>
      <c r="BG470" s="2934">
        <f t="shared" si="254"/>
        <v>0</v>
      </c>
      <c r="BH470" s="2934">
        <f t="shared" si="255"/>
        <v>0</v>
      </c>
      <c r="BI470" s="2934">
        <f t="shared" si="256"/>
        <v>0</v>
      </c>
      <c r="BJ470" s="2934">
        <f t="shared" si="257"/>
        <v>0</v>
      </c>
      <c r="BK470" s="2934">
        <f t="shared" si="258"/>
        <v>0</v>
      </c>
      <c r="BL470" s="2934">
        <f t="shared" si="259"/>
        <v>0</v>
      </c>
      <c r="BM470" s="2934">
        <f t="shared" si="260"/>
        <v>0</v>
      </c>
      <c r="BN470" s="2934">
        <f t="shared" si="261"/>
        <v>0</v>
      </c>
      <c r="BO470" s="2934">
        <f t="shared" si="262"/>
        <v>0</v>
      </c>
      <c r="BP470" s="2934">
        <f t="shared" si="263"/>
        <v>0</v>
      </c>
      <c r="BQ470" s="2934">
        <f t="shared" si="264"/>
        <v>0</v>
      </c>
      <c r="BR470" s="2934">
        <f t="shared" si="265"/>
        <v>0</v>
      </c>
      <c r="BS470" s="2934">
        <f t="shared" si="266"/>
        <v>0</v>
      </c>
      <c r="BT470" s="2982">
        <f t="shared" si="267"/>
        <v>0</v>
      </c>
    </row>
    <row r="471" spans="1:72">
      <c r="A471" s="874"/>
      <c r="B471" s="882"/>
      <c r="C471" s="882"/>
      <c r="D471" s="2933"/>
      <c r="E471" s="2934">
        <f t="shared" si="239"/>
        <v>0</v>
      </c>
      <c r="F471" s="2935"/>
      <c r="G471" s="2936">
        <f t="shared" si="240"/>
        <v>0</v>
      </c>
      <c r="H471" s="2937">
        <f t="shared" si="241"/>
        <v>0</v>
      </c>
      <c r="I471" s="2944"/>
      <c r="J471" s="2944"/>
      <c r="K471" s="2944"/>
      <c r="L471" s="2944"/>
      <c r="M471" s="2944"/>
      <c r="N471" s="2944"/>
      <c r="O471" s="2944"/>
      <c r="P471" s="2944"/>
      <c r="Q471" s="2944"/>
      <c r="R471" s="2944"/>
      <c r="S471" s="2944"/>
      <c r="T471" s="2944"/>
      <c r="U471" s="2944"/>
      <c r="V471" s="2944"/>
      <c r="W471" s="2944"/>
      <c r="X471" s="2944"/>
      <c r="Y471" s="2944"/>
      <c r="Z471" s="2944"/>
      <c r="AA471" s="2944"/>
      <c r="AB471" s="2944"/>
      <c r="AC471" s="2934">
        <f t="shared" si="242"/>
        <v>0</v>
      </c>
      <c r="AD471" s="2954"/>
      <c r="AE471" s="2954"/>
      <c r="AF471" s="2954"/>
      <c r="AG471" s="2954"/>
      <c r="AH471" s="2954"/>
      <c r="AI471" s="2954"/>
      <c r="AJ471" s="2954"/>
      <c r="AK471" s="2954"/>
      <c r="AL471" s="2954"/>
      <c r="AM471" s="2954"/>
      <c r="AN471" s="2954"/>
      <c r="AO471" s="2954"/>
      <c r="AP471" s="2954"/>
      <c r="AQ471" s="2954"/>
      <c r="AR471" s="2954"/>
      <c r="AS471" s="2954"/>
      <c r="AT471" s="2935"/>
      <c r="AU471" s="2964"/>
      <c r="AV471" s="857">
        <f t="shared" si="243"/>
        <v>0</v>
      </c>
      <c r="AW471" s="857">
        <f t="shared" si="244"/>
        <v>0</v>
      </c>
      <c r="AX471" s="857">
        <f t="shared" si="245"/>
        <v>0</v>
      </c>
      <c r="AY471" s="807">
        <f t="shared" si="246"/>
        <v>0</v>
      </c>
      <c r="AZ471" s="2934">
        <f t="shared" si="247"/>
        <v>0</v>
      </c>
      <c r="BA471" s="2934">
        <f t="shared" si="248"/>
        <v>0</v>
      </c>
      <c r="BB471" s="2934">
        <f t="shared" si="249"/>
        <v>0</v>
      </c>
      <c r="BC471" s="2934">
        <f t="shared" si="250"/>
        <v>0</v>
      </c>
      <c r="BD471" s="2934">
        <f t="shared" si="251"/>
        <v>0</v>
      </c>
      <c r="BE471" s="2934">
        <f t="shared" si="252"/>
        <v>0</v>
      </c>
      <c r="BF471" s="2934">
        <f t="shared" si="253"/>
        <v>0</v>
      </c>
      <c r="BG471" s="2934">
        <f t="shared" si="254"/>
        <v>0</v>
      </c>
      <c r="BH471" s="2934">
        <f t="shared" si="255"/>
        <v>0</v>
      </c>
      <c r="BI471" s="2934">
        <f t="shared" si="256"/>
        <v>0</v>
      </c>
      <c r="BJ471" s="2934">
        <f t="shared" si="257"/>
        <v>0</v>
      </c>
      <c r="BK471" s="2934">
        <f t="shared" si="258"/>
        <v>0</v>
      </c>
      <c r="BL471" s="2934">
        <f t="shared" si="259"/>
        <v>0</v>
      </c>
      <c r="BM471" s="2934">
        <f t="shared" si="260"/>
        <v>0</v>
      </c>
      <c r="BN471" s="2934">
        <f t="shared" si="261"/>
        <v>0</v>
      </c>
      <c r="BO471" s="2934">
        <f t="shared" si="262"/>
        <v>0</v>
      </c>
      <c r="BP471" s="2934">
        <f t="shared" si="263"/>
        <v>0</v>
      </c>
      <c r="BQ471" s="2934">
        <f t="shared" si="264"/>
        <v>0</v>
      </c>
      <c r="BR471" s="2934">
        <f t="shared" si="265"/>
        <v>0</v>
      </c>
      <c r="BS471" s="2934">
        <f t="shared" si="266"/>
        <v>0</v>
      </c>
      <c r="BT471" s="2982">
        <f t="shared" si="267"/>
        <v>0</v>
      </c>
    </row>
    <row r="472" spans="1:72">
      <c r="A472" s="874"/>
      <c r="B472" s="882"/>
      <c r="C472" s="882"/>
      <c r="D472" s="2933"/>
      <c r="E472" s="2934">
        <f t="shared" si="239"/>
        <v>0</v>
      </c>
      <c r="F472" s="2935"/>
      <c r="G472" s="2936">
        <f t="shared" si="240"/>
        <v>0</v>
      </c>
      <c r="H472" s="2937">
        <f t="shared" si="241"/>
        <v>0</v>
      </c>
      <c r="I472" s="2944"/>
      <c r="J472" s="2944"/>
      <c r="K472" s="2944"/>
      <c r="L472" s="2944"/>
      <c r="M472" s="2944"/>
      <c r="N472" s="2944"/>
      <c r="O472" s="2944"/>
      <c r="P472" s="2944"/>
      <c r="Q472" s="2944"/>
      <c r="R472" s="2944"/>
      <c r="S472" s="2944"/>
      <c r="T472" s="2944"/>
      <c r="U472" s="2944"/>
      <c r="V472" s="2944"/>
      <c r="W472" s="2944"/>
      <c r="X472" s="2944"/>
      <c r="Y472" s="2944"/>
      <c r="Z472" s="2944"/>
      <c r="AA472" s="2944"/>
      <c r="AB472" s="2944"/>
      <c r="AC472" s="2934">
        <f t="shared" si="242"/>
        <v>0</v>
      </c>
      <c r="AD472" s="2954"/>
      <c r="AE472" s="2954"/>
      <c r="AF472" s="2954"/>
      <c r="AG472" s="2954"/>
      <c r="AH472" s="2954"/>
      <c r="AI472" s="2954"/>
      <c r="AJ472" s="2954"/>
      <c r="AK472" s="2954"/>
      <c r="AL472" s="2954"/>
      <c r="AM472" s="2954"/>
      <c r="AN472" s="2954"/>
      <c r="AO472" s="2954"/>
      <c r="AP472" s="2954"/>
      <c r="AQ472" s="2954"/>
      <c r="AR472" s="2954"/>
      <c r="AS472" s="2954"/>
      <c r="AT472" s="2935"/>
      <c r="AU472" s="2964"/>
      <c r="AV472" s="857">
        <f t="shared" si="243"/>
        <v>0</v>
      </c>
      <c r="AW472" s="857">
        <f t="shared" si="244"/>
        <v>0</v>
      </c>
      <c r="AX472" s="857">
        <f t="shared" si="245"/>
        <v>0</v>
      </c>
      <c r="AY472" s="807">
        <f t="shared" si="246"/>
        <v>0</v>
      </c>
      <c r="AZ472" s="2934">
        <f t="shared" si="247"/>
        <v>0</v>
      </c>
      <c r="BA472" s="2934">
        <f t="shared" si="248"/>
        <v>0</v>
      </c>
      <c r="BB472" s="2934">
        <f t="shared" si="249"/>
        <v>0</v>
      </c>
      <c r="BC472" s="2934">
        <f t="shared" si="250"/>
        <v>0</v>
      </c>
      <c r="BD472" s="2934">
        <f t="shared" si="251"/>
        <v>0</v>
      </c>
      <c r="BE472" s="2934">
        <f t="shared" si="252"/>
        <v>0</v>
      </c>
      <c r="BF472" s="2934">
        <f t="shared" si="253"/>
        <v>0</v>
      </c>
      <c r="BG472" s="2934">
        <f t="shared" si="254"/>
        <v>0</v>
      </c>
      <c r="BH472" s="2934">
        <f t="shared" si="255"/>
        <v>0</v>
      </c>
      <c r="BI472" s="2934">
        <f t="shared" si="256"/>
        <v>0</v>
      </c>
      <c r="BJ472" s="2934">
        <f t="shared" si="257"/>
        <v>0</v>
      </c>
      <c r="BK472" s="2934">
        <f t="shared" si="258"/>
        <v>0</v>
      </c>
      <c r="BL472" s="2934">
        <f t="shared" si="259"/>
        <v>0</v>
      </c>
      <c r="BM472" s="2934">
        <f t="shared" si="260"/>
        <v>0</v>
      </c>
      <c r="BN472" s="2934">
        <f t="shared" si="261"/>
        <v>0</v>
      </c>
      <c r="BO472" s="2934">
        <f t="shared" si="262"/>
        <v>0</v>
      </c>
      <c r="BP472" s="2934">
        <f t="shared" si="263"/>
        <v>0</v>
      </c>
      <c r="BQ472" s="2934">
        <f t="shared" si="264"/>
        <v>0</v>
      </c>
      <c r="BR472" s="2934">
        <f t="shared" si="265"/>
        <v>0</v>
      </c>
      <c r="BS472" s="2934">
        <f t="shared" si="266"/>
        <v>0</v>
      </c>
      <c r="BT472" s="2982">
        <f t="shared" si="267"/>
        <v>0</v>
      </c>
    </row>
    <row r="473" spans="1:72">
      <c r="A473" s="874"/>
      <c r="B473" s="882"/>
      <c r="C473" s="882"/>
      <c r="D473" s="2933"/>
      <c r="E473" s="2934">
        <f t="shared" si="239"/>
        <v>0</v>
      </c>
      <c r="F473" s="2935"/>
      <c r="G473" s="2936">
        <f t="shared" si="240"/>
        <v>0</v>
      </c>
      <c r="H473" s="2937">
        <f t="shared" si="241"/>
        <v>0</v>
      </c>
      <c r="I473" s="2944"/>
      <c r="J473" s="2944"/>
      <c r="K473" s="2944"/>
      <c r="L473" s="2944"/>
      <c r="M473" s="2944"/>
      <c r="N473" s="2944"/>
      <c r="O473" s="2944"/>
      <c r="P473" s="2944"/>
      <c r="Q473" s="2944"/>
      <c r="R473" s="2944"/>
      <c r="S473" s="2944"/>
      <c r="T473" s="2944"/>
      <c r="U473" s="2944"/>
      <c r="V473" s="2944"/>
      <c r="W473" s="2944"/>
      <c r="X473" s="2944"/>
      <c r="Y473" s="2944"/>
      <c r="Z473" s="2944"/>
      <c r="AA473" s="2944"/>
      <c r="AB473" s="2944"/>
      <c r="AC473" s="2934">
        <f t="shared" si="242"/>
        <v>0</v>
      </c>
      <c r="AD473" s="2954"/>
      <c r="AE473" s="2954"/>
      <c r="AF473" s="2954"/>
      <c r="AG473" s="2954"/>
      <c r="AH473" s="2954"/>
      <c r="AI473" s="2954"/>
      <c r="AJ473" s="2954"/>
      <c r="AK473" s="2954"/>
      <c r="AL473" s="2954"/>
      <c r="AM473" s="2954"/>
      <c r="AN473" s="2954"/>
      <c r="AO473" s="2954"/>
      <c r="AP473" s="2954"/>
      <c r="AQ473" s="2954"/>
      <c r="AR473" s="2954"/>
      <c r="AS473" s="2954"/>
      <c r="AT473" s="2935"/>
      <c r="AU473" s="2964"/>
      <c r="AV473" s="857">
        <f t="shared" si="243"/>
        <v>0</v>
      </c>
      <c r="AW473" s="857">
        <f t="shared" si="244"/>
        <v>0</v>
      </c>
      <c r="AX473" s="857">
        <f t="shared" si="245"/>
        <v>0</v>
      </c>
      <c r="AY473" s="807">
        <f t="shared" si="246"/>
        <v>0</v>
      </c>
      <c r="AZ473" s="2934">
        <f t="shared" si="247"/>
        <v>0</v>
      </c>
      <c r="BA473" s="2934">
        <f t="shared" si="248"/>
        <v>0</v>
      </c>
      <c r="BB473" s="2934">
        <f t="shared" si="249"/>
        <v>0</v>
      </c>
      <c r="BC473" s="2934">
        <f t="shared" si="250"/>
        <v>0</v>
      </c>
      <c r="BD473" s="2934">
        <f t="shared" si="251"/>
        <v>0</v>
      </c>
      <c r="BE473" s="2934">
        <f t="shared" si="252"/>
        <v>0</v>
      </c>
      <c r="BF473" s="2934">
        <f t="shared" si="253"/>
        <v>0</v>
      </c>
      <c r="BG473" s="2934">
        <f t="shared" si="254"/>
        <v>0</v>
      </c>
      <c r="BH473" s="2934">
        <f t="shared" si="255"/>
        <v>0</v>
      </c>
      <c r="BI473" s="2934">
        <f t="shared" si="256"/>
        <v>0</v>
      </c>
      <c r="BJ473" s="2934">
        <f t="shared" si="257"/>
        <v>0</v>
      </c>
      <c r="BK473" s="2934">
        <f t="shared" si="258"/>
        <v>0</v>
      </c>
      <c r="BL473" s="2934">
        <f t="shared" si="259"/>
        <v>0</v>
      </c>
      <c r="BM473" s="2934">
        <f t="shared" si="260"/>
        <v>0</v>
      </c>
      <c r="BN473" s="2934">
        <f t="shared" si="261"/>
        <v>0</v>
      </c>
      <c r="BO473" s="2934">
        <f t="shared" si="262"/>
        <v>0</v>
      </c>
      <c r="BP473" s="2934">
        <f t="shared" si="263"/>
        <v>0</v>
      </c>
      <c r="BQ473" s="2934">
        <f t="shared" si="264"/>
        <v>0</v>
      </c>
      <c r="BR473" s="2934">
        <f t="shared" si="265"/>
        <v>0</v>
      </c>
      <c r="BS473" s="2934">
        <f t="shared" si="266"/>
        <v>0</v>
      </c>
      <c r="BT473" s="2982">
        <f t="shared" si="267"/>
        <v>0</v>
      </c>
    </row>
    <row r="474" spans="1:72">
      <c r="A474" s="874"/>
      <c r="B474" s="882"/>
      <c r="C474" s="882"/>
      <c r="D474" s="2933"/>
      <c r="E474" s="2934">
        <f t="shared" si="239"/>
        <v>0</v>
      </c>
      <c r="F474" s="2935"/>
      <c r="G474" s="2936">
        <f t="shared" si="240"/>
        <v>0</v>
      </c>
      <c r="H474" s="2937">
        <f t="shared" si="241"/>
        <v>0</v>
      </c>
      <c r="I474" s="2944"/>
      <c r="J474" s="2944"/>
      <c r="K474" s="2944"/>
      <c r="L474" s="2944"/>
      <c r="M474" s="2944"/>
      <c r="N474" s="2944"/>
      <c r="O474" s="2944"/>
      <c r="P474" s="2944"/>
      <c r="Q474" s="2944"/>
      <c r="R474" s="2944"/>
      <c r="S474" s="2944"/>
      <c r="T474" s="2944"/>
      <c r="U474" s="2944"/>
      <c r="V474" s="2944"/>
      <c r="W474" s="2944"/>
      <c r="X474" s="2944"/>
      <c r="Y474" s="2944"/>
      <c r="Z474" s="2944"/>
      <c r="AA474" s="2944"/>
      <c r="AB474" s="2944"/>
      <c r="AC474" s="2934">
        <f t="shared" si="242"/>
        <v>0</v>
      </c>
      <c r="AD474" s="2954"/>
      <c r="AE474" s="2954"/>
      <c r="AF474" s="2954"/>
      <c r="AG474" s="2954"/>
      <c r="AH474" s="2954"/>
      <c r="AI474" s="2954"/>
      <c r="AJ474" s="2954"/>
      <c r="AK474" s="2954"/>
      <c r="AL474" s="2954"/>
      <c r="AM474" s="2954"/>
      <c r="AN474" s="2954"/>
      <c r="AO474" s="2954"/>
      <c r="AP474" s="2954"/>
      <c r="AQ474" s="2954"/>
      <c r="AR474" s="2954"/>
      <c r="AS474" s="2954"/>
      <c r="AT474" s="2935"/>
      <c r="AU474" s="2964"/>
      <c r="AV474" s="857">
        <f t="shared" si="243"/>
        <v>0</v>
      </c>
      <c r="AW474" s="857">
        <f t="shared" si="244"/>
        <v>0</v>
      </c>
      <c r="AX474" s="857">
        <f t="shared" si="245"/>
        <v>0</v>
      </c>
      <c r="AY474" s="807">
        <f t="shared" si="246"/>
        <v>0</v>
      </c>
      <c r="AZ474" s="2934">
        <f t="shared" si="247"/>
        <v>0</v>
      </c>
      <c r="BA474" s="2934">
        <f t="shared" si="248"/>
        <v>0</v>
      </c>
      <c r="BB474" s="2934">
        <f t="shared" si="249"/>
        <v>0</v>
      </c>
      <c r="BC474" s="2934">
        <f t="shared" si="250"/>
        <v>0</v>
      </c>
      <c r="BD474" s="2934">
        <f t="shared" si="251"/>
        <v>0</v>
      </c>
      <c r="BE474" s="2934">
        <f t="shared" si="252"/>
        <v>0</v>
      </c>
      <c r="BF474" s="2934">
        <f t="shared" si="253"/>
        <v>0</v>
      </c>
      <c r="BG474" s="2934">
        <f t="shared" si="254"/>
        <v>0</v>
      </c>
      <c r="BH474" s="2934">
        <f t="shared" si="255"/>
        <v>0</v>
      </c>
      <c r="BI474" s="2934">
        <f t="shared" si="256"/>
        <v>0</v>
      </c>
      <c r="BJ474" s="2934">
        <f t="shared" si="257"/>
        <v>0</v>
      </c>
      <c r="BK474" s="2934">
        <f t="shared" si="258"/>
        <v>0</v>
      </c>
      <c r="BL474" s="2934">
        <f t="shared" si="259"/>
        <v>0</v>
      </c>
      <c r="BM474" s="2934">
        <f t="shared" si="260"/>
        <v>0</v>
      </c>
      <c r="BN474" s="2934">
        <f t="shared" si="261"/>
        <v>0</v>
      </c>
      <c r="BO474" s="2934">
        <f t="shared" si="262"/>
        <v>0</v>
      </c>
      <c r="BP474" s="2934">
        <f t="shared" si="263"/>
        <v>0</v>
      </c>
      <c r="BQ474" s="2934">
        <f t="shared" si="264"/>
        <v>0</v>
      </c>
      <c r="BR474" s="2934">
        <f t="shared" si="265"/>
        <v>0</v>
      </c>
      <c r="BS474" s="2934">
        <f t="shared" si="266"/>
        <v>0</v>
      </c>
      <c r="BT474" s="2982">
        <f t="shared" si="267"/>
        <v>0</v>
      </c>
    </row>
    <row r="475" spans="1:72">
      <c r="A475" s="874"/>
      <c r="B475" s="882"/>
      <c r="C475" s="882"/>
      <c r="D475" s="2933"/>
      <c r="E475" s="2934">
        <f t="shared" si="239"/>
        <v>0</v>
      </c>
      <c r="F475" s="2935"/>
      <c r="G475" s="2936">
        <f t="shared" si="240"/>
        <v>0</v>
      </c>
      <c r="H475" s="2937">
        <f t="shared" si="241"/>
        <v>0</v>
      </c>
      <c r="I475" s="2944"/>
      <c r="J475" s="2944"/>
      <c r="K475" s="2944"/>
      <c r="L475" s="2944"/>
      <c r="M475" s="2944"/>
      <c r="N475" s="2944"/>
      <c r="O475" s="2944"/>
      <c r="P475" s="2944"/>
      <c r="Q475" s="2944"/>
      <c r="R475" s="2944"/>
      <c r="S475" s="2944"/>
      <c r="T475" s="2944"/>
      <c r="U475" s="2944"/>
      <c r="V475" s="2944"/>
      <c r="W475" s="2944"/>
      <c r="X475" s="2944"/>
      <c r="Y475" s="2944"/>
      <c r="Z475" s="2944"/>
      <c r="AA475" s="2944"/>
      <c r="AB475" s="2944"/>
      <c r="AC475" s="2934">
        <f t="shared" si="242"/>
        <v>0</v>
      </c>
      <c r="AD475" s="2954"/>
      <c r="AE475" s="2954"/>
      <c r="AF475" s="2954"/>
      <c r="AG475" s="2954"/>
      <c r="AH475" s="2954"/>
      <c r="AI475" s="2954"/>
      <c r="AJ475" s="2954"/>
      <c r="AK475" s="2954"/>
      <c r="AL475" s="2954"/>
      <c r="AM475" s="2954"/>
      <c r="AN475" s="2954"/>
      <c r="AO475" s="2954"/>
      <c r="AP475" s="2954"/>
      <c r="AQ475" s="2954"/>
      <c r="AR475" s="2954"/>
      <c r="AS475" s="2954"/>
      <c r="AT475" s="2935"/>
      <c r="AU475" s="2964"/>
      <c r="AV475" s="857">
        <f t="shared" si="243"/>
        <v>0</v>
      </c>
      <c r="AW475" s="857">
        <f t="shared" si="244"/>
        <v>0</v>
      </c>
      <c r="AX475" s="857">
        <f t="shared" si="245"/>
        <v>0</v>
      </c>
      <c r="AY475" s="807">
        <f t="shared" si="246"/>
        <v>0</v>
      </c>
      <c r="AZ475" s="2934">
        <f t="shared" si="247"/>
        <v>0</v>
      </c>
      <c r="BA475" s="2934">
        <f t="shared" si="248"/>
        <v>0</v>
      </c>
      <c r="BB475" s="2934">
        <f t="shared" si="249"/>
        <v>0</v>
      </c>
      <c r="BC475" s="2934">
        <f t="shared" si="250"/>
        <v>0</v>
      </c>
      <c r="BD475" s="2934">
        <f t="shared" si="251"/>
        <v>0</v>
      </c>
      <c r="BE475" s="2934">
        <f t="shared" si="252"/>
        <v>0</v>
      </c>
      <c r="BF475" s="2934">
        <f t="shared" si="253"/>
        <v>0</v>
      </c>
      <c r="BG475" s="2934">
        <f t="shared" si="254"/>
        <v>0</v>
      </c>
      <c r="BH475" s="2934">
        <f t="shared" si="255"/>
        <v>0</v>
      </c>
      <c r="BI475" s="2934">
        <f t="shared" si="256"/>
        <v>0</v>
      </c>
      <c r="BJ475" s="2934">
        <f t="shared" si="257"/>
        <v>0</v>
      </c>
      <c r="BK475" s="2934">
        <f t="shared" si="258"/>
        <v>0</v>
      </c>
      <c r="BL475" s="2934">
        <f t="shared" si="259"/>
        <v>0</v>
      </c>
      <c r="BM475" s="2934">
        <f t="shared" si="260"/>
        <v>0</v>
      </c>
      <c r="BN475" s="2934">
        <f t="shared" si="261"/>
        <v>0</v>
      </c>
      <c r="BO475" s="2934">
        <f t="shared" si="262"/>
        <v>0</v>
      </c>
      <c r="BP475" s="2934">
        <f t="shared" si="263"/>
        <v>0</v>
      </c>
      <c r="BQ475" s="2934">
        <f t="shared" si="264"/>
        <v>0</v>
      </c>
      <c r="BR475" s="2934">
        <f t="shared" si="265"/>
        <v>0</v>
      </c>
      <c r="BS475" s="2934">
        <f t="shared" si="266"/>
        <v>0</v>
      </c>
      <c r="BT475" s="2982">
        <f t="shared" si="267"/>
        <v>0</v>
      </c>
    </row>
    <row r="476" spans="1:72">
      <c r="A476" s="874"/>
      <c r="B476" s="882"/>
      <c r="C476" s="882"/>
      <c r="D476" s="2933"/>
      <c r="E476" s="2934">
        <f t="shared" si="239"/>
        <v>0</v>
      </c>
      <c r="F476" s="2935"/>
      <c r="G476" s="2936">
        <f t="shared" si="240"/>
        <v>0</v>
      </c>
      <c r="H476" s="2937">
        <f t="shared" si="241"/>
        <v>0</v>
      </c>
      <c r="I476" s="2944"/>
      <c r="J476" s="2944"/>
      <c r="K476" s="2944"/>
      <c r="L476" s="2944"/>
      <c r="M476" s="2944"/>
      <c r="N476" s="2944"/>
      <c r="O476" s="2944"/>
      <c r="P476" s="2944"/>
      <c r="Q476" s="2944"/>
      <c r="R476" s="2944"/>
      <c r="S476" s="2944"/>
      <c r="T476" s="2944"/>
      <c r="U476" s="2944"/>
      <c r="V476" s="2944"/>
      <c r="W476" s="2944"/>
      <c r="X476" s="2944"/>
      <c r="Y476" s="2944"/>
      <c r="Z476" s="2944"/>
      <c r="AA476" s="2944"/>
      <c r="AB476" s="2944"/>
      <c r="AC476" s="2934">
        <f t="shared" si="242"/>
        <v>0</v>
      </c>
      <c r="AD476" s="2954"/>
      <c r="AE476" s="2954"/>
      <c r="AF476" s="2954"/>
      <c r="AG476" s="2954"/>
      <c r="AH476" s="2954"/>
      <c r="AI476" s="2954"/>
      <c r="AJ476" s="2954"/>
      <c r="AK476" s="2954"/>
      <c r="AL476" s="2954"/>
      <c r="AM476" s="2954"/>
      <c r="AN476" s="2954"/>
      <c r="AO476" s="2954"/>
      <c r="AP476" s="2954"/>
      <c r="AQ476" s="2954"/>
      <c r="AR476" s="2954"/>
      <c r="AS476" s="2954"/>
      <c r="AT476" s="2935"/>
      <c r="AU476" s="2964"/>
      <c r="AV476" s="857">
        <f t="shared" si="243"/>
        <v>0</v>
      </c>
      <c r="AW476" s="857">
        <f t="shared" si="244"/>
        <v>0</v>
      </c>
      <c r="AX476" s="857">
        <f t="shared" si="245"/>
        <v>0</v>
      </c>
      <c r="AY476" s="807">
        <f t="shared" si="246"/>
        <v>0</v>
      </c>
      <c r="AZ476" s="2934">
        <f t="shared" si="247"/>
        <v>0</v>
      </c>
      <c r="BA476" s="2934">
        <f t="shared" si="248"/>
        <v>0</v>
      </c>
      <c r="BB476" s="2934">
        <f t="shared" si="249"/>
        <v>0</v>
      </c>
      <c r="BC476" s="2934">
        <f t="shared" si="250"/>
        <v>0</v>
      </c>
      <c r="BD476" s="2934">
        <f t="shared" si="251"/>
        <v>0</v>
      </c>
      <c r="BE476" s="2934">
        <f t="shared" si="252"/>
        <v>0</v>
      </c>
      <c r="BF476" s="2934">
        <f t="shared" si="253"/>
        <v>0</v>
      </c>
      <c r="BG476" s="2934">
        <f t="shared" si="254"/>
        <v>0</v>
      </c>
      <c r="BH476" s="2934">
        <f t="shared" si="255"/>
        <v>0</v>
      </c>
      <c r="BI476" s="2934">
        <f t="shared" si="256"/>
        <v>0</v>
      </c>
      <c r="BJ476" s="2934">
        <f t="shared" si="257"/>
        <v>0</v>
      </c>
      <c r="BK476" s="2934">
        <f t="shared" si="258"/>
        <v>0</v>
      </c>
      <c r="BL476" s="2934">
        <f t="shared" si="259"/>
        <v>0</v>
      </c>
      <c r="BM476" s="2934">
        <f t="shared" si="260"/>
        <v>0</v>
      </c>
      <c r="BN476" s="2934">
        <f t="shared" si="261"/>
        <v>0</v>
      </c>
      <c r="BO476" s="2934">
        <f t="shared" si="262"/>
        <v>0</v>
      </c>
      <c r="BP476" s="2934">
        <f t="shared" si="263"/>
        <v>0</v>
      </c>
      <c r="BQ476" s="2934">
        <f t="shared" si="264"/>
        <v>0</v>
      </c>
      <c r="BR476" s="2934">
        <f t="shared" si="265"/>
        <v>0</v>
      </c>
      <c r="BS476" s="2934">
        <f t="shared" si="266"/>
        <v>0</v>
      </c>
      <c r="BT476" s="2982">
        <f t="shared" si="267"/>
        <v>0</v>
      </c>
    </row>
    <row r="477" spans="1:72">
      <c r="A477" s="874"/>
      <c r="B477" s="882"/>
      <c r="C477" s="882"/>
      <c r="D477" s="2933"/>
      <c r="E477" s="2934">
        <f t="shared" si="239"/>
        <v>0</v>
      </c>
      <c r="F477" s="2935"/>
      <c r="G477" s="2936">
        <f t="shared" si="240"/>
        <v>0</v>
      </c>
      <c r="H477" s="2937">
        <f t="shared" si="241"/>
        <v>0</v>
      </c>
      <c r="I477" s="2944"/>
      <c r="J477" s="2944"/>
      <c r="K477" s="2944"/>
      <c r="L477" s="2944"/>
      <c r="M477" s="2944"/>
      <c r="N477" s="2944"/>
      <c r="O477" s="2944"/>
      <c r="P477" s="2944"/>
      <c r="Q477" s="2944"/>
      <c r="R477" s="2944"/>
      <c r="S477" s="2944"/>
      <c r="T477" s="2944"/>
      <c r="U477" s="2944"/>
      <c r="V477" s="2944"/>
      <c r="W477" s="2944"/>
      <c r="X477" s="2944"/>
      <c r="Y477" s="2944"/>
      <c r="Z477" s="2944"/>
      <c r="AA477" s="2944"/>
      <c r="AB477" s="2944"/>
      <c r="AC477" s="2934">
        <f t="shared" si="242"/>
        <v>0</v>
      </c>
      <c r="AD477" s="2954"/>
      <c r="AE477" s="2954"/>
      <c r="AF477" s="2954"/>
      <c r="AG477" s="2954"/>
      <c r="AH477" s="2954"/>
      <c r="AI477" s="2954"/>
      <c r="AJ477" s="2954"/>
      <c r="AK477" s="2954"/>
      <c r="AL477" s="2954"/>
      <c r="AM477" s="2954"/>
      <c r="AN477" s="2954"/>
      <c r="AO477" s="2954"/>
      <c r="AP477" s="2954"/>
      <c r="AQ477" s="2954"/>
      <c r="AR477" s="2954"/>
      <c r="AS477" s="2954"/>
      <c r="AT477" s="2935"/>
      <c r="AU477" s="2964"/>
      <c r="AV477" s="857">
        <f t="shared" si="243"/>
        <v>0</v>
      </c>
      <c r="AW477" s="857">
        <f t="shared" si="244"/>
        <v>0</v>
      </c>
      <c r="AX477" s="857">
        <f t="shared" si="245"/>
        <v>0</v>
      </c>
      <c r="AY477" s="807">
        <f t="shared" si="246"/>
        <v>0</v>
      </c>
      <c r="AZ477" s="2934">
        <f t="shared" si="247"/>
        <v>0</v>
      </c>
      <c r="BA477" s="2934">
        <f t="shared" si="248"/>
        <v>0</v>
      </c>
      <c r="BB477" s="2934">
        <f t="shared" si="249"/>
        <v>0</v>
      </c>
      <c r="BC477" s="2934">
        <f t="shared" si="250"/>
        <v>0</v>
      </c>
      <c r="BD477" s="2934">
        <f t="shared" si="251"/>
        <v>0</v>
      </c>
      <c r="BE477" s="2934">
        <f t="shared" si="252"/>
        <v>0</v>
      </c>
      <c r="BF477" s="2934">
        <f t="shared" si="253"/>
        <v>0</v>
      </c>
      <c r="BG477" s="2934">
        <f t="shared" si="254"/>
        <v>0</v>
      </c>
      <c r="BH477" s="2934">
        <f t="shared" si="255"/>
        <v>0</v>
      </c>
      <c r="BI477" s="2934">
        <f t="shared" si="256"/>
        <v>0</v>
      </c>
      <c r="BJ477" s="2934">
        <f t="shared" si="257"/>
        <v>0</v>
      </c>
      <c r="BK477" s="2934">
        <f t="shared" si="258"/>
        <v>0</v>
      </c>
      <c r="BL477" s="2934">
        <f t="shared" si="259"/>
        <v>0</v>
      </c>
      <c r="BM477" s="2934">
        <f t="shared" si="260"/>
        <v>0</v>
      </c>
      <c r="BN477" s="2934">
        <f t="shared" si="261"/>
        <v>0</v>
      </c>
      <c r="BO477" s="2934">
        <f t="shared" si="262"/>
        <v>0</v>
      </c>
      <c r="BP477" s="2934">
        <f t="shared" si="263"/>
        <v>0</v>
      </c>
      <c r="BQ477" s="2934">
        <f t="shared" si="264"/>
        <v>0</v>
      </c>
      <c r="BR477" s="2934">
        <f t="shared" si="265"/>
        <v>0</v>
      </c>
      <c r="BS477" s="2934">
        <f t="shared" si="266"/>
        <v>0</v>
      </c>
      <c r="BT477" s="2982">
        <f t="shared" si="267"/>
        <v>0</v>
      </c>
    </row>
    <row r="478" spans="1:72">
      <c r="A478" s="874"/>
      <c r="B478" s="882"/>
      <c r="C478" s="882"/>
      <c r="D478" s="2933"/>
      <c r="E478" s="2934">
        <f t="shared" si="239"/>
        <v>0</v>
      </c>
      <c r="F478" s="2935"/>
      <c r="G478" s="2936">
        <f t="shared" si="240"/>
        <v>0</v>
      </c>
      <c r="H478" s="2937">
        <f t="shared" si="241"/>
        <v>0</v>
      </c>
      <c r="I478" s="2944"/>
      <c r="J478" s="2944"/>
      <c r="K478" s="2944"/>
      <c r="L478" s="2944"/>
      <c r="M478" s="2944"/>
      <c r="N478" s="2944"/>
      <c r="O478" s="2944"/>
      <c r="P478" s="2944"/>
      <c r="Q478" s="2944"/>
      <c r="R478" s="2944"/>
      <c r="S478" s="2944"/>
      <c r="T478" s="2944"/>
      <c r="U478" s="2944"/>
      <c r="V478" s="2944"/>
      <c r="W478" s="2944"/>
      <c r="X478" s="2944"/>
      <c r="Y478" s="2944"/>
      <c r="Z478" s="2944"/>
      <c r="AA478" s="2944"/>
      <c r="AB478" s="2944"/>
      <c r="AC478" s="2934">
        <f t="shared" si="242"/>
        <v>0</v>
      </c>
      <c r="AD478" s="2954"/>
      <c r="AE478" s="2954"/>
      <c r="AF478" s="2954"/>
      <c r="AG478" s="2954"/>
      <c r="AH478" s="2954"/>
      <c r="AI478" s="2954"/>
      <c r="AJ478" s="2954"/>
      <c r="AK478" s="2954"/>
      <c r="AL478" s="2954"/>
      <c r="AM478" s="2954"/>
      <c r="AN478" s="2954"/>
      <c r="AO478" s="2954"/>
      <c r="AP478" s="2954"/>
      <c r="AQ478" s="2954"/>
      <c r="AR478" s="2954"/>
      <c r="AS478" s="2954"/>
      <c r="AT478" s="2935"/>
      <c r="AU478" s="2964"/>
      <c r="AV478" s="857">
        <f t="shared" si="243"/>
        <v>0</v>
      </c>
      <c r="AW478" s="857">
        <f t="shared" si="244"/>
        <v>0</v>
      </c>
      <c r="AX478" s="857">
        <f t="shared" si="245"/>
        <v>0</v>
      </c>
      <c r="AY478" s="807">
        <f t="shared" si="246"/>
        <v>0</v>
      </c>
      <c r="AZ478" s="2934">
        <f t="shared" si="247"/>
        <v>0</v>
      </c>
      <c r="BA478" s="2934">
        <f t="shared" si="248"/>
        <v>0</v>
      </c>
      <c r="BB478" s="2934">
        <f t="shared" si="249"/>
        <v>0</v>
      </c>
      <c r="BC478" s="2934">
        <f t="shared" si="250"/>
        <v>0</v>
      </c>
      <c r="BD478" s="2934">
        <f t="shared" si="251"/>
        <v>0</v>
      </c>
      <c r="BE478" s="2934">
        <f t="shared" si="252"/>
        <v>0</v>
      </c>
      <c r="BF478" s="2934">
        <f t="shared" si="253"/>
        <v>0</v>
      </c>
      <c r="BG478" s="2934">
        <f t="shared" si="254"/>
        <v>0</v>
      </c>
      <c r="BH478" s="2934">
        <f t="shared" si="255"/>
        <v>0</v>
      </c>
      <c r="BI478" s="2934">
        <f t="shared" si="256"/>
        <v>0</v>
      </c>
      <c r="BJ478" s="2934">
        <f t="shared" si="257"/>
        <v>0</v>
      </c>
      <c r="BK478" s="2934">
        <f t="shared" si="258"/>
        <v>0</v>
      </c>
      <c r="BL478" s="2934">
        <f t="shared" si="259"/>
        <v>0</v>
      </c>
      <c r="BM478" s="2934">
        <f t="shared" si="260"/>
        <v>0</v>
      </c>
      <c r="BN478" s="2934">
        <f t="shared" si="261"/>
        <v>0</v>
      </c>
      <c r="BO478" s="2934">
        <f t="shared" si="262"/>
        <v>0</v>
      </c>
      <c r="BP478" s="2934">
        <f t="shared" si="263"/>
        <v>0</v>
      </c>
      <c r="BQ478" s="2934">
        <f t="shared" si="264"/>
        <v>0</v>
      </c>
      <c r="BR478" s="2934">
        <f t="shared" si="265"/>
        <v>0</v>
      </c>
      <c r="BS478" s="2934">
        <f t="shared" si="266"/>
        <v>0</v>
      </c>
      <c r="BT478" s="2982">
        <f t="shared" si="267"/>
        <v>0</v>
      </c>
    </row>
    <row r="479" spans="1:72">
      <c r="A479" s="874"/>
      <c r="B479" s="882"/>
      <c r="C479" s="882"/>
      <c r="D479" s="2933"/>
      <c r="E479" s="2934">
        <f t="shared" si="239"/>
        <v>0</v>
      </c>
      <c r="F479" s="2935"/>
      <c r="G479" s="2936">
        <f t="shared" si="240"/>
        <v>0</v>
      </c>
      <c r="H479" s="2937">
        <f t="shared" si="241"/>
        <v>0</v>
      </c>
      <c r="I479" s="2944"/>
      <c r="J479" s="2944"/>
      <c r="K479" s="2944"/>
      <c r="L479" s="2944"/>
      <c r="M479" s="2944"/>
      <c r="N479" s="2944"/>
      <c r="O479" s="2944"/>
      <c r="P479" s="2944"/>
      <c r="Q479" s="2944"/>
      <c r="R479" s="2944"/>
      <c r="S479" s="2944"/>
      <c r="T479" s="2944"/>
      <c r="U479" s="2944"/>
      <c r="V479" s="2944"/>
      <c r="W479" s="2944"/>
      <c r="X479" s="2944"/>
      <c r="Y479" s="2944"/>
      <c r="Z479" s="2944"/>
      <c r="AA479" s="2944"/>
      <c r="AB479" s="2944"/>
      <c r="AC479" s="2934">
        <f t="shared" si="242"/>
        <v>0</v>
      </c>
      <c r="AD479" s="2954"/>
      <c r="AE479" s="2954"/>
      <c r="AF479" s="2954"/>
      <c r="AG479" s="2954"/>
      <c r="AH479" s="2954"/>
      <c r="AI479" s="2954"/>
      <c r="AJ479" s="2954"/>
      <c r="AK479" s="2954"/>
      <c r="AL479" s="2954"/>
      <c r="AM479" s="2954"/>
      <c r="AN479" s="2954"/>
      <c r="AO479" s="2954"/>
      <c r="AP479" s="2954"/>
      <c r="AQ479" s="2954"/>
      <c r="AR479" s="2954"/>
      <c r="AS479" s="2954"/>
      <c r="AT479" s="2935"/>
      <c r="AU479" s="2964"/>
      <c r="AV479" s="857">
        <f t="shared" si="243"/>
        <v>0</v>
      </c>
      <c r="AW479" s="857">
        <f t="shared" si="244"/>
        <v>0</v>
      </c>
      <c r="AX479" s="857">
        <f t="shared" si="245"/>
        <v>0</v>
      </c>
      <c r="AY479" s="807">
        <f t="shared" si="246"/>
        <v>0</v>
      </c>
      <c r="AZ479" s="2934">
        <f t="shared" si="247"/>
        <v>0</v>
      </c>
      <c r="BA479" s="2934">
        <f t="shared" si="248"/>
        <v>0</v>
      </c>
      <c r="BB479" s="2934">
        <f t="shared" si="249"/>
        <v>0</v>
      </c>
      <c r="BC479" s="2934">
        <f t="shared" si="250"/>
        <v>0</v>
      </c>
      <c r="BD479" s="2934">
        <f t="shared" si="251"/>
        <v>0</v>
      </c>
      <c r="BE479" s="2934">
        <f t="shared" si="252"/>
        <v>0</v>
      </c>
      <c r="BF479" s="2934">
        <f t="shared" si="253"/>
        <v>0</v>
      </c>
      <c r="BG479" s="2934">
        <f t="shared" si="254"/>
        <v>0</v>
      </c>
      <c r="BH479" s="2934">
        <f t="shared" si="255"/>
        <v>0</v>
      </c>
      <c r="BI479" s="2934">
        <f t="shared" si="256"/>
        <v>0</v>
      </c>
      <c r="BJ479" s="2934">
        <f t="shared" si="257"/>
        <v>0</v>
      </c>
      <c r="BK479" s="2934">
        <f t="shared" si="258"/>
        <v>0</v>
      </c>
      <c r="BL479" s="2934">
        <f t="shared" si="259"/>
        <v>0</v>
      </c>
      <c r="BM479" s="2934">
        <f t="shared" si="260"/>
        <v>0</v>
      </c>
      <c r="BN479" s="2934">
        <f t="shared" si="261"/>
        <v>0</v>
      </c>
      <c r="BO479" s="2934">
        <f t="shared" si="262"/>
        <v>0</v>
      </c>
      <c r="BP479" s="2934">
        <f t="shared" si="263"/>
        <v>0</v>
      </c>
      <c r="BQ479" s="2934">
        <f t="shared" si="264"/>
        <v>0</v>
      </c>
      <c r="BR479" s="2934">
        <f t="shared" si="265"/>
        <v>0</v>
      </c>
      <c r="BS479" s="2934">
        <f t="shared" si="266"/>
        <v>0</v>
      </c>
      <c r="BT479" s="2982">
        <f t="shared" si="267"/>
        <v>0</v>
      </c>
    </row>
    <row r="480" spans="1:72">
      <c r="A480" s="874"/>
      <c r="B480" s="882"/>
      <c r="C480" s="882"/>
      <c r="D480" s="2933"/>
      <c r="E480" s="2934">
        <f t="shared" si="239"/>
        <v>0</v>
      </c>
      <c r="F480" s="2935"/>
      <c r="G480" s="2936">
        <f t="shared" si="240"/>
        <v>0</v>
      </c>
      <c r="H480" s="2937">
        <f t="shared" si="241"/>
        <v>0</v>
      </c>
      <c r="I480" s="2944"/>
      <c r="J480" s="2944"/>
      <c r="K480" s="2944"/>
      <c r="L480" s="2944"/>
      <c r="M480" s="2944"/>
      <c r="N480" s="2944"/>
      <c r="O480" s="2944"/>
      <c r="P480" s="2944"/>
      <c r="Q480" s="2944"/>
      <c r="R480" s="2944"/>
      <c r="S480" s="2944"/>
      <c r="T480" s="2944"/>
      <c r="U480" s="2944"/>
      <c r="V480" s="2944"/>
      <c r="W480" s="2944"/>
      <c r="X480" s="2944"/>
      <c r="Y480" s="2944"/>
      <c r="Z480" s="2944"/>
      <c r="AA480" s="2944"/>
      <c r="AB480" s="2944"/>
      <c r="AC480" s="2934">
        <f t="shared" si="242"/>
        <v>0</v>
      </c>
      <c r="AD480" s="2954"/>
      <c r="AE480" s="2954"/>
      <c r="AF480" s="2954"/>
      <c r="AG480" s="2954"/>
      <c r="AH480" s="2954"/>
      <c r="AI480" s="2954"/>
      <c r="AJ480" s="2954"/>
      <c r="AK480" s="2954"/>
      <c r="AL480" s="2954"/>
      <c r="AM480" s="2954"/>
      <c r="AN480" s="2954"/>
      <c r="AO480" s="2954"/>
      <c r="AP480" s="2954"/>
      <c r="AQ480" s="2954"/>
      <c r="AR480" s="2954"/>
      <c r="AS480" s="2954"/>
      <c r="AT480" s="2935"/>
      <c r="AU480" s="2964"/>
      <c r="AV480" s="857">
        <f t="shared" si="243"/>
        <v>0</v>
      </c>
      <c r="AW480" s="857">
        <f t="shared" si="244"/>
        <v>0</v>
      </c>
      <c r="AX480" s="857">
        <f t="shared" si="245"/>
        <v>0</v>
      </c>
      <c r="AY480" s="807">
        <f t="shared" si="246"/>
        <v>0</v>
      </c>
      <c r="AZ480" s="2934">
        <f t="shared" si="247"/>
        <v>0</v>
      </c>
      <c r="BA480" s="2934">
        <f t="shared" si="248"/>
        <v>0</v>
      </c>
      <c r="BB480" s="2934">
        <f t="shared" si="249"/>
        <v>0</v>
      </c>
      <c r="BC480" s="2934">
        <f t="shared" si="250"/>
        <v>0</v>
      </c>
      <c r="BD480" s="2934">
        <f t="shared" si="251"/>
        <v>0</v>
      </c>
      <c r="BE480" s="2934">
        <f t="shared" si="252"/>
        <v>0</v>
      </c>
      <c r="BF480" s="2934">
        <f t="shared" si="253"/>
        <v>0</v>
      </c>
      <c r="BG480" s="2934">
        <f t="shared" si="254"/>
        <v>0</v>
      </c>
      <c r="BH480" s="2934">
        <f t="shared" si="255"/>
        <v>0</v>
      </c>
      <c r="BI480" s="2934">
        <f t="shared" si="256"/>
        <v>0</v>
      </c>
      <c r="BJ480" s="2934">
        <f t="shared" si="257"/>
        <v>0</v>
      </c>
      <c r="BK480" s="2934">
        <f t="shared" si="258"/>
        <v>0</v>
      </c>
      <c r="BL480" s="2934">
        <f t="shared" si="259"/>
        <v>0</v>
      </c>
      <c r="BM480" s="2934">
        <f t="shared" si="260"/>
        <v>0</v>
      </c>
      <c r="BN480" s="2934">
        <f t="shared" si="261"/>
        <v>0</v>
      </c>
      <c r="BO480" s="2934">
        <f t="shared" si="262"/>
        <v>0</v>
      </c>
      <c r="BP480" s="2934">
        <f t="shared" si="263"/>
        <v>0</v>
      </c>
      <c r="BQ480" s="2934">
        <f t="shared" si="264"/>
        <v>0</v>
      </c>
      <c r="BR480" s="2934">
        <f t="shared" si="265"/>
        <v>0</v>
      </c>
      <c r="BS480" s="2934">
        <f t="shared" si="266"/>
        <v>0</v>
      </c>
      <c r="BT480" s="2982">
        <f t="shared" si="267"/>
        <v>0</v>
      </c>
    </row>
    <row r="481" spans="1:72">
      <c r="A481" s="874"/>
      <c r="B481" s="882"/>
      <c r="C481" s="882"/>
      <c r="D481" s="2933"/>
      <c r="E481" s="2934">
        <f t="shared" si="239"/>
        <v>0</v>
      </c>
      <c r="F481" s="2935"/>
      <c r="G481" s="2936">
        <f t="shared" si="240"/>
        <v>0</v>
      </c>
      <c r="H481" s="2937">
        <f t="shared" si="241"/>
        <v>0</v>
      </c>
      <c r="I481" s="2944"/>
      <c r="J481" s="2944"/>
      <c r="K481" s="2944"/>
      <c r="L481" s="2944"/>
      <c r="M481" s="2944"/>
      <c r="N481" s="2944"/>
      <c r="O481" s="2944"/>
      <c r="P481" s="2944"/>
      <c r="Q481" s="2944"/>
      <c r="R481" s="2944"/>
      <c r="S481" s="2944"/>
      <c r="T481" s="2944"/>
      <c r="U481" s="2944"/>
      <c r="V481" s="2944"/>
      <c r="W481" s="2944"/>
      <c r="X481" s="2944"/>
      <c r="Y481" s="2944"/>
      <c r="Z481" s="2944"/>
      <c r="AA481" s="2944"/>
      <c r="AB481" s="2944"/>
      <c r="AC481" s="2934">
        <f t="shared" si="242"/>
        <v>0</v>
      </c>
      <c r="AD481" s="2954"/>
      <c r="AE481" s="2954"/>
      <c r="AF481" s="2954"/>
      <c r="AG481" s="2954"/>
      <c r="AH481" s="2954"/>
      <c r="AI481" s="2954"/>
      <c r="AJ481" s="2954"/>
      <c r="AK481" s="2954"/>
      <c r="AL481" s="2954"/>
      <c r="AM481" s="2954"/>
      <c r="AN481" s="2954"/>
      <c r="AO481" s="2954"/>
      <c r="AP481" s="2954"/>
      <c r="AQ481" s="2954"/>
      <c r="AR481" s="2954"/>
      <c r="AS481" s="2954"/>
      <c r="AT481" s="2935"/>
      <c r="AU481" s="2964"/>
      <c r="AV481" s="857">
        <f t="shared" si="243"/>
        <v>0</v>
      </c>
      <c r="AW481" s="857">
        <f t="shared" si="244"/>
        <v>0</v>
      </c>
      <c r="AX481" s="857">
        <f t="shared" si="245"/>
        <v>0</v>
      </c>
      <c r="AY481" s="807">
        <f t="shared" si="246"/>
        <v>0</v>
      </c>
      <c r="AZ481" s="2934">
        <f t="shared" si="247"/>
        <v>0</v>
      </c>
      <c r="BA481" s="2934">
        <f t="shared" si="248"/>
        <v>0</v>
      </c>
      <c r="BB481" s="2934">
        <f t="shared" si="249"/>
        <v>0</v>
      </c>
      <c r="BC481" s="2934">
        <f t="shared" si="250"/>
        <v>0</v>
      </c>
      <c r="BD481" s="2934">
        <f t="shared" si="251"/>
        <v>0</v>
      </c>
      <c r="BE481" s="2934">
        <f t="shared" si="252"/>
        <v>0</v>
      </c>
      <c r="BF481" s="2934">
        <f t="shared" si="253"/>
        <v>0</v>
      </c>
      <c r="BG481" s="2934">
        <f t="shared" si="254"/>
        <v>0</v>
      </c>
      <c r="BH481" s="2934">
        <f t="shared" si="255"/>
        <v>0</v>
      </c>
      <c r="BI481" s="2934">
        <f t="shared" si="256"/>
        <v>0</v>
      </c>
      <c r="BJ481" s="2934">
        <f t="shared" si="257"/>
        <v>0</v>
      </c>
      <c r="BK481" s="2934">
        <f t="shared" si="258"/>
        <v>0</v>
      </c>
      <c r="BL481" s="2934">
        <f t="shared" si="259"/>
        <v>0</v>
      </c>
      <c r="BM481" s="2934">
        <f t="shared" si="260"/>
        <v>0</v>
      </c>
      <c r="BN481" s="2934">
        <f t="shared" si="261"/>
        <v>0</v>
      </c>
      <c r="BO481" s="2934">
        <f t="shared" si="262"/>
        <v>0</v>
      </c>
      <c r="BP481" s="2934">
        <f t="shared" si="263"/>
        <v>0</v>
      </c>
      <c r="BQ481" s="2934">
        <f t="shared" si="264"/>
        <v>0</v>
      </c>
      <c r="BR481" s="2934">
        <f t="shared" si="265"/>
        <v>0</v>
      </c>
      <c r="BS481" s="2934">
        <f t="shared" si="266"/>
        <v>0</v>
      </c>
      <c r="BT481" s="2982">
        <f t="shared" si="267"/>
        <v>0</v>
      </c>
    </row>
    <row r="482" spans="1:72">
      <c r="A482" s="874"/>
      <c r="B482" s="882"/>
      <c r="C482" s="882"/>
      <c r="D482" s="2933"/>
      <c r="E482" s="2934">
        <f t="shared" si="239"/>
        <v>0</v>
      </c>
      <c r="F482" s="2935"/>
      <c r="G482" s="2936">
        <f t="shared" si="240"/>
        <v>0</v>
      </c>
      <c r="H482" s="2937">
        <f t="shared" si="241"/>
        <v>0</v>
      </c>
      <c r="I482" s="2944"/>
      <c r="J482" s="2944"/>
      <c r="K482" s="2944"/>
      <c r="L482" s="2944"/>
      <c r="M482" s="2944"/>
      <c r="N482" s="2944"/>
      <c r="O482" s="2944"/>
      <c r="P482" s="2944"/>
      <c r="Q482" s="2944"/>
      <c r="R482" s="2944"/>
      <c r="S482" s="2944"/>
      <c r="T482" s="2944"/>
      <c r="U482" s="2944"/>
      <c r="V482" s="2944"/>
      <c r="W482" s="2944"/>
      <c r="X482" s="2944"/>
      <c r="Y482" s="2944"/>
      <c r="Z482" s="2944"/>
      <c r="AA482" s="2944"/>
      <c r="AB482" s="2944"/>
      <c r="AC482" s="2934">
        <f t="shared" si="242"/>
        <v>0</v>
      </c>
      <c r="AD482" s="2954"/>
      <c r="AE482" s="2954"/>
      <c r="AF482" s="2954"/>
      <c r="AG482" s="2954"/>
      <c r="AH482" s="2954"/>
      <c r="AI482" s="2954"/>
      <c r="AJ482" s="2954"/>
      <c r="AK482" s="2954"/>
      <c r="AL482" s="2954"/>
      <c r="AM482" s="2954"/>
      <c r="AN482" s="2954"/>
      <c r="AO482" s="2954"/>
      <c r="AP482" s="2954"/>
      <c r="AQ482" s="2954"/>
      <c r="AR482" s="2954"/>
      <c r="AS482" s="2954"/>
      <c r="AT482" s="2935"/>
      <c r="AU482" s="2964"/>
      <c r="AV482" s="857">
        <f t="shared" si="243"/>
        <v>0</v>
      </c>
      <c r="AW482" s="857">
        <f t="shared" si="244"/>
        <v>0</v>
      </c>
      <c r="AX482" s="857">
        <f t="shared" si="245"/>
        <v>0</v>
      </c>
      <c r="AY482" s="807">
        <f t="shared" si="246"/>
        <v>0</v>
      </c>
      <c r="AZ482" s="2934">
        <f t="shared" si="247"/>
        <v>0</v>
      </c>
      <c r="BA482" s="2934">
        <f t="shared" si="248"/>
        <v>0</v>
      </c>
      <c r="BB482" s="2934">
        <f t="shared" si="249"/>
        <v>0</v>
      </c>
      <c r="BC482" s="2934">
        <f t="shared" si="250"/>
        <v>0</v>
      </c>
      <c r="BD482" s="2934">
        <f t="shared" si="251"/>
        <v>0</v>
      </c>
      <c r="BE482" s="2934">
        <f t="shared" si="252"/>
        <v>0</v>
      </c>
      <c r="BF482" s="2934">
        <f t="shared" si="253"/>
        <v>0</v>
      </c>
      <c r="BG482" s="2934">
        <f t="shared" si="254"/>
        <v>0</v>
      </c>
      <c r="BH482" s="2934">
        <f t="shared" si="255"/>
        <v>0</v>
      </c>
      <c r="BI482" s="2934">
        <f t="shared" si="256"/>
        <v>0</v>
      </c>
      <c r="BJ482" s="2934">
        <f t="shared" si="257"/>
        <v>0</v>
      </c>
      <c r="BK482" s="2934">
        <f t="shared" si="258"/>
        <v>0</v>
      </c>
      <c r="BL482" s="2934">
        <f t="shared" si="259"/>
        <v>0</v>
      </c>
      <c r="BM482" s="2934">
        <f t="shared" si="260"/>
        <v>0</v>
      </c>
      <c r="BN482" s="2934">
        <f t="shared" si="261"/>
        <v>0</v>
      </c>
      <c r="BO482" s="2934">
        <f t="shared" si="262"/>
        <v>0</v>
      </c>
      <c r="BP482" s="2934">
        <f t="shared" si="263"/>
        <v>0</v>
      </c>
      <c r="BQ482" s="2934">
        <f t="shared" si="264"/>
        <v>0</v>
      </c>
      <c r="BR482" s="2934">
        <f t="shared" si="265"/>
        <v>0</v>
      </c>
      <c r="BS482" s="2934">
        <f t="shared" si="266"/>
        <v>0</v>
      </c>
      <c r="BT482" s="2982">
        <f t="shared" si="267"/>
        <v>0</v>
      </c>
    </row>
    <row r="483" spans="1:72">
      <c r="A483" s="874"/>
      <c r="B483" s="882"/>
      <c r="C483" s="882"/>
      <c r="D483" s="2933"/>
      <c r="E483" s="2934">
        <f t="shared" si="239"/>
        <v>0</v>
      </c>
      <c r="F483" s="2935"/>
      <c r="G483" s="2936">
        <f t="shared" si="240"/>
        <v>0</v>
      </c>
      <c r="H483" s="2937">
        <f t="shared" si="241"/>
        <v>0</v>
      </c>
      <c r="I483" s="2944"/>
      <c r="J483" s="2944"/>
      <c r="K483" s="2944"/>
      <c r="L483" s="2944"/>
      <c r="M483" s="2944"/>
      <c r="N483" s="2944"/>
      <c r="O483" s="2944"/>
      <c r="P483" s="2944"/>
      <c r="Q483" s="2944"/>
      <c r="R483" s="2944"/>
      <c r="S483" s="2944"/>
      <c r="T483" s="2944"/>
      <c r="U483" s="2944"/>
      <c r="V483" s="2944"/>
      <c r="W483" s="2944"/>
      <c r="X483" s="2944"/>
      <c r="Y483" s="2944"/>
      <c r="Z483" s="2944"/>
      <c r="AA483" s="2944"/>
      <c r="AB483" s="2944"/>
      <c r="AC483" s="2934">
        <f t="shared" si="242"/>
        <v>0</v>
      </c>
      <c r="AD483" s="2954"/>
      <c r="AE483" s="2954"/>
      <c r="AF483" s="2954"/>
      <c r="AG483" s="2954"/>
      <c r="AH483" s="2954"/>
      <c r="AI483" s="2954"/>
      <c r="AJ483" s="2954"/>
      <c r="AK483" s="2954"/>
      <c r="AL483" s="2954"/>
      <c r="AM483" s="2954"/>
      <c r="AN483" s="2954"/>
      <c r="AO483" s="2954"/>
      <c r="AP483" s="2954"/>
      <c r="AQ483" s="2954"/>
      <c r="AR483" s="2954"/>
      <c r="AS483" s="2954"/>
      <c r="AT483" s="2935"/>
      <c r="AU483" s="2964"/>
      <c r="AV483" s="857">
        <f t="shared" si="243"/>
        <v>0</v>
      </c>
      <c r="AW483" s="857">
        <f t="shared" si="244"/>
        <v>0</v>
      </c>
      <c r="AX483" s="857">
        <f t="shared" si="245"/>
        <v>0</v>
      </c>
      <c r="AY483" s="807">
        <f t="shared" si="246"/>
        <v>0</v>
      </c>
      <c r="AZ483" s="2934">
        <f t="shared" si="247"/>
        <v>0</v>
      </c>
      <c r="BA483" s="2934">
        <f t="shared" si="248"/>
        <v>0</v>
      </c>
      <c r="BB483" s="2934">
        <f t="shared" si="249"/>
        <v>0</v>
      </c>
      <c r="BC483" s="2934">
        <f t="shared" si="250"/>
        <v>0</v>
      </c>
      <c r="BD483" s="2934">
        <f t="shared" si="251"/>
        <v>0</v>
      </c>
      <c r="BE483" s="2934">
        <f t="shared" si="252"/>
        <v>0</v>
      </c>
      <c r="BF483" s="2934">
        <f t="shared" si="253"/>
        <v>0</v>
      </c>
      <c r="BG483" s="2934">
        <f t="shared" si="254"/>
        <v>0</v>
      </c>
      <c r="BH483" s="2934">
        <f t="shared" si="255"/>
        <v>0</v>
      </c>
      <c r="BI483" s="2934">
        <f t="shared" si="256"/>
        <v>0</v>
      </c>
      <c r="BJ483" s="2934">
        <f t="shared" si="257"/>
        <v>0</v>
      </c>
      <c r="BK483" s="2934">
        <f t="shared" si="258"/>
        <v>0</v>
      </c>
      <c r="BL483" s="2934">
        <f t="shared" si="259"/>
        <v>0</v>
      </c>
      <c r="BM483" s="2934">
        <f t="shared" si="260"/>
        <v>0</v>
      </c>
      <c r="BN483" s="2934">
        <f t="shared" si="261"/>
        <v>0</v>
      </c>
      <c r="BO483" s="2934">
        <f t="shared" si="262"/>
        <v>0</v>
      </c>
      <c r="BP483" s="2934">
        <f t="shared" si="263"/>
        <v>0</v>
      </c>
      <c r="BQ483" s="2934">
        <f t="shared" si="264"/>
        <v>0</v>
      </c>
      <c r="BR483" s="2934">
        <f t="shared" si="265"/>
        <v>0</v>
      </c>
      <c r="BS483" s="2934">
        <f t="shared" si="266"/>
        <v>0</v>
      </c>
      <c r="BT483" s="2982">
        <f t="shared" si="267"/>
        <v>0</v>
      </c>
    </row>
    <row r="484" spans="1:72">
      <c r="A484" s="874"/>
      <c r="B484" s="882"/>
      <c r="C484" s="882"/>
      <c r="D484" s="2933"/>
      <c r="E484" s="2934">
        <f t="shared" si="239"/>
        <v>0</v>
      </c>
      <c r="F484" s="2935"/>
      <c r="G484" s="2936">
        <f t="shared" si="240"/>
        <v>0</v>
      </c>
      <c r="H484" s="2937">
        <f t="shared" si="241"/>
        <v>0</v>
      </c>
      <c r="I484" s="2944"/>
      <c r="J484" s="2944"/>
      <c r="K484" s="2944"/>
      <c r="L484" s="2944"/>
      <c r="M484" s="2944"/>
      <c r="N484" s="2944"/>
      <c r="O484" s="2944"/>
      <c r="P484" s="2944"/>
      <c r="Q484" s="2944"/>
      <c r="R484" s="2944"/>
      <c r="S484" s="2944"/>
      <c r="T484" s="2944"/>
      <c r="U484" s="2944"/>
      <c r="V484" s="2944"/>
      <c r="W484" s="2944"/>
      <c r="X484" s="2944"/>
      <c r="Y484" s="2944"/>
      <c r="Z484" s="2944"/>
      <c r="AA484" s="2944"/>
      <c r="AB484" s="2944"/>
      <c r="AC484" s="2934">
        <f t="shared" si="242"/>
        <v>0</v>
      </c>
      <c r="AD484" s="2954"/>
      <c r="AE484" s="2954"/>
      <c r="AF484" s="2954"/>
      <c r="AG484" s="2954"/>
      <c r="AH484" s="2954"/>
      <c r="AI484" s="2954"/>
      <c r="AJ484" s="2954"/>
      <c r="AK484" s="2954"/>
      <c r="AL484" s="2954"/>
      <c r="AM484" s="2954"/>
      <c r="AN484" s="2954"/>
      <c r="AO484" s="2954"/>
      <c r="AP484" s="2954"/>
      <c r="AQ484" s="2954"/>
      <c r="AR484" s="2954"/>
      <c r="AS484" s="2954"/>
      <c r="AT484" s="2935"/>
      <c r="AU484" s="2964"/>
      <c r="AV484" s="857">
        <f t="shared" si="243"/>
        <v>0</v>
      </c>
      <c r="AW484" s="857">
        <f t="shared" si="244"/>
        <v>0</v>
      </c>
      <c r="AX484" s="857">
        <f t="shared" si="245"/>
        <v>0</v>
      </c>
      <c r="AY484" s="807">
        <f t="shared" si="246"/>
        <v>0</v>
      </c>
      <c r="AZ484" s="2934">
        <f t="shared" si="247"/>
        <v>0</v>
      </c>
      <c r="BA484" s="2934">
        <f t="shared" si="248"/>
        <v>0</v>
      </c>
      <c r="BB484" s="2934">
        <f t="shared" si="249"/>
        <v>0</v>
      </c>
      <c r="BC484" s="2934">
        <f t="shared" si="250"/>
        <v>0</v>
      </c>
      <c r="BD484" s="2934">
        <f t="shared" si="251"/>
        <v>0</v>
      </c>
      <c r="BE484" s="2934">
        <f t="shared" si="252"/>
        <v>0</v>
      </c>
      <c r="BF484" s="2934">
        <f t="shared" si="253"/>
        <v>0</v>
      </c>
      <c r="BG484" s="2934">
        <f t="shared" si="254"/>
        <v>0</v>
      </c>
      <c r="BH484" s="2934">
        <f t="shared" si="255"/>
        <v>0</v>
      </c>
      <c r="BI484" s="2934">
        <f t="shared" si="256"/>
        <v>0</v>
      </c>
      <c r="BJ484" s="2934">
        <f t="shared" si="257"/>
        <v>0</v>
      </c>
      <c r="BK484" s="2934">
        <f t="shared" si="258"/>
        <v>0</v>
      </c>
      <c r="BL484" s="2934">
        <f t="shared" si="259"/>
        <v>0</v>
      </c>
      <c r="BM484" s="2934">
        <f t="shared" si="260"/>
        <v>0</v>
      </c>
      <c r="BN484" s="2934">
        <f t="shared" si="261"/>
        <v>0</v>
      </c>
      <c r="BO484" s="2934">
        <f t="shared" si="262"/>
        <v>0</v>
      </c>
      <c r="BP484" s="2934">
        <f t="shared" si="263"/>
        <v>0</v>
      </c>
      <c r="BQ484" s="2934">
        <f t="shared" si="264"/>
        <v>0</v>
      </c>
      <c r="BR484" s="2934">
        <f t="shared" si="265"/>
        <v>0</v>
      </c>
      <c r="BS484" s="2934">
        <f t="shared" si="266"/>
        <v>0</v>
      </c>
      <c r="BT484" s="2982">
        <f t="shared" si="267"/>
        <v>0</v>
      </c>
    </row>
    <row r="485" spans="1:72">
      <c r="A485" s="874"/>
      <c r="B485" s="882"/>
      <c r="C485" s="882"/>
      <c r="D485" s="2933"/>
      <c r="E485" s="2934">
        <f t="shared" si="239"/>
        <v>0</v>
      </c>
      <c r="F485" s="2935"/>
      <c r="G485" s="2936">
        <f t="shared" si="240"/>
        <v>0</v>
      </c>
      <c r="H485" s="2937">
        <f t="shared" si="241"/>
        <v>0</v>
      </c>
      <c r="I485" s="2944"/>
      <c r="J485" s="2944"/>
      <c r="K485" s="2944"/>
      <c r="L485" s="2944"/>
      <c r="M485" s="2944"/>
      <c r="N485" s="2944"/>
      <c r="O485" s="2944"/>
      <c r="P485" s="2944"/>
      <c r="Q485" s="2944"/>
      <c r="R485" s="2944"/>
      <c r="S485" s="2944"/>
      <c r="T485" s="2944"/>
      <c r="U485" s="2944"/>
      <c r="V485" s="2944"/>
      <c r="W485" s="2944"/>
      <c r="X485" s="2944"/>
      <c r="Y485" s="2944"/>
      <c r="Z485" s="2944"/>
      <c r="AA485" s="2944"/>
      <c r="AB485" s="2944"/>
      <c r="AC485" s="2934">
        <f t="shared" si="242"/>
        <v>0</v>
      </c>
      <c r="AD485" s="2954"/>
      <c r="AE485" s="2954"/>
      <c r="AF485" s="2954"/>
      <c r="AG485" s="2954"/>
      <c r="AH485" s="2954"/>
      <c r="AI485" s="2954"/>
      <c r="AJ485" s="2954"/>
      <c r="AK485" s="2954"/>
      <c r="AL485" s="2954"/>
      <c r="AM485" s="2954"/>
      <c r="AN485" s="2954"/>
      <c r="AO485" s="2954"/>
      <c r="AP485" s="2954"/>
      <c r="AQ485" s="2954"/>
      <c r="AR485" s="2954"/>
      <c r="AS485" s="2954"/>
      <c r="AT485" s="2935"/>
      <c r="AU485" s="2964"/>
      <c r="AV485" s="857">
        <f t="shared" si="243"/>
        <v>0</v>
      </c>
      <c r="AW485" s="857">
        <f t="shared" si="244"/>
        <v>0</v>
      </c>
      <c r="AX485" s="857">
        <f t="shared" si="245"/>
        <v>0</v>
      </c>
      <c r="AY485" s="807">
        <f t="shared" si="246"/>
        <v>0</v>
      </c>
      <c r="AZ485" s="2934">
        <f t="shared" si="247"/>
        <v>0</v>
      </c>
      <c r="BA485" s="2934">
        <f t="shared" si="248"/>
        <v>0</v>
      </c>
      <c r="BB485" s="2934">
        <f t="shared" si="249"/>
        <v>0</v>
      </c>
      <c r="BC485" s="2934">
        <f t="shared" si="250"/>
        <v>0</v>
      </c>
      <c r="BD485" s="2934">
        <f t="shared" si="251"/>
        <v>0</v>
      </c>
      <c r="BE485" s="2934">
        <f t="shared" si="252"/>
        <v>0</v>
      </c>
      <c r="BF485" s="2934">
        <f t="shared" si="253"/>
        <v>0</v>
      </c>
      <c r="BG485" s="2934">
        <f t="shared" si="254"/>
        <v>0</v>
      </c>
      <c r="BH485" s="2934">
        <f t="shared" si="255"/>
        <v>0</v>
      </c>
      <c r="BI485" s="2934">
        <f t="shared" si="256"/>
        <v>0</v>
      </c>
      <c r="BJ485" s="2934">
        <f t="shared" si="257"/>
        <v>0</v>
      </c>
      <c r="BK485" s="2934">
        <f t="shared" si="258"/>
        <v>0</v>
      </c>
      <c r="BL485" s="2934">
        <f t="shared" si="259"/>
        <v>0</v>
      </c>
      <c r="BM485" s="2934">
        <f t="shared" si="260"/>
        <v>0</v>
      </c>
      <c r="BN485" s="2934">
        <f t="shared" si="261"/>
        <v>0</v>
      </c>
      <c r="BO485" s="2934">
        <f t="shared" si="262"/>
        <v>0</v>
      </c>
      <c r="BP485" s="2934">
        <f t="shared" si="263"/>
        <v>0</v>
      </c>
      <c r="BQ485" s="2934">
        <f t="shared" si="264"/>
        <v>0</v>
      </c>
      <c r="BR485" s="2934">
        <f t="shared" si="265"/>
        <v>0</v>
      </c>
      <c r="BS485" s="2934">
        <f t="shared" si="266"/>
        <v>0</v>
      </c>
      <c r="BT485" s="2982">
        <f t="shared" si="267"/>
        <v>0</v>
      </c>
    </row>
    <row r="486" spans="1:72">
      <c r="A486" s="874"/>
      <c r="B486" s="882"/>
      <c r="C486" s="882"/>
      <c r="D486" s="2933"/>
      <c r="E486" s="2934">
        <f t="shared" si="239"/>
        <v>0</v>
      </c>
      <c r="F486" s="2935"/>
      <c r="G486" s="2936">
        <f t="shared" si="240"/>
        <v>0</v>
      </c>
      <c r="H486" s="2937">
        <f t="shared" si="241"/>
        <v>0</v>
      </c>
      <c r="I486" s="2944"/>
      <c r="J486" s="2944"/>
      <c r="K486" s="2944"/>
      <c r="L486" s="2944"/>
      <c r="M486" s="2944"/>
      <c r="N486" s="2944"/>
      <c r="O486" s="2944"/>
      <c r="P486" s="2944"/>
      <c r="Q486" s="2944"/>
      <c r="R486" s="2944"/>
      <c r="S486" s="2944"/>
      <c r="T486" s="2944"/>
      <c r="U486" s="2944"/>
      <c r="V486" s="2944"/>
      <c r="W486" s="2944"/>
      <c r="X486" s="2944"/>
      <c r="Y486" s="2944"/>
      <c r="Z486" s="2944"/>
      <c r="AA486" s="2944"/>
      <c r="AB486" s="2944"/>
      <c r="AC486" s="2934">
        <f t="shared" si="242"/>
        <v>0</v>
      </c>
      <c r="AD486" s="2954"/>
      <c r="AE486" s="2954"/>
      <c r="AF486" s="2954"/>
      <c r="AG486" s="2954"/>
      <c r="AH486" s="2954"/>
      <c r="AI486" s="2954"/>
      <c r="AJ486" s="2954"/>
      <c r="AK486" s="2954"/>
      <c r="AL486" s="2954"/>
      <c r="AM486" s="2954"/>
      <c r="AN486" s="2954"/>
      <c r="AO486" s="2954"/>
      <c r="AP486" s="2954"/>
      <c r="AQ486" s="2954"/>
      <c r="AR486" s="2954"/>
      <c r="AS486" s="2954"/>
      <c r="AT486" s="2935"/>
      <c r="AU486" s="2964"/>
      <c r="AV486" s="857">
        <f t="shared" si="243"/>
        <v>0</v>
      </c>
      <c r="AW486" s="857">
        <f t="shared" si="244"/>
        <v>0</v>
      </c>
      <c r="AX486" s="857">
        <f t="shared" si="245"/>
        <v>0</v>
      </c>
      <c r="AY486" s="807">
        <f t="shared" si="246"/>
        <v>0</v>
      </c>
      <c r="AZ486" s="2934">
        <f t="shared" si="247"/>
        <v>0</v>
      </c>
      <c r="BA486" s="2934">
        <f t="shared" si="248"/>
        <v>0</v>
      </c>
      <c r="BB486" s="2934">
        <f t="shared" si="249"/>
        <v>0</v>
      </c>
      <c r="BC486" s="2934">
        <f t="shared" si="250"/>
        <v>0</v>
      </c>
      <c r="BD486" s="2934">
        <f t="shared" si="251"/>
        <v>0</v>
      </c>
      <c r="BE486" s="2934">
        <f t="shared" si="252"/>
        <v>0</v>
      </c>
      <c r="BF486" s="2934">
        <f t="shared" si="253"/>
        <v>0</v>
      </c>
      <c r="BG486" s="2934">
        <f t="shared" si="254"/>
        <v>0</v>
      </c>
      <c r="BH486" s="2934">
        <f t="shared" si="255"/>
        <v>0</v>
      </c>
      <c r="BI486" s="2934">
        <f t="shared" si="256"/>
        <v>0</v>
      </c>
      <c r="BJ486" s="2934">
        <f t="shared" si="257"/>
        <v>0</v>
      </c>
      <c r="BK486" s="2934">
        <f t="shared" si="258"/>
        <v>0</v>
      </c>
      <c r="BL486" s="2934">
        <f t="shared" si="259"/>
        <v>0</v>
      </c>
      <c r="BM486" s="2934">
        <f t="shared" si="260"/>
        <v>0</v>
      </c>
      <c r="BN486" s="2934">
        <f t="shared" si="261"/>
        <v>0</v>
      </c>
      <c r="BO486" s="2934">
        <f t="shared" si="262"/>
        <v>0</v>
      </c>
      <c r="BP486" s="2934">
        <f t="shared" si="263"/>
        <v>0</v>
      </c>
      <c r="BQ486" s="2934">
        <f t="shared" si="264"/>
        <v>0</v>
      </c>
      <c r="BR486" s="2934">
        <f t="shared" si="265"/>
        <v>0</v>
      </c>
      <c r="BS486" s="2934">
        <f t="shared" si="266"/>
        <v>0</v>
      </c>
      <c r="BT486" s="2982">
        <f t="shared" si="267"/>
        <v>0</v>
      </c>
    </row>
    <row r="487" spans="1:72">
      <c r="A487" s="874"/>
      <c r="B487" s="882"/>
      <c r="C487" s="882"/>
      <c r="D487" s="2933"/>
      <c r="E487" s="2934">
        <f t="shared" si="239"/>
        <v>0</v>
      </c>
      <c r="F487" s="2935"/>
      <c r="G487" s="2936">
        <f t="shared" si="240"/>
        <v>0</v>
      </c>
      <c r="H487" s="2937">
        <f t="shared" si="241"/>
        <v>0</v>
      </c>
      <c r="I487" s="2944"/>
      <c r="J487" s="2944"/>
      <c r="K487" s="2944"/>
      <c r="L487" s="2944"/>
      <c r="M487" s="2944"/>
      <c r="N487" s="2944"/>
      <c r="O487" s="2944"/>
      <c r="P487" s="2944"/>
      <c r="Q487" s="2944"/>
      <c r="R487" s="2944"/>
      <c r="S487" s="2944"/>
      <c r="T487" s="2944"/>
      <c r="U487" s="2944"/>
      <c r="V487" s="2944"/>
      <c r="W487" s="2944"/>
      <c r="X487" s="2944"/>
      <c r="Y487" s="2944"/>
      <c r="Z487" s="2944"/>
      <c r="AA487" s="2944"/>
      <c r="AB487" s="2944"/>
      <c r="AC487" s="2934">
        <f t="shared" si="242"/>
        <v>0</v>
      </c>
      <c r="AD487" s="2954"/>
      <c r="AE487" s="2954"/>
      <c r="AF487" s="2954"/>
      <c r="AG487" s="2954"/>
      <c r="AH487" s="2954"/>
      <c r="AI487" s="2954"/>
      <c r="AJ487" s="2954"/>
      <c r="AK487" s="2954"/>
      <c r="AL487" s="2954"/>
      <c r="AM487" s="2954"/>
      <c r="AN487" s="2954"/>
      <c r="AO487" s="2954"/>
      <c r="AP487" s="2954"/>
      <c r="AQ487" s="2954"/>
      <c r="AR487" s="2954"/>
      <c r="AS487" s="2954"/>
      <c r="AT487" s="2935"/>
      <c r="AU487" s="2964"/>
      <c r="AV487" s="857">
        <f t="shared" si="243"/>
        <v>0</v>
      </c>
      <c r="AW487" s="857">
        <f t="shared" si="244"/>
        <v>0</v>
      </c>
      <c r="AX487" s="857">
        <f t="shared" si="245"/>
        <v>0</v>
      </c>
      <c r="AY487" s="807">
        <f t="shared" si="246"/>
        <v>0</v>
      </c>
      <c r="AZ487" s="2934">
        <f t="shared" si="247"/>
        <v>0</v>
      </c>
      <c r="BA487" s="2934">
        <f t="shared" si="248"/>
        <v>0</v>
      </c>
      <c r="BB487" s="2934">
        <f t="shared" si="249"/>
        <v>0</v>
      </c>
      <c r="BC487" s="2934">
        <f t="shared" si="250"/>
        <v>0</v>
      </c>
      <c r="BD487" s="2934">
        <f t="shared" si="251"/>
        <v>0</v>
      </c>
      <c r="BE487" s="2934">
        <f t="shared" si="252"/>
        <v>0</v>
      </c>
      <c r="BF487" s="2934">
        <f t="shared" si="253"/>
        <v>0</v>
      </c>
      <c r="BG487" s="2934">
        <f t="shared" si="254"/>
        <v>0</v>
      </c>
      <c r="BH487" s="2934">
        <f t="shared" si="255"/>
        <v>0</v>
      </c>
      <c r="BI487" s="2934">
        <f t="shared" si="256"/>
        <v>0</v>
      </c>
      <c r="BJ487" s="2934">
        <f t="shared" si="257"/>
        <v>0</v>
      </c>
      <c r="BK487" s="2934">
        <f t="shared" si="258"/>
        <v>0</v>
      </c>
      <c r="BL487" s="2934">
        <f t="shared" si="259"/>
        <v>0</v>
      </c>
      <c r="BM487" s="2934">
        <f t="shared" si="260"/>
        <v>0</v>
      </c>
      <c r="BN487" s="2934">
        <f t="shared" si="261"/>
        <v>0</v>
      </c>
      <c r="BO487" s="2934">
        <f t="shared" si="262"/>
        <v>0</v>
      </c>
      <c r="BP487" s="2934">
        <f t="shared" si="263"/>
        <v>0</v>
      </c>
      <c r="BQ487" s="2934">
        <f t="shared" si="264"/>
        <v>0</v>
      </c>
      <c r="BR487" s="2934">
        <f t="shared" si="265"/>
        <v>0</v>
      </c>
      <c r="BS487" s="2934">
        <f t="shared" si="266"/>
        <v>0</v>
      </c>
      <c r="BT487" s="2982">
        <f t="shared" si="267"/>
        <v>0</v>
      </c>
    </row>
    <row r="488" spans="1:72">
      <c r="A488" s="874"/>
      <c r="B488" s="882"/>
      <c r="C488" s="882"/>
      <c r="D488" s="2933"/>
      <c r="E488" s="2934">
        <f t="shared" si="239"/>
        <v>0</v>
      </c>
      <c r="F488" s="2935"/>
      <c r="G488" s="2936">
        <f t="shared" si="240"/>
        <v>0</v>
      </c>
      <c r="H488" s="2937">
        <f t="shared" si="241"/>
        <v>0</v>
      </c>
      <c r="I488" s="2944"/>
      <c r="J488" s="2944"/>
      <c r="K488" s="2944"/>
      <c r="L488" s="2944"/>
      <c r="M488" s="2944"/>
      <c r="N488" s="2944"/>
      <c r="O488" s="2944"/>
      <c r="P488" s="2944"/>
      <c r="Q488" s="2944"/>
      <c r="R488" s="2944"/>
      <c r="S488" s="2944"/>
      <c r="T488" s="2944"/>
      <c r="U488" s="2944"/>
      <c r="V488" s="2944"/>
      <c r="W488" s="2944"/>
      <c r="X488" s="2944"/>
      <c r="Y488" s="2944"/>
      <c r="Z488" s="2944"/>
      <c r="AA488" s="2944"/>
      <c r="AB488" s="2944"/>
      <c r="AC488" s="2934">
        <f t="shared" si="242"/>
        <v>0</v>
      </c>
      <c r="AD488" s="2954"/>
      <c r="AE488" s="2954"/>
      <c r="AF488" s="2954"/>
      <c r="AG488" s="2954"/>
      <c r="AH488" s="2954"/>
      <c r="AI488" s="2954"/>
      <c r="AJ488" s="2954"/>
      <c r="AK488" s="2954"/>
      <c r="AL488" s="2954"/>
      <c r="AM488" s="2954"/>
      <c r="AN488" s="2954"/>
      <c r="AO488" s="2954"/>
      <c r="AP488" s="2954"/>
      <c r="AQ488" s="2954"/>
      <c r="AR488" s="2954"/>
      <c r="AS488" s="2954"/>
      <c r="AT488" s="2935"/>
      <c r="AU488" s="2964"/>
      <c r="AV488" s="857">
        <f t="shared" si="243"/>
        <v>0</v>
      </c>
      <c r="AW488" s="857">
        <f t="shared" si="244"/>
        <v>0</v>
      </c>
      <c r="AX488" s="857">
        <f t="shared" si="245"/>
        <v>0</v>
      </c>
      <c r="AY488" s="807">
        <f t="shared" si="246"/>
        <v>0</v>
      </c>
      <c r="AZ488" s="2934">
        <f t="shared" si="247"/>
        <v>0</v>
      </c>
      <c r="BA488" s="2934">
        <f t="shared" si="248"/>
        <v>0</v>
      </c>
      <c r="BB488" s="2934">
        <f t="shared" si="249"/>
        <v>0</v>
      </c>
      <c r="BC488" s="2934">
        <f t="shared" si="250"/>
        <v>0</v>
      </c>
      <c r="BD488" s="2934">
        <f t="shared" si="251"/>
        <v>0</v>
      </c>
      <c r="BE488" s="2934">
        <f t="shared" si="252"/>
        <v>0</v>
      </c>
      <c r="BF488" s="2934">
        <f t="shared" si="253"/>
        <v>0</v>
      </c>
      <c r="BG488" s="2934">
        <f t="shared" si="254"/>
        <v>0</v>
      </c>
      <c r="BH488" s="2934">
        <f t="shared" si="255"/>
        <v>0</v>
      </c>
      <c r="BI488" s="2934">
        <f t="shared" si="256"/>
        <v>0</v>
      </c>
      <c r="BJ488" s="2934">
        <f t="shared" si="257"/>
        <v>0</v>
      </c>
      <c r="BK488" s="2934">
        <f t="shared" si="258"/>
        <v>0</v>
      </c>
      <c r="BL488" s="2934">
        <f t="shared" si="259"/>
        <v>0</v>
      </c>
      <c r="BM488" s="2934">
        <f t="shared" si="260"/>
        <v>0</v>
      </c>
      <c r="BN488" s="2934">
        <f t="shared" si="261"/>
        <v>0</v>
      </c>
      <c r="BO488" s="2934">
        <f t="shared" si="262"/>
        <v>0</v>
      </c>
      <c r="BP488" s="2934">
        <f t="shared" si="263"/>
        <v>0</v>
      </c>
      <c r="BQ488" s="2934">
        <f t="shared" si="264"/>
        <v>0</v>
      </c>
      <c r="BR488" s="2934">
        <f t="shared" si="265"/>
        <v>0</v>
      </c>
      <c r="BS488" s="2934">
        <f t="shared" si="266"/>
        <v>0</v>
      </c>
      <c r="BT488" s="2982">
        <f t="shared" si="267"/>
        <v>0</v>
      </c>
    </row>
    <row r="489" spans="1:72">
      <c r="A489" s="874"/>
      <c r="B489" s="882"/>
      <c r="C489" s="882"/>
      <c r="D489" s="2933"/>
      <c r="E489" s="2934">
        <f t="shared" si="239"/>
        <v>0</v>
      </c>
      <c r="F489" s="2935"/>
      <c r="G489" s="2936">
        <f t="shared" si="240"/>
        <v>0</v>
      </c>
      <c r="H489" s="2937">
        <f t="shared" si="241"/>
        <v>0</v>
      </c>
      <c r="I489" s="2944"/>
      <c r="J489" s="2944"/>
      <c r="K489" s="2944"/>
      <c r="L489" s="2944"/>
      <c r="M489" s="2944"/>
      <c r="N489" s="2944"/>
      <c r="O489" s="2944"/>
      <c r="P489" s="2944"/>
      <c r="Q489" s="2944"/>
      <c r="R489" s="2944"/>
      <c r="S489" s="2944"/>
      <c r="T489" s="2944"/>
      <c r="U489" s="2944"/>
      <c r="V489" s="2944"/>
      <c r="W489" s="2944"/>
      <c r="X489" s="2944"/>
      <c r="Y489" s="2944"/>
      <c r="Z489" s="2944"/>
      <c r="AA489" s="2944"/>
      <c r="AB489" s="2944"/>
      <c r="AC489" s="2934">
        <f t="shared" si="242"/>
        <v>0</v>
      </c>
      <c r="AD489" s="2954"/>
      <c r="AE489" s="2954"/>
      <c r="AF489" s="2954"/>
      <c r="AG489" s="2954"/>
      <c r="AH489" s="2954"/>
      <c r="AI489" s="2954"/>
      <c r="AJ489" s="2954"/>
      <c r="AK489" s="2954"/>
      <c r="AL489" s="2954"/>
      <c r="AM489" s="2954"/>
      <c r="AN489" s="2954"/>
      <c r="AO489" s="2954"/>
      <c r="AP489" s="2954"/>
      <c r="AQ489" s="2954"/>
      <c r="AR489" s="2954"/>
      <c r="AS489" s="2954"/>
      <c r="AT489" s="2935"/>
      <c r="AU489" s="2964"/>
      <c r="AV489" s="857">
        <f t="shared" si="243"/>
        <v>0</v>
      </c>
      <c r="AW489" s="857">
        <f t="shared" si="244"/>
        <v>0</v>
      </c>
      <c r="AX489" s="857">
        <f t="shared" si="245"/>
        <v>0</v>
      </c>
      <c r="AY489" s="807">
        <f t="shared" si="246"/>
        <v>0</v>
      </c>
      <c r="AZ489" s="2934">
        <f t="shared" si="247"/>
        <v>0</v>
      </c>
      <c r="BA489" s="2934">
        <f t="shared" si="248"/>
        <v>0</v>
      </c>
      <c r="BB489" s="2934">
        <f t="shared" si="249"/>
        <v>0</v>
      </c>
      <c r="BC489" s="2934">
        <f t="shared" si="250"/>
        <v>0</v>
      </c>
      <c r="BD489" s="2934">
        <f t="shared" si="251"/>
        <v>0</v>
      </c>
      <c r="BE489" s="2934">
        <f t="shared" si="252"/>
        <v>0</v>
      </c>
      <c r="BF489" s="2934">
        <f t="shared" si="253"/>
        <v>0</v>
      </c>
      <c r="BG489" s="2934">
        <f t="shared" si="254"/>
        <v>0</v>
      </c>
      <c r="BH489" s="2934">
        <f t="shared" si="255"/>
        <v>0</v>
      </c>
      <c r="BI489" s="2934">
        <f t="shared" si="256"/>
        <v>0</v>
      </c>
      <c r="BJ489" s="2934">
        <f t="shared" si="257"/>
        <v>0</v>
      </c>
      <c r="BK489" s="2934">
        <f t="shared" si="258"/>
        <v>0</v>
      </c>
      <c r="BL489" s="2934">
        <f t="shared" si="259"/>
        <v>0</v>
      </c>
      <c r="BM489" s="2934">
        <f t="shared" si="260"/>
        <v>0</v>
      </c>
      <c r="BN489" s="2934">
        <f t="shared" si="261"/>
        <v>0</v>
      </c>
      <c r="BO489" s="2934">
        <f t="shared" si="262"/>
        <v>0</v>
      </c>
      <c r="BP489" s="2934">
        <f t="shared" si="263"/>
        <v>0</v>
      </c>
      <c r="BQ489" s="2934">
        <f t="shared" si="264"/>
        <v>0</v>
      </c>
      <c r="BR489" s="2934">
        <f t="shared" si="265"/>
        <v>0</v>
      </c>
      <c r="BS489" s="2934">
        <f t="shared" si="266"/>
        <v>0</v>
      </c>
      <c r="BT489" s="2982">
        <f t="shared" si="267"/>
        <v>0</v>
      </c>
    </row>
    <row r="490" spans="1:72">
      <c r="A490" s="874"/>
      <c r="B490" s="874"/>
      <c r="C490" s="874"/>
      <c r="D490" s="2933"/>
      <c r="E490" s="2934">
        <f t="shared" si="239"/>
        <v>0</v>
      </c>
      <c r="F490" s="2954"/>
      <c r="G490" s="2936">
        <f t="shared" ref="G490:G521" si="268">H490+AC490+AT490</f>
        <v>0</v>
      </c>
      <c r="H490" s="2937">
        <f t="shared" ref="H490:H521" si="269">SUMIF(I$12:AB$12,"总值",I490:AB490)</f>
        <v>0</v>
      </c>
      <c r="I490" s="2983"/>
      <c r="J490" s="2983"/>
      <c r="K490" s="2944"/>
      <c r="L490" s="2944"/>
      <c r="M490" s="2944"/>
      <c r="N490" s="2944"/>
      <c r="O490" s="2944"/>
      <c r="P490" s="2944"/>
      <c r="Q490" s="2944"/>
      <c r="R490" s="2944"/>
      <c r="S490" s="2944"/>
      <c r="T490" s="2944"/>
      <c r="U490" s="2944"/>
      <c r="V490" s="2944"/>
      <c r="W490" s="2944"/>
      <c r="X490" s="2944"/>
      <c r="Y490" s="2944"/>
      <c r="Z490" s="2944"/>
      <c r="AA490" s="2944"/>
      <c r="AB490" s="2944"/>
      <c r="AC490" s="2934">
        <f t="shared" ref="AC490:AC521" si="270">SUMIF(AD$12:AS$12,"总值",AD490:AS490)</f>
        <v>0</v>
      </c>
      <c r="AD490" s="2954"/>
      <c r="AE490" s="2954"/>
      <c r="AF490" s="2954"/>
      <c r="AG490" s="2954"/>
      <c r="AH490" s="2954"/>
      <c r="AI490" s="2954"/>
      <c r="AJ490" s="2954"/>
      <c r="AK490" s="2954"/>
      <c r="AL490" s="2954"/>
      <c r="AM490" s="2954"/>
      <c r="AN490" s="2954"/>
      <c r="AO490" s="2954"/>
      <c r="AP490" s="2954"/>
      <c r="AQ490" s="2954"/>
      <c r="AR490" s="2954"/>
      <c r="AS490" s="2954"/>
      <c r="AT490" s="2954"/>
      <c r="AU490" s="917"/>
      <c r="AV490" s="857">
        <f t="shared" si="243"/>
        <v>0</v>
      </c>
      <c r="AW490" s="857">
        <f t="shared" si="244"/>
        <v>0</v>
      </c>
      <c r="AX490" s="857">
        <f t="shared" si="245"/>
        <v>0</v>
      </c>
      <c r="AY490" s="807">
        <f t="shared" ref="AY490:AY521" si="271">ROUND($AY$6*AZ490/$AZ$5,2)</f>
        <v>0</v>
      </c>
      <c r="AZ490" s="2934">
        <f t="shared" ref="AZ490:AZ521" si="272">BA490+BL490</f>
        <v>0</v>
      </c>
      <c r="BA490" s="2934">
        <f t="shared" ref="BA490:BA521" si="273">SUM(BB490:BK490)</f>
        <v>0</v>
      </c>
      <c r="BB490" s="2934">
        <f t="shared" ref="BB490:BB521" si="274">IF($D490="是",I490-J490,0)</f>
        <v>0</v>
      </c>
      <c r="BC490" s="2934">
        <f t="shared" ref="BC490:BC521" si="275">IF($D490="是",K490-L490,0)</f>
        <v>0</v>
      </c>
      <c r="BD490" s="2934">
        <f t="shared" ref="BD490:BD521" si="276">IF($D490="是",M490-N490,0)</f>
        <v>0</v>
      </c>
      <c r="BE490" s="2934">
        <f t="shared" ref="BE490:BE521" si="277">IF($D490="是",O490-P490,0)</f>
        <v>0</v>
      </c>
      <c r="BF490" s="2934">
        <f t="shared" ref="BF490:BF521" si="278">IF($D490="是",Q490-R490,0)</f>
        <v>0</v>
      </c>
      <c r="BG490" s="2934">
        <f t="shared" ref="BG490:BG521" si="279">IF($D490="是",S490-T490,0)</f>
        <v>0</v>
      </c>
      <c r="BH490" s="2934">
        <f t="shared" ref="BH490:BH521" si="280">IF($D490="是",U490-V490,0)</f>
        <v>0</v>
      </c>
      <c r="BI490" s="2934">
        <f t="shared" ref="BI490:BI521" si="281">IF($D490="是",W490-X490,0)</f>
        <v>0</v>
      </c>
      <c r="BJ490" s="2934">
        <f t="shared" ref="BJ490:BJ521" si="282">IF($D490="是",Y490-Z490,0)</f>
        <v>0</v>
      </c>
      <c r="BK490" s="2934">
        <f t="shared" ref="BK490:BK521" si="283">IF($D490="是",AA490-AB490,0)</f>
        <v>0</v>
      </c>
      <c r="BL490" s="2934">
        <f t="shared" ref="BL490:BL521" si="284">SUM(BM490:BT490)</f>
        <v>0</v>
      </c>
      <c r="BM490" s="2934">
        <f t="shared" ref="BM490:BM521" si="285">IF($D490="是",AD490-AE490,0)</f>
        <v>0</v>
      </c>
      <c r="BN490" s="2934">
        <f t="shared" ref="BN490:BN521" si="286">IF($D490="是",AF490-AG490,0)</f>
        <v>0</v>
      </c>
      <c r="BO490" s="2934">
        <f t="shared" ref="BO490:BO521" si="287">IF($D490="是",AH490-AI490,0)</f>
        <v>0</v>
      </c>
      <c r="BP490" s="2934">
        <f t="shared" ref="BP490:BP521" si="288">IF($D490="是",AJ490-AK490,0)</f>
        <v>0</v>
      </c>
      <c r="BQ490" s="2934">
        <f t="shared" ref="BQ490:BQ521" si="289">IF($D490="是",AL490-AM490,0)</f>
        <v>0</v>
      </c>
      <c r="BR490" s="2934">
        <f t="shared" ref="BR490:BR521" si="290">IF($D490="是",AN490-AO490,0)</f>
        <v>0</v>
      </c>
      <c r="BS490" s="2934">
        <f t="shared" ref="BS490:BS521" si="291">IF($D490="是",AP490-AQ490,0)</f>
        <v>0</v>
      </c>
      <c r="BT490" s="2982">
        <f t="shared" ref="BT490:BT521" si="292">IF($D490="是",AR490-AS490,0)</f>
        <v>0</v>
      </c>
    </row>
    <row r="491" spans="1:72">
      <c r="A491" s="874"/>
      <c r="B491" s="874"/>
      <c r="C491" s="874"/>
      <c r="D491" s="2933"/>
      <c r="E491" s="2934">
        <f t="shared" si="239"/>
        <v>0</v>
      </c>
      <c r="F491" s="2954"/>
      <c r="G491" s="2936">
        <f t="shared" si="268"/>
        <v>0</v>
      </c>
      <c r="H491" s="2937">
        <f t="shared" si="269"/>
        <v>0</v>
      </c>
      <c r="I491" s="2944"/>
      <c r="J491" s="2944"/>
      <c r="K491" s="2944"/>
      <c r="L491" s="2944"/>
      <c r="M491" s="2944"/>
      <c r="N491" s="2944"/>
      <c r="O491" s="2944"/>
      <c r="P491" s="2944"/>
      <c r="Q491" s="2944"/>
      <c r="R491" s="2944"/>
      <c r="S491" s="2944"/>
      <c r="T491" s="2944"/>
      <c r="U491" s="2944"/>
      <c r="V491" s="2944"/>
      <c r="W491" s="2944"/>
      <c r="X491" s="2944"/>
      <c r="Y491" s="2944"/>
      <c r="Z491" s="2944"/>
      <c r="AA491" s="2944"/>
      <c r="AB491" s="2944"/>
      <c r="AC491" s="2934">
        <f t="shared" si="270"/>
        <v>0</v>
      </c>
      <c r="AD491" s="2954"/>
      <c r="AE491" s="2954"/>
      <c r="AF491" s="2954"/>
      <c r="AG491" s="2954"/>
      <c r="AH491" s="2954"/>
      <c r="AI491" s="2954"/>
      <c r="AJ491" s="2954"/>
      <c r="AK491" s="2954"/>
      <c r="AL491" s="2954"/>
      <c r="AM491" s="2954"/>
      <c r="AN491" s="2954"/>
      <c r="AO491" s="2954"/>
      <c r="AP491" s="2954"/>
      <c r="AQ491" s="2954"/>
      <c r="AR491" s="2954"/>
      <c r="AS491" s="2954"/>
      <c r="AT491" s="2954"/>
      <c r="AU491" s="917"/>
      <c r="AV491" s="857">
        <f t="shared" si="243"/>
        <v>0</v>
      </c>
      <c r="AW491" s="857">
        <f t="shared" si="244"/>
        <v>0</v>
      </c>
      <c r="AX491" s="857">
        <f t="shared" si="245"/>
        <v>0</v>
      </c>
      <c r="AY491" s="807">
        <f t="shared" si="271"/>
        <v>0</v>
      </c>
      <c r="AZ491" s="2934">
        <f t="shared" si="272"/>
        <v>0</v>
      </c>
      <c r="BA491" s="2934">
        <f t="shared" si="273"/>
        <v>0</v>
      </c>
      <c r="BB491" s="2934">
        <f t="shared" si="274"/>
        <v>0</v>
      </c>
      <c r="BC491" s="2934">
        <f t="shared" si="275"/>
        <v>0</v>
      </c>
      <c r="BD491" s="2934">
        <f t="shared" si="276"/>
        <v>0</v>
      </c>
      <c r="BE491" s="2934">
        <f t="shared" si="277"/>
        <v>0</v>
      </c>
      <c r="BF491" s="2934">
        <f t="shared" si="278"/>
        <v>0</v>
      </c>
      <c r="BG491" s="2934">
        <f t="shared" si="279"/>
        <v>0</v>
      </c>
      <c r="BH491" s="2934">
        <f t="shared" si="280"/>
        <v>0</v>
      </c>
      <c r="BI491" s="2934">
        <f t="shared" si="281"/>
        <v>0</v>
      </c>
      <c r="BJ491" s="2934">
        <f t="shared" si="282"/>
        <v>0</v>
      </c>
      <c r="BK491" s="2934">
        <f t="shared" si="283"/>
        <v>0</v>
      </c>
      <c r="BL491" s="2934">
        <f t="shared" si="284"/>
        <v>0</v>
      </c>
      <c r="BM491" s="2934">
        <f t="shared" si="285"/>
        <v>0</v>
      </c>
      <c r="BN491" s="2934">
        <f t="shared" si="286"/>
        <v>0</v>
      </c>
      <c r="BO491" s="2934">
        <f t="shared" si="287"/>
        <v>0</v>
      </c>
      <c r="BP491" s="2934">
        <f t="shared" si="288"/>
        <v>0</v>
      </c>
      <c r="BQ491" s="2934">
        <f t="shared" si="289"/>
        <v>0</v>
      </c>
      <c r="BR491" s="2934">
        <f t="shared" si="290"/>
        <v>0</v>
      </c>
      <c r="BS491" s="2934">
        <f t="shared" si="291"/>
        <v>0</v>
      </c>
      <c r="BT491" s="2982">
        <f t="shared" si="292"/>
        <v>0</v>
      </c>
    </row>
    <row r="492" spans="1:72">
      <c r="A492" s="874"/>
      <c r="B492" s="874"/>
      <c r="C492" s="874"/>
      <c r="D492" s="2933"/>
      <c r="E492" s="2934">
        <f t="shared" si="239"/>
        <v>0</v>
      </c>
      <c r="F492" s="2954"/>
      <c r="G492" s="2936">
        <f t="shared" si="268"/>
        <v>0</v>
      </c>
      <c r="H492" s="2937">
        <f t="shared" si="269"/>
        <v>0</v>
      </c>
      <c r="I492" s="2944"/>
      <c r="J492" s="2944"/>
      <c r="K492" s="2944"/>
      <c r="L492" s="2944"/>
      <c r="M492" s="2944"/>
      <c r="N492" s="2944"/>
      <c r="O492" s="2944"/>
      <c r="P492" s="2944"/>
      <c r="Q492" s="2944"/>
      <c r="R492" s="2944"/>
      <c r="S492" s="2944"/>
      <c r="T492" s="2944"/>
      <c r="U492" s="2944"/>
      <c r="V492" s="2944"/>
      <c r="W492" s="2944"/>
      <c r="X492" s="2944"/>
      <c r="Y492" s="2944"/>
      <c r="Z492" s="2944"/>
      <c r="AA492" s="2944"/>
      <c r="AB492" s="2944"/>
      <c r="AC492" s="2934">
        <f t="shared" si="270"/>
        <v>0</v>
      </c>
      <c r="AD492" s="2954"/>
      <c r="AE492" s="2954"/>
      <c r="AF492" s="2954"/>
      <c r="AG492" s="2954"/>
      <c r="AH492" s="2954"/>
      <c r="AI492" s="2954"/>
      <c r="AJ492" s="2954"/>
      <c r="AK492" s="2954"/>
      <c r="AL492" s="2954"/>
      <c r="AM492" s="2954"/>
      <c r="AN492" s="2954"/>
      <c r="AO492" s="2954"/>
      <c r="AP492" s="2954"/>
      <c r="AQ492" s="2954"/>
      <c r="AR492" s="2954"/>
      <c r="AS492" s="2954"/>
      <c r="AT492" s="2954"/>
      <c r="AU492" s="917"/>
      <c r="AV492" s="857">
        <f t="shared" si="243"/>
        <v>0</v>
      </c>
      <c r="AW492" s="857">
        <f t="shared" si="244"/>
        <v>0</v>
      </c>
      <c r="AX492" s="857">
        <f t="shared" si="245"/>
        <v>0</v>
      </c>
      <c r="AY492" s="807">
        <f t="shared" si="271"/>
        <v>0</v>
      </c>
      <c r="AZ492" s="2934">
        <f t="shared" si="272"/>
        <v>0</v>
      </c>
      <c r="BA492" s="2934">
        <f t="shared" si="273"/>
        <v>0</v>
      </c>
      <c r="BB492" s="2934">
        <f t="shared" si="274"/>
        <v>0</v>
      </c>
      <c r="BC492" s="2934">
        <f t="shared" si="275"/>
        <v>0</v>
      </c>
      <c r="BD492" s="2934">
        <f t="shared" si="276"/>
        <v>0</v>
      </c>
      <c r="BE492" s="2934">
        <f t="shared" si="277"/>
        <v>0</v>
      </c>
      <c r="BF492" s="2934">
        <f t="shared" si="278"/>
        <v>0</v>
      </c>
      <c r="BG492" s="2934">
        <f t="shared" si="279"/>
        <v>0</v>
      </c>
      <c r="BH492" s="2934">
        <f t="shared" si="280"/>
        <v>0</v>
      </c>
      <c r="BI492" s="2934">
        <f t="shared" si="281"/>
        <v>0</v>
      </c>
      <c r="BJ492" s="2934">
        <f t="shared" si="282"/>
        <v>0</v>
      </c>
      <c r="BK492" s="2934">
        <f t="shared" si="283"/>
        <v>0</v>
      </c>
      <c r="BL492" s="2934">
        <f t="shared" si="284"/>
        <v>0</v>
      </c>
      <c r="BM492" s="2934">
        <f t="shared" si="285"/>
        <v>0</v>
      </c>
      <c r="BN492" s="2934">
        <f t="shared" si="286"/>
        <v>0</v>
      </c>
      <c r="BO492" s="2934">
        <f t="shared" si="287"/>
        <v>0</v>
      </c>
      <c r="BP492" s="2934">
        <f t="shared" si="288"/>
        <v>0</v>
      </c>
      <c r="BQ492" s="2934">
        <f t="shared" si="289"/>
        <v>0</v>
      </c>
      <c r="BR492" s="2934">
        <f t="shared" si="290"/>
        <v>0</v>
      </c>
      <c r="BS492" s="2934">
        <f t="shared" si="291"/>
        <v>0</v>
      </c>
      <c r="BT492" s="2982">
        <f t="shared" si="292"/>
        <v>0</v>
      </c>
    </row>
    <row r="493" spans="1:72">
      <c r="A493" s="874"/>
      <c r="B493" s="882"/>
      <c r="C493" s="882"/>
      <c r="D493" s="2933"/>
      <c r="E493" s="2934">
        <f t="shared" ref="E493:E519" si="293">IF($C$3="是",ROUND($A$3*G493/$B$3,2),ROUND($A$3*(G493-AT493)/$B$3,2))</f>
        <v>0</v>
      </c>
      <c r="F493" s="2935"/>
      <c r="G493" s="2936">
        <f t="shared" si="268"/>
        <v>0</v>
      </c>
      <c r="H493" s="2937">
        <f t="shared" si="269"/>
        <v>0</v>
      </c>
      <c r="I493" s="2944"/>
      <c r="J493" s="2944"/>
      <c r="K493" s="2944"/>
      <c r="L493" s="2944"/>
      <c r="M493" s="2944"/>
      <c r="N493" s="2944"/>
      <c r="O493" s="2944"/>
      <c r="P493" s="2944"/>
      <c r="Q493" s="2944"/>
      <c r="R493" s="2944"/>
      <c r="S493" s="2944"/>
      <c r="T493" s="2944"/>
      <c r="U493" s="2944"/>
      <c r="V493" s="2944"/>
      <c r="W493" s="2944"/>
      <c r="X493" s="2944"/>
      <c r="Y493" s="2944"/>
      <c r="Z493" s="2944"/>
      <c r="AA493" s="2944"/>
      <c r="AB493" s="2944"/>
      <c r="AC493" s="2934">
        <f t="shared" si="270"/>
        <v>0</v>
      </c>
      <c r="AD493" s="2954"/>
      <c r="AE493" s="2954"/>
      <c r="AF493" s="2954"/>
      <c r="AG493" s="2954"/>
      <c r="AH493" s="2954"/>
      <c r="AI493" s="2954"/>
      <c r="AJ493" s="2954"/>
      <c r="AK493" s="2954"/>
      <c r="AL493" s="2954"/>
      <c r="AM493" s="2954"/>
      <c r="AN493" s="2954"/>
      <c r="AO493" s="2954"/>
      <c r="AP493" s="2954"/>
      <c r="AQ493" s="2954"/>
      <c r="AR493" s="2954"/>
      <c r="AS493" s="2954"/>
      <c r="AT493" s="2935"/>
      <c r="AU493" s="2964"/>
      <c r="AV493" s="857">
        <f t="shared" ref="AV493:AV520" si="294">A493</f>
        <v>0</v>
      </c>
      <c r="AW493" s="857">
        <f t="shared" ref="AW493:AW520" si="295">B493</f>
        <v>0</v>
      </c>
      <c r="AX493" s="857">
        <f t="shared" ref="AX493:AX520" si="296">C493</f>
        <v>0</v>
      </c>
      <c r="AY493" s="807">
        <f t="shared" si="271"/>
        <v>0</v>
      </c>
      <c r="AZ493" s="2934">
        <f t="shared" si="272"/>
        <v>0</v>
      </c>
      <c r="BA493" s="2934">
        <f t="shared" si="273"/>
        <v>0</v>
      </c>
      <c r="BB493" s="2934">
        <f t="shared" si="274"/>
        <v>0</v>
      </c>
      <c r="BC493" s="2934">
        <f t="shared" si="275"/>
        <v>0</v>
      </c>
      <c r="BD493" s="2934">
        <f t="shared" si="276"/>
        <v>0</v>
      </c>
      <c r="BE493" s="2934">
        <f t="shared" si="277"/>
        <v>0</v>
      </c>
      <c r="BF493" s="2934">
        <f t="shared" si="278"/>
        <v>0</v>
      </c>
      <c r="BG493" s="2934">
        <f t="shared" si="279"/>
        <v>0</v>
      </c>
      <c r="BH493" s="2934">
        <f t="shared" si="280"/>
        <v>0</v>
      </c>
      <c r="BI493" s="2934">
        <f t="shared" si="281"/>
        <v>0</v>
      </c>
      <c r="BJ493" s="2934">
        <f t="shared" si="282"/>
        <v>0</v>
      </c>
      <c r="BK493" s="2934">
        <f t="shared" si="283"/>
        <v>0</v>
      </c>
      <c r="BL493" s="2934">
        <f t="shared" si="284"/>
        <v>0</v>
      </c>
      <c r="BM493" s="2934">
        <f t="shared" si="285"/>
        <v>0</v>
      </c>
      <c r="BN493" s="2934">
        <f t="shared" si="286"/>
        <v>0</v>
      </c>
      <c r="BO493" s="2934">
        <f t="shared" si="287"/>
        <v>0</v>
      </c>
      <c r="BP493" s="2934">
        <f t="shared" si="288"/>
        <v>0</v>
      </c>
      <c r="BQ493" s="2934">
        <f t="shared" si="289"/>
        <v>0</v>
      </c>
      <c r="BR493" s="2934">
        <f t="shared" si="290"/>
        <v>0</v>
      </c>
      <c r="BS493" s="2934">
        <f t="shared" si="291"/>
        <v>0</v>
      </c>
      <c r="BT493" s="2982">
        <f t="shared" si="292"/>
        <v>0</v>
      </c>
    </row>
    <row r="494" spans="1:72">
      <c r="A494" s="874"/>
      <c r="B494" s="882"/>
      <c r="C494" s="882"/>
      <c r="D494" s="2933"/>
      <c r="E494" s="2934">
        <f t="shared" si="293"/>
        <v>0</v>
      </c>
      <c r="F494" s="2935"/>
      <c r="G494" s="2936">
        <f t="shared" si="268"/>
        <v>0</v>
      </c>
      <c r="H494" s="2937">
        <f t="shared" si="269"/>
        <v>0</v>
      </c>
      <c r="I494" s="2944"/>
      <c r="J494" s="2944"/>
      <c r="K494" s="2944"/>
      <c r="L494" s="2944"/>
      <c r="M494" s="2944"/>
      <c r="N494" s="2944"/>
      <c r="O494" s="2944"/>
      <c r="P494" s="2944"/>
      <c r="Q494" s="2944"/>
      <c r="R494" s="2944"/>
      <c r="S494" s="2944"/>
      <c r="T494" s="2944"/>
      <c r="U494" s="2944"/>
      <c r="V494" s="2944"/>
      <c r="W494" s="2944"/>
      <c r="X494" s="2944"/>
      <c r="Y494" s="2944"/>
      <c r="Z494" s="2944"/>
      <c r="AA494" s="2944"/>
      <c r="AB494" s="2944"/>
      <c r="AC494" s="2934">
        <f t="shared" si="270"/>
        <v>0</v>
      </c>
      <c r="AD494" s="2954"/>
      <c r="AE494" s="2954"/>
      <c r="AF494" s="2954"/>
      <c r="AG494" s="2954"/>
      <c r="AH494" s="2954"/>
      <c r="AI494" s="2954"/>
      <c r="AJ494" s="2954"/>
      <c r="AK494" s="2954"/>
      <c r="AL494" s="2954"/>
      <c r="AM494" s="2954"/>
      <c r="AN494" s="2954"/>
      <c r="AO494" s="2954"/>
      <c r="AP494" s="2954"/>
      <c r="AQ494" s="2954"/>
      <c r="AR494" s="2954"/>
      <c r="AS494" s="2954"/>
      <c r="AT494" s="2935"/>
      <c r="AU494" s="2964"/>
      <c r="AV494" s="857">
        <f t="shared" si="294"/>
        <v>0</v>
      </c>
      <c r="AW494" s="857">
        <f t="shared" si="295"/>
        <v>0</v>
      </c>
      <c r="AX494" s="857">
        <f t="shared" si="296"/>
        <v>0</v>
      </c>
      <c r="AY494" s="807">
        <f t="shared" si="271"/>
        <v>0</v>
      </c>
      <c r="AZ494" s="2934">
        <f t="shared" si="272"/>
        <v>0</v>
      </c>
      <c r="BA494" s="2934">
        <f t="shared" si="273"/>
        <v>0</v>
      </c>
      <c r="BB494" s="2934">
        <f t="shared" si="274"/>
        <v>0</v>
      </c>
      <c r="BC494" s="2934">
        <f t="shared" si="275"/>
        <v>0</v>
      </c>
      <c r="BD494" s="2934">
        <f t="shared" si="276"/>
        <v>0</v>
      </c>
      <c r="BE494" s="2934">
        <f t="shared" si="277"/>
        <v>0</v>
      </c>
      <c r="BF494" s="2934">
        <f t="shared" si="278"/>
        <v>0</v>
      </c>
      <c r="BG494" s="2934">
        <f t="shared" si="279"/>
        <v>0</v>
      </c>
      <c r="BH494" s="2934">
        <f t="shared" si="280"/>
        <v>0</v>
      </c>
      <c r="BI494" s="2934">
        <f t="shared" si="281"/>
        <v>0</v>
      </c>
      <c r="BJ494" s="2934">
        <f t="shared" si="282"/>
        <v>0</v>
      </c>
      <c r="BK494" s="2934">
        <f t="shared" si="283"/>
        <v>0</v>
      </c>
      <c r="BL494" s="2934">
        <f t="shared" si="284"/>
        <v>0</v>
      </c>
      <c r="BM494" s="2934">
        <f t="shared" si="285"/>
        <v>0</v>
      </c>
      <c r="BN494" s="2934">
        <f t="shared" si="286"/>
        <v>0</v>
      </c>
      <c r="BO494" s="2934">
        <f t="shared" si="287"/>
        <v>0</v>
      </c>
      <c r="BP494" s="2934">
        <f t="shared" si="288"/>
        <v>0</v>
      </c>
      <c r="BQ494" s="2934">
        <f t="shared" si="289"/>
        <v>0</v>
      </c>
      <c r="BR494" s="2934">
        <f t="shared" si="290"/>
        <v>0</v>
      </c>
      <c r="BS494" s="2934">
        <f t="shared" si="291"/>
        <v>0</v>
      </c>
      <c r="BT494" s="2982">
        <f t="shared" si="292"/>
        <v>0</v>
      </c>
    </row>
    <row r="495" spans="1:72">
      <c r="A495" s="874"/>
      <c r="B495" s="882"/>
      <c r="C495" s="882"/>
      <c r="D495" s="2933"/>
      <c r="E495" s="2934">
        <f t="shared" si="293"/>
        <v>0</v>
      </c>
      <c r="F495" s="2935"/>
      <c r="G495" s="2936">
        <f t="shared" si="268"/>
        <v>0</v>
      </c>
      <c r="H495" s="2937">
        <f t="shared" si="269"/>
        <v>0</v>
      </c>
      <c r="I495" s="2944"/>
      <c r="J495" s="2944"/>
      <c r="K495" s="2944"/>
      <c r="L495" s="2944"/>
      <c r="M495" s="2944"/>
      <c r="N495" s="2944"/>
      <c r="O495" s="2944"/>
      <c r="P495" s="2944"/>
      <c r="Q495" s="2944"/>
      <c r="R495" s="2944"/>
      <c r="S495" s="2944"/>
      <c r="T495" s="2944"/>
      <c r="U495" s="2944"/>
      <c r="V495" s="2944"/>
      <c r="W495" s="2944"/>
      <c r="X495" s="2944"/>
      <c r="Y495" s="2944"/>
      <c r="Z495" s="2944"/>
      <c r="AA495" s="2944"/>
      <c r="AB495" s="2944"/>
      <c r="AC495" s="2934">
        <f t="shared" si="270"/>
        <v>0</v>
      </c>
      <c r="AD495" s="2954"/>
      <c r="AE495" s="2954"/>
      <c r="AF495" s="2954"/>
      <c r="AG495" s="2954"/>
      <c r="AH495" s="2954"/>
      <c r="AI495" s="2954"/>
      <c r="AJ495" s="2954"/>
      <c r="AK495" s="2954"/>
      <c r="AL495" s="2954"/>
      <c r="AM495" s="2954"/>
      <c r="AN495" s="2954"/>
      <c r="AO495" s="2954"/>
      <c r="AP495" s="2954"/>
      <c r="AQ495" s="2954"/>
      <c r="AR495" s="2954"/>
      <c r="AS495" s="2954"/>
      <c r="AT495" s="2935"/>
      <c r="AU495" s="2964"/>
      <c r="AV495" s="857">
        <f t="shared" si="294"/>
        <v>0</v>
      </c>
      <c r="AW495" s="857">
        <f t="shared" si="295"/>
        <v>0</v>
      </c>
      <c r="AX495" s="857">
        <f t="shared" si="296"/>
        <v>0</v>
      </c>
      <c r="AY495" s="807">
        <f t="shared" si="271"/>
        <v>0</v>
      </c>
      <c r="AZ495" s="2934">
        <f t="shared" si="272"/>
        <v>0</v>
      </c>
      <c r="BA495" s="2934">
        <f t="shared" si="273"/>
        <v>0</v>
      </c>
      <c r="BB495" s="2934">
        <f t="shared" si="274"/>
        <v>0</v>
      </c>
      <c r="BC495" s="2934">
        <f t="shared" si="275"/>
        <v>0</v>
      </c>
      <c r="BD495" s="2934">
        <f t="shared" si="276"/>
        <v>0</v>
      </c>
      <c r="BE495" s="2934">
        <f t="shared" si="277"/>
        <v>0</v>
      </c>
      <c r="BF495" s="2934">
        <f t="shared" si="278"/>
        <v>0</v>
      </c>
      <c r="BG495" s="2934">
        <f t="shared" si="279"/>
        <v>0</v>
      </c>
      <c r="BH495" s="2934">
        <f t="shared" si="280"/>
        <v>0</v>
      </c>
      <c r="BI495" s="2934">
        <f t="shared" si="281"/>
        <v>0</v>
      </c>
      <c r="BJ495" s="2934">
        <f t="shared" si="282"/>
        <v>0</v>
      </c>
      <c r="BK495" s="2934">
        <f t="shared" si="283"/>
        <v>0</v>
      </c>
      <c r="BL495" s="2934">
        <f t="shared" si="284"/>
        <v>0</v>
      </c>
      <c r="BM495" s="2934">
        <f t="shared" si="285"/>
        <v>0</v>
      </c>
      <c r="BN495" s="2934">
        <f t="shared" si="286"/>
        <v>0</v>
      </c>
      <c r="BO495" s="2934">
        <f t="shared" si="287"/>
        <v>0</v>
      </c>
      <c r="BP495" s="2934">
        <f t="shared" si="288"/>
        <v>0</v>
      </c>
      <c r="BQ495" s="2934">
        <f t="shared" si="289"/>
        <v>0</v>
      </c>
      <c r="BR495" s="2934">
        <f t="shared" si="290"/>
        <v>0</v>
      </c>
      <c r="BS495" s="2934">
        <f t="shared" si="291"/>
        <v>0</v>
      </c>
      <c r="BT495" s="2982">
        <f t="shared" si="292"/>
        <v>0</v>
      </c>
    </row>
    <row r="496" spans="1:72">
      <c r="A496" s="874"/>
      <c r="B496" s="882"/>
      <c r="C496" s="882"/>
      <c r="D496" s="2933"/>
      <c r="E496" s="2934">
        <f t="shared" si="293"/>
        <v>0</v>
      </c>
      <c r="F496" s="2935"/>
      <c r="G496" s="2936">
        <f t="shared" si="268"/>
        <v>0</v>
      </c>
      <c r="H496" s="2937">
        <f t="shared" si="269"/>
        <v>0</v>
      </c>
      <c r="I496" s="2944"/>
      <c r="J496" s="2944"/>
      <c r="K496" s="2944"/>
      <c r="L496" s="2944"/>
      <c r="M496" s="2944"/>
      <c r="N496" s="2944"/>
      <c r="O496" s="2944"/>
      <c r="P496" s="2944"/>
      <c r="Q496" s="2944"/>
      <c r="R496" s="2944"/>
      <c r="S496" s="2944"/>
      <c r="T496" s="2944"/>
      <c r="U496" s="2944"/>
      <c r="V496" s="2944"/>
      <c r="W496" s="2944"/>
      <c r="X496" s="2944"/>
      <c r="Y496" s="2944"/>
      <c r="Z496" s="2944"/>
      <c r="AA496" s="2944"/>
      <c r="AB496" s="2944"/>
      <c r="AC496" s="2934">
        <f t="shared" si="270"/>
        <v>0</v>
      </c>
      <c r="AD496" s="2954"/>
      <c r="AE496" s="2954"/>
      <c r="AF496" s="2954"/>
      <c r="AG496" s="2954"/>
      <c r="AH496" s="2954"/>
      <c r="AI496" s="2954"/>
      <c r="AJ496" s="2954"/>
      <c r="AK496" s="2954"/>
      <c r="AL496" s="2954"/>
      <c r="AM496" s="2954"/>
      <c r="AN496" s="2954"/>
      <c r="AO496" s="2954"/>
      <c r="AP496" s="2954"/>
      <c r="AQ496" s="2954"/>
      <c r="AR496" s="2954"/>
      <c r="AS496" s="2954"/>
      <c r="AT496" s="2935"/>
      <c r="AU496" s="2964"/>
      <c r="AV496" s="857">
        <f t="shared" si="294"/>
        <v>0</v>
      </c>
      <c r="AW496" s="857">
        <f t="shared" si="295"/>
        <v>0</v>
      </c>
      <c r="AX496" s="857">
        <f t="shared" si="296"/>
        <v>0</v>
      </c>
      <c r="AY496" s="807">
        <f t="shared" si="271"/>
        <v>0</v>
      </c>
      <c r="AZ496" s="2934">
        <f t="shared" si="272"/>
        <v>0</v>
      </c>
      <c r="BA496" s="2934">
        <f t="shared" si="273"/>
        <v>0</v>
      </c>
      <c r="BB496" s="2934">
        <f t="shared" si="274"/>
        <v>0</v>
      </c>
      <c r="BC496" s="2934">
        <f t="shared" si="275"/>
        <v>0</v>
      </c>
      <c r="BD496" s="2934">
        <f t="shared" si="276"/>
        <v>0</v>
      </c>
      <c r="BE496" s="2934">
        <f t="shared" si="277"/>
        <v>0</v>
      </c>
      <c r="BF496" s="2934">
        <f t="shared" si="278"/>
        <v>0</v>
      </c>
      <c r="BG496" s="2934">
        <f t="shared" si="279"/>
        <v>0</v>
      </c>
      <c r="BH496" s="2934">
        <f t="shared" si="280"/>
        <v>0</v>
      </c>
      <c r="BI496" s="2934">
        <f t="shared" si="281"/>
        <v>0</v>
      </c>
      <c r="BJ496" s="2934">
        <f t="shared" si="282"/>
        <v>0</v>
      </c>
      <c r="BK496" s="2934">
        <f t="shared" si="283"/>
        <v>0</v>
      </c>
      <c r="BL496" s="2934">
        <f t="shared" si="284"/>
        <v>0</v>
      </c>
      <c r="BM496" s="2934">
        <f t="shared" si="285"/>
        <v>0</v>
      </c>
      <c r="BN496" s="2934">
        <f t="shared" si="286"/>
        <v>0</v>
      </c>
      <c r="BO496" s="2934">
        <f t="shared" si="287"/>
        <v>0</v>
      </c>
      <c r="BP496" s="2934">
        <f t="shared" si="288"/>
        <v>0</v>
      </c>
      <c r="BQ496" s="2934">
        <f t="shared" si="289"/>
        <v>0</v>
      </c>
      <c r="BR496" s="2934">
        <f t="shared" si="290"/>
        <v>0</v>
      </c>
      <c r="BS496" s="2934">
        <f t="shared" si="291"/>
        <v>0</v>
      </c>
      <c r="BT496" s="2982">
        <f t="shared" si="292"/>
        <v>0</v>
      </c>
    </row>
    <row r="497" spans="1:72">
      <c r="A497" s="874"/>
      <c r="B497" s="882"/>
      <c r="C497" s="882"/>
      <c r="D497" s="2933"/>
      <c r="E497" s="2934">
        <f t="shared" si="293"/>
        <v>0</v>
      </c>
      <c r="F497" s="2935"/>
      <c r="G497" s="2936">
        <f t="shared" si="268"/>
        <v>0</v>
      </c>
      <c r="H497" s="2937">
        <f t="shared" si="269"/>
        <v>0</v>
      </c>
      <c r="I497" s="2944"/>
      <c r="J497" s="2944"/>
      <c r="K497" s="2944"/>
      <c r="L497" s="2944"/>
      <c r="M497" s="2944"/>
      <c r="N497" s="2944"/>
      <c r="O497" s="2944"/>
      <c r="P497" s="2944"/>
      <c r="Q497" s="2944"/>
      <c r="R497" s="2944"/>
      <c r="S497" s="2944"/>
      <c r="T497" s="2944"/>
      <c r="U497" s="2944"/>
      <c r="V497" s="2944"/>
      <c r="W497" s="2944"/>
      <c r="X497" s="2944"/>
      <c r="Y497" s="2944"/>
      <c r="Z497" s="2944"/>
      <c r="AA497" s="2944"/>
      <c r="AB497" s="2944"/>
      <c r="AC497" s="2934">
        <f t="shared" si="270"/>
        <v>0</v>
      </c>
      <c r="AD497" s="2954"/>
      <c r="AE497" s="2954"/>
      <c r="AF497" s="2954"/>
      <c r="AG497" s="2954"/>
      <c r="AH497" s="2954"/>
      <c r="AI497" s="2954"/>
      <c r="AJ497" s="2954"/>
      <c r="AK497" s="2954"/>
      <c r="AL497" s="2954"/>
      <c r="AM497" s="2954"/>
      <c r="AN497" s="2954"/>
      <c r="AO497" s="2954"/>
      <c r="AP497" s="2954"/>
      <c r="AQ497" s="2954"/>
      <c r="AR497" s="2954"/>
      <c r="AS497" s="2954"/>
      <c r="AT497" s="2935"/>
      <c r="AU497" s="2964"/>
      <c r="AV497" s="857">
        <f t="shared" si="294"/>
        <v>0</v>
      </c>
      <c r="AW497" s="857">
        <f t="shared" si="295"/>
        <v>0</v>
      </c>
      <c r="AX497" s="857">
        <f t="shared" si="296"/>
        <v>0</v>
      </c>
      <c r="AY497" s="807">
        <f t="shared" si="271"/>
        <v>0</v>
      </c>
      <c r="AZ497" s="2934">
        <f t="shared" si="272"/>
        <v>0</v>
      </c>
      <c r="BA497" s="2934">
        <f t="shared" si="273"/>
        <v>0</v>
      </c>
      <c r="BB497" s="2934">
        <f t="shared" si="274"/>
        <v>0</v>
      </c>
      <c r="BC497" s="2934">
        <f t="shared" si="275"/>
        <v>0</v>
      </c>
      <c r="BD497" s="2934">
        <f t="shared" si="276"/>
        <v>0</v>
      </c>
      <c r="BE497" s="2934">
        <f t="shared" si="277"/>
        <v>0</v>
      </c>
      <c r="BF497" s="2934">
        <f t="shared" si="278"/>
        <v>0</v>
      </c>
      <c r="BG497" s="2934">
        <f t="shared" si="279"/>
        <v>0</v>
      </c>
      <c r="BH497" s="2934">
        <f t="shared" si="280"/>
        <v>0</v>
      </c>
      <c r="BI497" s="2934">
        <f t="shared" si="281"/>
        <v>0</v>
      </c>
      <c r="BJ497" s="2934">
        <f t="shared" si="282"/>
        <v>0</v>
      </c>
      <c r="BK497" s="2934">
        <f t="shared" si="283"/>
        <v>0</v>
      </c>
      <c r="BL497" s="2934">
        <f t="shared" si="284"/>
        <v>0</v>
      </c>
      <c r="BM497" s="2934">
        <f t="shared" si="285"/>
        <v>0</v>
      </c>
      <c r="BN497" s="2934">
        <f t="shared" si="286"/>
        <v>0</v>
      </c>
      <c r="BO497" s="2934">
        <f t="shared" si="287"/>
        <v>0</v>
      </c>
      <c r="BP497" s="2934">
        <f t="shared" si="288"/>
        <v>0</v>
      </c>
      <c r="BQ497" s="2934">
        <f t="shared" si="289"/>
        <v>0</v>
      </c>
      <c r="BR497" s="2934">
        <f t="shared" si="290"/>
        <v>0</v>
      </c>
      <c r="BS497" s="2934">
        <f t="shared" si="291"/>
        <v>0</v>
      </c>
      <c r="BT497" s="2982">
        <f t="shared" si="292"/>
        <v>0</v>
      </c>
    </row>
    <row r="498" spans="1:72">
      <c r="A498" s="874"/>
      <c r="B498" s="882"/>
      <c r="C498" s="882"/>
      <c r="D498" s="2933"/>
      <c r="E498" s="2934">
        <f t="shared" si="293"/>
        <v>0</v>
      </c>
      <c r="F498" s="2935"/>
      <c r="G498" s="2936">
        <f t="shared" si="268"/>
        <v>0</v>
      </c>
      <c r="H498" s="2937">
        <f t="shared" si="269"/>
        <v>0</v>
      </c>
      <c r="I498" s="2944"/>
      <c r="J498" s="2944"/>
      <c r="K498" s="2944"/>
      <c r="L498" s="2944"/>
      <c r="M498" s="2944"/>
      <c r="N498" s="2944"/>
      <c r="O498" s="2944"/>
      <c r="P498" s="2944"/>
      <c r="Q498" s="2944"/>
      <c r="R498" s="2944"/>
      <c r="S498" s="2944"/>
      <c r="T498" s="2944"/>
      <c r="U498" s="2944"/>
      <c r="V498" s="2944"/>
      <c r="W498" s="2944"/>
      <c r="X498" s="2944"/>
      <c r="Y498" s="2944"/>
      <c r="Z498" s="2944"/>
      <c r="AA498" s="2944"/>
      <c r="AB498" s="2944"/>
      <c r="AC498" s="2934">
        <f t="shared" si="270"/>
        <v>0</v>
      </c>
      <c r="AD498" s="2954"/>
      <c r="AE498" s="2954"/>
      <c r="AF498" s="2954"/>
      <c r="AG498" s="2954"/>
      <c r="AH498" s="2954"/>
      <c r="AI498" s="2954"/>
      <c r="AJ498" s="2954"/>
      <c r="AK498" s="2954"/>
      <c r="AL498" s="2954"/>
      <c r="AM498" s="2954"/>
      <c r="AN498" s="2954"/>
      <c r="AO498" s="2954"/>
      <c r="AP498" s="2954"/>
      <c r="AQ498" s="2954"/>
      <c r="AR498" s="2954"/>
      <c r="AS498" s="2954"/>
      <c r="AT498" s="2935"/>
      <c r="AU498" s="2964"/>
      <c r="AV498" s="857">
        <f t="shared" si="294"/>
        <v>0</v>
      </c>
      <c r="AW498" s="857">
        <f t="shared" si="295"/>
        <v>0</v>
      </c>
      <c r="AX498" s="857">
        <f t="shared" si="296"/>
        <v>0</v>
      </c>
      <c r="AY498" s="807">
        <f t="shared" si="271"/>
        <v>0</v>
      </c>
      <c r="AZ498" s="2934">
        <f t="shared" si="272"/>
        <v>0</v>
      </c>
      <c r="BA498" s="2934">
        <f t="shared" si="273"/>
        <v>0</v>
      </c>
      <c r="BB498" s="2934">
        <f t="shared" si="274"/>
        <v>0</v>
      </c>
      <c r="BC498" s="2934">
        <f t="shared" si="275"/>
        <v>0</v>
      </c>
      <c r="BD498" s="2934">
        <f t="shared" si="276"/>
        <v>0</v>
      </c>
      <c r="BE498" s="2934">
        <f t="shared" si="277"/>
        <v>0</v>
      </c>
      <c r="BF498" s="2934">
        <f t="shared" si="278"/>
        <v>0</v>
      </c>
      <c r="BG498" s="2934">
        <f t="shared" si="279"/>
        <v>0</v>
      </c>
      <c r="BH498" s="2934">
        <f t="shared" si="280"/>
        <v>0</v>
      </c>
      <c r="BI498" s="2934">
        <f t="shared" si="281"/>
        <v>0</v>
      </c>
      <c r="BJ498" s="2934">
        <f t="shared" si="282"/>
        <v>0</v>
      </c>
      <c r="BK498" s="2934">
        <f t="shared" si="283"/>
        <v>0</v>
      </c>
      <c r="BL498" s="2934">
        <f t="shared" si="284"/>
        <v>0</v>
      </c>
      <c r="BM498" s="2934">
        <f t="shared" si="285"/>
        <v>0</v>
      </c>
      <c r="BN498" s="2934">
        <f t="shared" si="286"/>
        <v>0</v>
      </c>
      <c r="BO498" s="2934">
        <f t="shared" si="287"/>
        <v>0</v>
      </c>
      <c r="BP498" s="2934">
        <f t="shared" si="288"/>
        <v>0</v>
      </c>
      <c r="BQ498" s="2934">
        <f t="shared" si="289"/>
        <v>0</v>
      </c>
      <c r="BR498" s="2934">
        <f t="shared" si="290"/>
        <v>0</v>
      </c>
      <c r="BS498" s="2934">
        <f t="shared" si="291"/>
        <v>0</v>
      </c>
      <c r="BT498" s="2982">
        <f t="shared" si="292"/>
        <v>0</v>
      </c>
    </row>
    <row r="499" spans="1:72">
      <c r="A499" s="874"/>
      <c r="B499" s="882"/>
      <c r="C499" s="882"/>
      <c r="D499" s="2933"/>
      <c r="E499" s="2934">
        <f t="shared" si="293"/>
        <v>0</v>
      </c>
      <c r="F499" s="2935"/>
      <c r="G499" s="2936">
        <f t="shared" si="268"/>
        <v>0</v>
      </c>
      <c r="H499" s="2937">
        <f t="shared" si="269"/>
        <v>0</v>
      </c>
      <c r="I499" s="2944"/>
      <c r="J499" s="2944"/>
      <c r="K499" s="2944"/>
      <c r="L499" s="2944"/>
      <c r="M499" s="2944"/>
      <c r="N499" s="2944"/>
      <c r="O499" s="2944"/>
      <c r="P499" s="2944"/>
      <c r="Q499" s="2944"/>
      <c r="R499" s="2944"/>
      <c r="S499" s="2944"/>
      <c r="T499" s="2944"/>
      <c r="U499" s="2944"/>
      <c r="V499" s="2944"/>
      <c r="W499" s="2944"/>
      <c r="X499" s="2944"/>
      <c r="Y499" s="2944"/>
      <c r="Z499" s="2944"/>
      <c r="AA499" s="2944"/>
      <c r="AB499" s="2944"/>
      <c r="AC499" s="2934">
        <f t="shared" si="270"/>
        <v>0</v>
      </c>
      <c r="AD499" s="2954"/>
      <c r="AE499" s="2954"/>
      <c r="AF499" s="2954"/>
      <c r="AG499" s="2954"/>
      <c r="AH499" s="2954"/>
      <c r="AI499" s="2954"/>
      <c r="AJ499" s="2954"/>
      <c r="AK499" s="2954"/>
      <c r="AL499" s="2954"/>
      <c r="AM499" s="2954"/>
      <c r="AN499" s="2954"/>
      <c r="AO499" s="2954"/>
      <c r="AP499" s="2954"/>
      <c r="AQ499" s="2954"/>
      <c r="AR499" s="2954"/>
      <c r="AS499" s="2954"/>
      <c r="AT499" s="2935"/>
      <c r="AU499" s="2964"/>
      <c r="AV499" s="857">
        <f t="shared" si="294"/>
        <v>0</v>
      </c>
      <c r="AW499" s="857">
        <f t="shared" si="295"/>
        <v>0</v>
      </c>
      <c r="AX499" s="857">
        <f t="shared" si="296"/>
        <v>0</v>
      </c>
      <c r="AY499" s="807">
        <f t="shared" si="271"/>
        <v>0</v>
      </c>
      <c r="AZ499" s="2934">
        <f t="shared" si="272"/>
        <v>0</v>
      </c>
      <c r="BA499" s="2934">
        <f t="shared" si="273"/>
        <v>0</v>
      </c>
      <c r="BB499" s="2934">
        <f t="shared" si="274"/>
        <v>0</v>
      </c>
      <c r="BC499" s="2934">
        <f t="shared" si="275"/>
        <v>0</v>
      </c>
      <c r="BD499" s="2934">
        <f t="shared" si="276"/>
        <v>0</v>
      </c>
      <c r="BE499" s="2934">
        <f t="shared" si="277"/>
        <v>0</v>
      </c>
      <c r="BF499" s="2934">
        <f t="shared" si="278"/>
        <v>0</v>
      </c>
      <c r="BG499" s="2934">
        <f t="shared" si="279"/>
        <v>0</v>
      </c>
      <c r="BH499" s="2934">
        <f t="shared" si="280"/>
        <v>0</v>
      </c>
      <c r="BI499" s="2934">
        <f t="shared" si="281"/>
        <v>0</v>
      </c>
      <c r="BJ499" s="2934">
        <f t="shared" si="282"/>
        <v>0</v>
      </c>
      <c r="BK499" s="2934">
        <f t="shared" si="283"/>
        <v>0</v>
      </c>
      <c r="BL499" s="2934">
        <f t="shared" si="284"/>
        <v>0</v>
      </c>
      <c r="BM499" s="2934">
        <f t="shared" si="285"/>
        <v>0</v>
      </c>
      <c r="BN499" s="2934">
        <f t="shared" si="286"/>
        <v>0</v>
      </c>
      <c r="BO499" s="2934">
        <f t="shared" si="287"/>
        <v>0</v>
      </c>
      <c r="BP499" s="2934">
        <f t="shared" si="288"/>
        <v>0</v>
      </c>
      <c r="BQ499" s="2934">
        <f t="shared" si="289"/>
        <v>0</v>
      </c>
      <c r="BR499" s="2934">
        <f t="shared" si="290"/>
        <v>0</v>
      </c>
      <c r="BS499" s="2934">
        <f t="shared" si="291"/>
        <v>0</v>
      </c>
      <c r="BT499" s="2982">
        <f t="shared" si="292"/>
        <v>0</v>
      </c>
    </row>
    <row r="500" spans="1:72">
      <c r="A500" s="874"/>
      <c r="B500" s="882"/>
      <c r="C500" s="882"/>
      <c r="D500" s="2933"/>
      <c r="E500" s="2934">
        <f t="shared" si="293"/>
        <v>0</v>
      </c>
      <c r="F500" s="2935"/>
      <c r="G500" s="2936">
        <f t="shared" si="268"/>
        <v>0</v>
      </c>
      <c r="H500" s="2937">
        <f t="shared" si="269"/>
        <v>0</v>
      </c>
      <c r="I500" s="2944"/>
      <c r="J500" s="2944"/>
      <c r="K500" s="2944"/>
      <c r="L500" s="2944"/>
      <c r="M500" s="2944"/>
      <c r="N500" s="2944"/>
      <c r="O500" s="2944"/>
      <c r="P500" s="2944"/>
      <c r="Q500" s="2944"/>
      <c r="R500" s="2944"/>
      <c r="S500" s="2944"/>
      <c r="T500" s="2944"/>
      <c r="U500" s="2944"/>
      <c r="V500" s="2944"/>
      <c r="W500" s="2944"/>
      <c r="X500" s="2944"/>
      <c r="Y500" s="2944"/>
      <c r="Z500" s="2944"/>
      <c r="AA500" s="2944"/>
      <c r="AB500" s="2944"/>
      <c r="AC500" s="2934">
        <f t="shared" si="270"/>
        <v>0</v>
      </c>
      <c r="AD500" s="2954"/>
      <c r="AE500" s="2954"/>
      <c r="AF500" s="2954"/>
      <c r="AG500" s="2954"/>
      <c r="AH500" s="2954"/>
      <c r="AI500" s="2954"/>
      <c r="AJ500" s="2954"/>
      <c r="AK500" s="2954"/>
      <c r="AL500" s="2954"/>
      <c r="AM500" s="2954"/>
      <c r="AN500" s="2954"/>
      <c r="AO500" s="2954"/>
      <c r="AP500" s="2954"/>
      <c r="AQ500" s="2954"/>
      <c r="AR500" s="2954"/>
      <c r="AS500" s="2954"/>
      <c r="AT500" s="2935"/>
      <c r="AU500" s="2964"/>
      <c r="AV500" s="857">
        <f t="shared" si="294"/>
        <v>0</v>
      </c>
      <c r="AW500" s="857">
        <f t="shared" si="295"/>
        <v>0</v>
      </c>
      <c r="AX500" s="857">
        <f t="shared" si="296"/>
        <v>0</v>
      </c>
      <c r="AY500" s="807">
        <f t="shared" si="271"/>
        <v>0</v>
      </c>
      <c r="AZ500" s="2934">
        <f t="shared" si="272"/>
        <v>0</v>
      </c>
      <c r="BA500" s="2934">
        <f t="shared" si="273"/>
        <v>0</v>
      </c>
      <c r="BB500" s="2934">
        <f t="shared" si="274"/>
        <v>0</v>
      </c>
      <c r="BC500" s="2934">
        <f t="shared" si="275"/>
        <v>0</v>
      </c>
      <c r="BD500" s="2934">
        <f t="shared" si="276"/>
        <v>0</v>
      </c>
      <c r="BE500" s="2934">
        <f t="shared" si="277"/>
        <v>0</v>
      </c>
      <c r="BF500" s="2934">
        <f t="shared" si="278"/>
        <v>0</v>
      </c>
      <c r="BG500" s="2934">
        <f t="shared" si="279"/>
        <v>0</v>
      </c>
      <c r="BH500" s="2934">
        <f t="shared" si="280"/>
        <v>0</v>
      </c>
      <c r="BI500" s="2934">
        <f t="shared" si="281"/>
        <v>0</v>
      </c>
      <c r="BJ500" s="2934">
        <f t="shared" si="282"/>
        <v>0</v>
      </c>
      <c r="BK500" s="2934">
        <f t="shared" si="283"/>
        <v>0</v>
      </c>
      <c r="BL500" s="2934">
        <f t="shared" si="284"/>
        <v>0</v>
      </c>
      <c r="BM500" s="2934">
        <f t="shared" si="285"/>
        <v>0</v>
      </c>
      <c r="BN500" s="2934">
        <f t="shared" si="286"/>
        <v>0</v>
      </c>
      <c r="BO500" s="2934">
        <f t="shared" si="287"/>
        <v>0</v>
      </c>
      <c r="BP500" s="2934">
        <f t="shared" si="288"/>
        <v>0</v>
      </c>
      <c r="BQ500" s="2934">
        <f t="shared" si="289"/>
        <v>0</v>
      </c>
      <c r="BR500" s="2934">
        <f t="shared" si="290"/>
        <v>0</v>
      </c>
      <c r="BS500" s="2934">
        <f t="shared" si="291"/>
        <v>0</v>
      </c>
      <c r="BT500" s="2982">
        <f t="shared" si="292"/>
        <v>0</v>
      </c>
    </row>
    <row r="501" spans="1:72">
      <c r="A501" s="874"/>
      <c r="B501" s="882"/>
      <c r="C501" s="882"/>
      <c r="D501" s="2933"/>
      <c r="E501" s="2934">
        <f t="shared" si="293"/>
        <v>0</v>
      </c>
      <c r="F501" s="2935"/>
      <c r="G501" s="2936">
        <f t="shared" si="268"/>
        <v>0</v>
      </c>
      <c r="H501" s="2937">
        <f t="shared" si="269"/>
        <v>0</v>
      </c>
      <c r="I501" s="2944"/>
      <c r="J501" s="2944"/>
      <c r="K501" s="2944"/>
      <c r="L501" s="2944"/>
      <c r="M501" s="2944"/>
      <c r="N501" s="2944"/>
      <c r="O501" s="2944"/>
      <c r="P501" s="2944"/>
      <c r="Q501" s="2944"/>
      <c r="R501" s="2944"/>
      <c r="S501" s="2944"/>
      <c r="T501" s="2944"/>
      <c r="U501" s="2944"/>
      <c r="V501" s="2944"/>
      <c r="W501" s="2944"/>
      <c r="X501" s="2944"/>
      <c r="Y501" s="2944"/>
      <c r="Z501" s="2944"/>
      <c r="AA501" s="2944"/>
      <c r="AB501" s="2944"/>
      <c r="AC501" s="2934">
        <f t="shared" si="270"/>
        <v>0</v>
      </c>
      <c r="AD501" s="2954"/>
      <c r="AE501" s="2954"/>
      <c r="AF501" s="2954"/>
      <c r="AG501" s="2954"/>
      <c r="AH501" s="2954"/>
      <c r="AI501" s="2954"/>
      <c r="AJ501" s="2954"/>
      <c r="AK501" s="2954"/>
      <c r="AL501" s="2954"/>
      <c r="AM501" s="2954"/>
      <c r="AN501" s="2954"/>
      <c r="AO501" s="2954"/>
      <c r="AP501" s="2954"/>
      <c r="AQ501" s="2954"/>
      <c r="AR501" s="2954"/>
      <c r="AS501" s="2954"/>
      <c r="AT501" s="2935"/>
      <c r="AU501" s="2964"/>
      <c r="AV501" s="857">
        <f t="shared" si="294"/>
        <v>0</v>
      </c>
      <c r="AW501" s="857">
        <f t="shared" si="295"/>
        <v>0</v>
      </c>
      <c r="AX501" s="857">
        <f t="shared" si="296"/>
        <v>0</v>
      </c>
      <c r="AY501" s="807">
        <f t="shared" si="271"/>
        <v>0</v>
      </c>
      <c r="AZ501" s="2934">
        <f t="shared" si="272"/>
        <v>0</v>
      </c>
      <c r="BA501" s="2934">
        <f t="shared" si="273"/>
        <v>0</v>
      </c>
      <c r="BB501" s="2934">
        <f t="shared" si="274"/>
        <v>0</v>
      </c>
      <c r="BC501" s="2934">
        <f t="shared" si="275"/>
        <v>0</v>
      </c>
      <c r="BD501" s="2934">
        <f t="shared" si="276"/>
        <v>0</v>
      </c>
      <c r="BE501" s="2934">
        <f t="shared" si="277"/>
        <v>0</v>
      </c>
      <c r="BF501" s="2934">
        <f t="shared" si="278"/>
        <v>0</v>
      </c>
      <c r="BG501" s="2934">
        <f t="shared" si="279"/>
        <v>0</v>
      </c>
      <c r="BH501" s="2934">
        <f t="shared" si="280"/>
        <v>0</v>
      </c>
      <c r="BI501" s="2934">
        <f t="shared" si="281"/>
        <v>0</v>
      </c>
      <c r="BJ501" s="2934">
        <f t="shared" si="282"/>
        <v>0</v>
      </c>
      <c r="BK501" s="2934">
        <f t="shared" si="283"/>
        <v>0</v>
      </c>
      <c r="BL501" s="2934">
        <f t="shared" si="284"/>
        <v>0</v>
      </c>
      <c r="BM501" s="2934">
        <f t="shared" si="285"/>
        <v>0</v>
      </c>
      <c r="BN501" s="2934">
        <f t="shared" si="286"/>
        <v>0</v>
      </c>
      <c r="BO501" s="2934">
        <f t="shared" si="287"/>
        <v>0</v>
      </c>
      <c r="BP501" s="2934">
        <f t="shared" si="288"/>
        <v>0</v>
      </c>
      <c r="BQ501" s="2934">
        <f t="shared" si="289"/>
        <v>0</v>
      </c>
      <c r="BR501" s="2934">
        <f t="shared" si="290"/>
        <v>0</v>
      </c>
      <c r="BS501" s="2934">
        <f t="shared" si="291"/>
        <v>0</v>
      </c>
      <c r="BT501" s="2982">
        <f t="shared" si="292"/>
        <v>0</v>
      </c>
    </row>
    <row r="502" spans="1:72">
      <c r="A502" s="874"/>
      <c r="B502" s="882"/>
      <c r="C502" s="882"/>
      <c r="D502" s="2933"/>
      <c r="E502" s="2934">
        <f t="shared" si="293"/>
        <v>0</v>
      </c>
      <c r="F502" s="2935"/>
      <c r="G502" s="2936">
        <f t="shared" si="268"/>
        <v>0</v>
      </c>
      <c r="H502" s="2937">
        <f t="shared" si="269"/>
        <v>0</v>
      </c>
      <c r="I502" s="2944"/>
      <c r="J502" s="2944"/>
      <c r="K502" s="2944"/>
      <c r="L502" s="2944"/>
      <c r="M502" s="2944"/>
      <c r="N502" s="2944"/>
      <c r="O502" s="2944"/>
      <c r="P502" s="2944"/>
      <c r="Q502" s="2944"/>
      <c r="R502" s="2944"/>
      <c r="S502" s="2944"/>
      <c r="T502" s="2944"/>
      <c r="U502" s="2944"/>
      <c r="V502" s="2944"/>
      <c r="W502" s="2944"/>
      <c r="X502" s="2944"/>
      <c r="Y502" s="2944"/>
      <c r="Z502" s="2944"/>
      <c r="AA502" s="2944"/>
      <c r="AB502" s="2944"/>
      <c r="AC502" s="2934">
        <f t="shared" si="270"/>
        <v>0</v>
      </c>
      <c r="AD502" s="2954"/>
      <c r="AE502" s="2954"/>
      <c r="AF502" s="2954"/>
      <c r="AG502" s="2954"/>
      <c r="AH502" s="2954"/>
      <c r="AI502" s="2954"/>
      <c r="AJ502" s="2954"/>
      <c r="AK502" s="2954"/>
      <c r="AL502" s="2954"/>
      <c r="AM502" s="2954"/>
      <c r="AN502" s="2954"/>
      <c r="AO502" s="2954"/>
      <c r="AP502" s="2954"/>
      <c r="AQ502" s="2954"/>
      <c r="AR502" s="2954"/>
      <c r="AS502" s="2954"/>
      <c r="AT502" s="2935"/>
      <c r="AU502" s="2964"/>
      <c r="AV502" s="857">
        <f t="shared" si="294"/>
        <v>0</v>
      </c>
      <c r="AW502" s="857">
        <f t="shared" si="295"/>
        <v>0</v>
      </c>
      <c r="AX502" s="857">
        <f t="shared" si="296"/>
        <v>0</v>
      </c>
      <c r="AY502" s="807">
        <f t="shared" si="271"/>
        <v>0</v>
      </c>
      <c r="AZ502" s="2934">
        <f t="shared" si="272"/>
        <v>0</v>
      </c>
      <c r="BA502" s="2934">
        <f t="shared" si="273"/>
        <v>0</v>
      </c>
      <c r="BB502" s="2934">
        <f t="shared" si="274"/>
        <v>0</v>
      </c>
      <c r="BC502" s="2934">
        <f t="shared" si="275"/>
        <v>0</v>
      </c>
      <c r="BD502" s="2934">
        <f t="shared" si="276"/>
        <v>0</v>
      </c>
      <c r="BE502" s="2934">
        <f t="shared" si="277"/>
        <v>0</v>
      </c>
      <c r="BF502" s="2934">
        <f t="shared" si="278"/>
        <v>0</v>
      </c>
      <c r="BG502" s="2934">
        <f t="shared" si="279"/>
        <v>0</v>
      </c>
      <c r="BH502" s="2934">
        <f t="shared" si="280"/>
        <v>0</v>
      </c>
      <c r="BI502" s="2934">
        <f t="shared" si="281"/>
        <v>0</v>
      </c>
      <c r="BJ502" s="2934">
        <f t="shared" si="282"/>
        <v>0</v>
      </c>
      <c r="BK502" s="2934">
        <f t="shared" si="283"/>
        <v>0</v>
      </c>
      <c r="BL502" s="2934">
        <f t="shared" si="284"/>
        <v>0</v>
      </c>
      <c r="BM502" s="2934">
        <f t="shared" si="285"/>
        <v>0</v>
      </c>
      <c r="BN502" s="2934">
        <f t="shared" si="286"/>
        <v>0</v>
      </c>
      <c r="BO502" s="2934">
        <f t="shared" si="287"/>
        <v>0</v>
      </c>
      <c r="BP502" s="2934">
        <f t="shared" si="288"/>
        <v>0</v>
      </c>
      <c r="BQ502" s="2934">
        <f t="shared" si="289"/>
        <v>0</v>
      </c>
      <c r="BR502" s="2934">
        <f t="shared" si="290"/>
        <v>0</v>
      </c>
      <c r="BS502" s="2934">
        <f t="shared" si="291"/>
        <v>0</v>
      </c>
      <c r="BT502" s="2982">
        <f t="shared" si="292"/>
        <v>0</v>
      </c>
    </row>
    <row r="503" spans="1:72">
      <c r="A503" s="874"/>
      <c r="B503" s="882"/>
      <c r="C503" s="882"/>
      <c r="D503" s="2933"/>
      <c r="E503" s="2934">
        <f t="shared" si="293"/>
        <v>0</v>
      </c>
      <c r="F503" s="2935"/>
      <c r="G503" s="2936">
        <f t="shared" si="268"/>
        <v>0</v>
      </c>
      <c r="H503" s="2937">
        <f t="shared" si="269"/>
        <v>0</v>
      </c>
      <c r="I503" s="2944"/>
      <c r="J503" s="2944"/>
      <c r="K503" s="2944"/>
      <c r="L503" s="2944"/>
      <c r="M503" s="2944"/>
      <c r="N503" s="2944"/>
      <c r="O503" s="2944"/>
      <c r="P503" s="2944"/>
      <c r="Q503" s="2944"/>
      <c r="R503" s="2944"/>
      <c r="S503" s="2944"/>
      <c r="T503" s="2944"/>
      <c r="U503" s="2944"/>
      <c r="V503" s="2944"/>
      <c r="W503" s="2944"/>
      <c r="X503" s="2944"/>
      <c r="Y503" s="2944"/>
      <c r="Z503" s="2944"/>
      <c r="AA503" s="2944"/>
      <c r="AB503" s="2944"/>
      <c r="AC503" s="2934">
        <f t="shared" si="270"/>
        <v>0</v>
      </c>
      <c r="AD503" s="2954"/>
      <c r="AE503" s="2954"/>
      <c r="AF503" s="2954"/>
      <c r="AG503" s="2954"/>
      <c r="AH503" s="2954"/>
      <c r="AI503" s="2954"/>
      <c r="AJ503" s="2954"/>
      <c r="AK503" s="2954"/>
      <c r="AL503" s="2954"/>
      <c r="AM503" s="2954"/>
      <c r="AN503" s="2954"/>
      <c r="AO503" s="2954"/>
      <c r="AP503" s="2954"/>
      <c r="AQ503" s="2954"/>
      <c r="AR503" s="2954"/>
      <c r="AS503" s="2954"/>
      <c r="AT503" s="2935"/>
      <c r="AU503" s="2964"/>
      <c r="AV503" s="857">
        <f t="shared" si="294"/>
        <v>0</v>
      </c>
      <c r="AW503" s="857">
        <f t="shared" si="295"/>
        <v>0</v>
      </c>
      <c r="AX503" s="857">
        <f t="shared" si="296"/>
        <v>0</v>
      </c>
      <c r="AY503" s="807">
        <f t="shared" si="271"/>
        <v>0</v>
      </c>
      <c r="AZ503" s="2934">
        <f t="shared" si="272"/>
        <v>0</v>
      </c>
      <c r="BA503" s="2934">
        <f t="shared" si="273"/>
        <v>0</v>
      </c>
      <c r="BB503" s="2934">
        <f t="shared" si="274"/>
        <v>0</v>
      </c>
      <c r="BC503" s="2934">
        <f t="shared" si="275"/>
        <v>0</v>
      </c>
      <c r="BD503" s="2934">
        <f t="shared" si="276"/>
        <v>0</v>
      </c>
      <c r="BE503" s="2934">
        <f t="shared" si="277"/>
        <v>0</v>
      </c>
      <c r="BF503" s="2934">
        <f t="shared" si="278"/>
        <v>0</v>
      </c>
      <c r="BG503" s="2934">
        <f t="shared" si="279"/>
        <v>0</v>
      </c>
      <c r="BH503" s="2934">
        <f t="shared" si="280"/>
        <v>0</v>
      </c>
      <c r="BI503" s="2934">
        <f t="shared" si="281"/>
        <v>0</v>
      </c>
      <c r="BJ503" s="2934">
        <f t="shared" si="282"/>
        <v>0</v>
      </c>
      <c r="BK503" s="2934">
        <f t="shared" si="283"/>
        <v>0</v>
      </c>
      <c r="BL503" s="2934">
        <f t="shared" si="284"/>
        <v>0</v>
      </c>
      <c r="BM503" s="2934">
        <f t="shared" si="285"/>
        <v>0</v>
      </c>
      <c r="BN503" s="2934">
        <f t="shared" si="286"/>
        <v>0</v>
      </c>
      <c r="BO503" s="2934">
        <f t="shared" si="287"/>
        <v>0</v>
      </c>
      <c r="BP503" s="2934">
        <f t="shared" si="288"/>
        <v>0</v>
      </c>
      <c r="BQ503" s="2934">
        <f t="shared" si="289"/>
        <v>0</v>
      </c>
      <c r="BR503" s="2934">
        <f t="shared" si="290"/>
        <v>0</v>
      </c>
      <c r="BS503" s="2934">
        <f t="shared" si="291"/>
        <v>0</v>
      </c>
      <c r="BT503" s="2982">
        <f t="shared" si="292"/>
        <v>0</v>
      </c>
    </row>
    <row r="504" spans="1:72">
      <c r="A504" s="874"/>
      <c r="B504" s="882"/>
      <c r="C504" s="882"/>
      <c r="D504" s="2933"/>
      <c r="E504" s="2934">
        <f t="shared" si="293"/>
        <v>0</v>
      </c>
      <c r="F504" s="2935"/>
      <c r="G504" s="2936">
        <f t="shared" si="268"/>
        <v>0</v>
      </c>
      <c r="H504" s="2937">
        <f t="shared" si="269"/>
        <v>0</v>
      </c>
      <c r="I504" s="2944"/>
      <c r="J504" s="2944"/>
      <c r="K504" s="2944"/>
      <c r="L504" s="2944"/>
      <c r="M504" s="2944"/>
      <c r="N504" s="2944"/>
      <c r="O504" s="2944"/>
      <c r="P504" s="2944"/>
      <c r="Q504" s="2944"/>
      <c r="R504" s="2944"/>
      <c r="S504" s="2944"/>
      <c r="T504" s="2944"/>
      <c r="U504" s="2944"/>
      <c r="V504" s="2944"/>
      <c r="W504" s="2944"/>
      <c r="X504" s="2944"/>
      <c r="Y504" s="2944"/>
      <c r="Z504" s="2944"/>
      <c r="AA504" s="2944"/>
      <c r="AB504" s="2944"/>
      <c r="AC504" s="2934">
        <f t="shared" si="270"/>
        <v>0</v>
      </c>
      <c r="AD504" s="2954"/>
      <c r="AE504" s="2954"/>
      <c r="AF504" s="2954"/>
      <c r="AG504" s="2954"/>
      <c r="AH504" s="2954"/>
      <c r="AI504" s="2954"/>
      <c r="AJ504" s="2954"/>
      <c r="AK504" s="2954"/>
      <c r="AL504" s="2954"/>
      <c r="AM504" s="2954"/>
      <c r="AN504" s="2954"/>
      <c r="AO504" s="2954"/>
      <c r="AP504" s="2954"/>
      <c r="AQ504" s="2954"/>
      <c r="AR504" s="2954"/>
      <c r="AS504" s="2954"/>
      <c r="AT504" s="2935"/>
      <c r="AU504" s="2964"/>
      <c r="AV504" s="857">
        <f t="shared" si="294"/>
        <v>0</v>
      </c>
      <c r="AW504" s="857">
        <f t="shared" si="295"/>
        <v>0</v>
      </c>
      <c r="AX504" s="857">
        <f t="shared" si="296"/>
        <v>0</v>
      </c>
      <c r="AY504" s="807">
        <f t="shared" si="271"/>
        <v>0</v>
      </c>
      <c r="AZ504" s="2934">
        <f t="shared" si="272"/>
        <v>0</v>
      </c>
      <c r="BA504" s="2934">
        <f t="shared" si="273"/>
        <v>0</v>
      </c>
      <c r="BB504" s="2934">
        <f t="shared" si="274"/>
        <v>0</v>
      </c>
      <c r="BC504" s="2934">
        <f t="shared" si="275"/>
        <v>0</v>
      </c>
      <c r="BD504" s="2934">
        <f t="shared" si="276"/>
        <v>0</v>
      </c>
      <c r="BE504" s="2934">
        <f t="shared" si="277"/>
        <v>0</v>
      </c>
      <c r="BF504" s="2934">
        <f t="shared" si="278"/>
        <v>0</v>
      </c>
      <c r="BG504" s="2934">
        <f t="shared" si="279"/>
        <v>0</v>
      </c>
      <c r="BH504" s="2934">
        <f t="shared" si="280"/>
        <v>0</v>
      </c>
      <c r="BI504" s="2934">
        <f t="shared" si="281"/>
        <v>0</v>
      </c>
      <c r="BJ504" s="2934">
        <f t="shared" si="282"/>
        <v>0</v>
      </c>
      <c r="BK504" s="2934">
        <f t="shared" si="283"/>
        <v>0</v>
      </c>
      <c r="BL504" s="2934">
        <f t="shared" si="284"/>
        <v>0</v>
      </c>
      <c r="BM504" s="2934">
        <f t="shared" si="285"/>
        <v>0</v>
      </c>
      <c r="BN504" s="2934">
        <f t="shared" si="286"/>
        <v>0</v>
      </c>
      <c r="BO504" s="2934">
        <f t="shared" si="287"/>
        <v>0</v>
      </c>
      <c r="BP504" s="2934">
        <f t="shared" si="288"/>
        <v>0</v>
      </c>
      <c r="BQ504" s="2934">
        <f t="shared" si="289"/>
        <v>0</v>
      </c>
      <c r="BR504" s="2934">
        <f t="shared" si="290"/>
        <v>0</v>
      </c>
      <c r="BS504" s="2934">
        <f t="shared" si="291"/>
        <v>0</v>
      </c>
      <c r="BT504" s="2982">
        <f t="shared" si="292"/>
        <v>0</v>
      </c>
    </row>
    <row r="505" spans="1:72">
      <c r="A505" s="874"/>
      <c r="B505" s="882"/>
      <c r="C505" s="882"/>
      <c r="D505" s="2933"/>
      <c r="E505" s="2934">
        <f t="shared" si="293"/>
        <v>0</v>
      </c>
      <c r="F505" s="2935"/>
      <c r="G505" s="2936">
        <f t="shared" si="268"/>
        <v>0</v>
      </c>
      <c r="H505" s="2937">
        <f t="shared" si="269"/>
        <v>0</v>
      </c>
      <c r="I505" s="2944"/>
      <c r="J505" s="2944"/>
      <c r="K505" s="2944"/>
      <c r="L505" s="2944"/>
      <c r="M505" s="2944"/>
      <c r="N505" s="2944"/>
      <c r="O505" s="2944"/>
      <c r="P505" s="2944"/>
      <c r="Q505" s="2944"/>
      <c r="R505" s="2944"/>
      <c r="S505" s="2944"/>
      <c r="T505" s="2944"/>
      <c r="U505" s="2944"/>
      <c r="V505" s="2944"/>
      <c r="W505" s="2944"/>
      <c r="X505" s="2944"/>
      <c r="Y505" s="2944"/>
      <c r="Z505" s="2944"/>
      <c r="AA505" s="2944"/>
      <c r="AB505" s="2944"/>
      <c r="AC505" s="2934">
        <f t="shared" si="270"/>
        <v>0</v>
      </c>
      <c r="AD505" s="2954"/>
      <c r="AE505" s="2954"/>
      <c r="AF505" s="2954"/>
      <c r="AG505" s="2954"/>
      <c r="AH505" s="2954"/>
      <c r="AI505" s="2954"/>
      <c r="AJ505" s="2954"/>
      <c r="AK505" s="2954"/>
      <c r="AL505" s="2954"/>
      <c r="AM505" s="2954"/>
      <c r="AN505" s="2954"/>
      <c r="AO505" s="2954"/>
      <c r="AP505" s="2954"/>
      <c r="AQ505" s="2954"/>
      <c r="AR505" s="2954"/>
      <c r="AS505" s="2954"/>
      <c r="AT505" s="2935"/>
      <c r="AU505" s="2964"/>
      <c r="AV505" s="857">
        <f t="shared" si="294"/>
        <v>0</v>
      </c>
      <c r="AW505" s="857">
        <f t="shared" si="295"/>
        <v>0</v>
      </c>
      <c r="AX505" s="857">
        <f t="shared" si="296"/>
        <v>0</v>
      </c>
      <c r="AY505" s="807">
        <f t="shared" si="271"/>
        <v>0</v>
      </c>
      <c r="AZ505" s="2934">
        <f t="shared" si="272"/>
        <v>0</v>
      </c>
      <c r="BA505" s="2934">
        <f t="shared" si="273"/>
        <v>0</v>
      </c>
      <c r="BB505" s="2934">
        <f t="shared" si="274"/>
        <v>0</v>
      </c>
      <c r="BC505" s="2934">
        <f t="shared" si="275"/>
        <v>0</v>
      </c>
      <c r="BD505" s="2934">
        <f t="shared" si="276"/>
        <v>0</v>
      </c>
      <c r="BE505" s="2934">
        <f t="shared" si="277"/>
        <v>0</v>
      </c>
      <c r="BF505" s="2934">
        <f t="shared" si="278"/>
        <v>0</v>
      </c>
      <c r="BG505" s="2934">
        <f t="shared" si="279"/>
        <v>0</v>
      </c>
      <c r="BH505" s="2934">
        <f t="shared" si="280"/>
        <v>0</v>
      </c>
      <c r="BI505" s="2934">
        <f t="shared" si="281"/>
        <v>0</v>
      </c>
      <c r="BJ505" s="2934">
        <f t="shared" si="282"/>
        <v>0</v>
      </c>
      <c r="BK505" s="2934">
        <f t="shared" si="283"/>
        <v>0</v>
      </c>
      <c r="BL505" s="2934">
        <f t="shared" si="284"/>
        <v>0</v>
      </c>
      <c r="BM505" s="2934">
        <f t="shared" si="285"/>
        <v>0</v>
      </c>
      <c r="BN505" s="2934">
        <f t="shared" si="286"/>
        <v>0</v>
      </c>
      <c r="BO505" s="2934">
        <f t="shared" si="287"/>
        <v>0</v>
      </c>
      <c r="BP505" s="2934">
        <f t="shared" si="288"/>
        <v>0</v>
      </c>
      <c r="BQ505" s="2934">
        <f t="shared" si="289"/>
        <v>0</v>
      </c>
      <c r="BR505" s="2934">
        <f t="shared" si="290"/>
        <v>0</v>
      </c>
      <c r="BS505" s="2934">
        <f t="shared" si="291"/>
        <v>0</v>
      </c>
      <c r="BT505" s="2982">
        <f t="shared" si="292"/>
        <v>0</v>
      </c>
    </row>
    <row r="506" spans="1:72">
      <c r="A506" s="874"/>
      <c r="B506" s="882"/>
      <c r="C506" s="882"/>
      <c r="D506" s="2933"/>
      <c r="E506" s="2934">
        <f t="shared" si="293"/>
        <v>0</v>
      </c>
      <c r="F506" s="2935"/>
      <c r="G506" s="2936">
        <f t="shared" si="268"/>
        <v>0</v>
      </c>
      <c r="H506" s="2937">
        <f t="shared" si="269"/>
        <v>0</v>
      </c>
      <c r="I506" s="2944"/>
      <c r="J506" s="2944"/>
      <c r="K506" s="2944"/>
      <c r="L506" s="2944"/>
      <c r="M506" s="2944"/>
      <c r="N506" s="2944"/>
      <c r="O506" s="2944"/>
      <c r="P506" s="2944"/>
      <c r="Q506" s="2944"/>
      <c r="R506" s="2944"/>
      <c r="S506" s="2944"/>
      <c r="T506" s="2944"/>
      <c r="U506" s="2944"/>
      <c r="V506" s="2944"/>
      <c r="W506" s="2944"/>
      <c r="X506" s="2944"/>
      <c r="Y506" s="2944"/>
      <c r="Z506" s="2944"/>
      <c r="AA506" s="2944"/>
      <c r="AB506" s="2944"/>
      <c r="AC506" s="2934">
        <f t="shared" si="270"/>
        <v>0</v>
      </c>
      <c r="AD506" s="2954"/>
      <c r="AE506" s="2954"/>
      <c r="AF506" s="2954"/>
      <c r="AG506" s="2954"/>
      <c r="AH506" s="2954"/>
      <c r="AI506" s="2954"/>
      <c r="AJ506" s="2954"/>
      <c r="AK506" s="2954"/>
      <c r="AL506" s="2954"/>
      <c r="AM506" s="2954"/>
      <c r="AN506" s="2954"/>
      <c r="AO506" s="2954"/>
      <c r="AP506" s="2954"/>
      <c r="AQ506" s="2954"/>
      <c r="AR506" s="2954"/>
      <c r="AS506" s="2954"/>
      <c r="AT506" s="2935"/>
      <c r="AU506" s="2964"/>
      <c r="AV506" s="857">
        <f t="shared" si="294"/>
        <v>0</v>
      </c>
      <c r="AW506" s="857">
        <f t="shared" si="295"/>
        <v>0</v>
      </c>
      <c r="AX506" s="857">
        <f t="shared" si="296"/>
        <v>0</v>
      </c>
      <c r="AY506" s="807">
        <f t="shared" si="271"/>
        <v>0</v>
      </c>
      <c r="AZ506" s="2934">
        <f t="shared" si="272"/>
        <v>0</v>
      </c>
      <c r="BA506" s="2934">
        <f t="shared" si="273"/>
        <v>0</v>
      </c>
      <c r="BB506" s="2934">
        <f t="shared" si="274"/>
        <v>0</v>
      </c>
      <c r="BC506" s="2934">
        <f t="shared" si="275"/>
        <v>0</v>
      </c>
      <c r="BD506" s="2934">
        <f t="shared" si="276"/>
        <v>0</v>
      </c>
      <c r="BE506" s="2934">
        <f t="shared" si="277"/>
        <v>0</v>
      </c>
      <c r="BF506" s="2934">
        <f t="shared" si="278"/>
        <v>0</v>
      </c>
      <c r="BG506" s="2934">
        <f t="shared" si="279"/>
        <v>0</v>
      </c>
      <c r="BH506" s="2934">
        <f t="shared" si="280"/>
        <v>0</v>
      </c>
      <c r="BI506" s="2934">
        <f t="shared" si="281"/>
        <v>0</v>
      </c>
      <c r="BJ506" s="2934">
        <f t="shared" si="282"/>
        <v>0</v>
      </c>
      <c r="BK506" s="2934">
        <f t="shared" si="283"/>
        <v>0</v>
      </c>
      <c r="BL506" s="2934">
        <f t="shared" si="284"/>
        <v>0</v>
      </c>
      <c r="BM506" s="2934">
        <f t="shared" si="285"/>
        <v>0</v>
      </c>
      <c r="BN506" s="2934">
        <f t="shared" si="286"/>
        <v>0</v>
      </c>
      <c r="BO506" s="2934">
        <f t="shared" si="287"/>
        <v>0</v>
      </c>
      <c r="BP506" s="2934">
        <f t="shared" si="288"/>
        <v>0</v>
      </c>
      <c r="BQ506" s="2934">
        <f t="shared" si="289"/>
        <v>0</v>
      </c>
      <c r="BR506" s="2934">
        <f t="shared" si="290"/>
        <v>0</v>
      </c>
      <c r="BS506" s="2934">
        <f t="shared" si="291"/>
        <v>0</v>
      </c>
      <c r="BT506" s="2982">
        <f t="shared" si="292"/>
        <v>0</v>
      </c>
    </row>
    <row r="507" spans="1:72">
      <c r="A507" s="874"/>
      <c r="B507" s="882"/>
      <c r="C507" s="882"/>
      <c r="D507" s="2933"/>
      <c r="E507" s="2934">
        <f t="shared" si="293"/>
        <v>0</v>
      </c>
      <c r="F507" s="2935"/>
      <c r="G507" s="2936">
        <f t="shared" si="268"/>
        <v>0</v>
      </c>
      <c r="H507" s="2937">
        <f t="shared" si="269"/>
        <v>0</v>
      </c>
      <c r="I507" s="2944"/>
      <c r="J507" s="2944"/>
      <c r="K507" s="2944"/>
      <c r="L507" s="2944"/>
      <c r="M507" s="2944"/>
      <c r="N507" s="2944"/>
      <c r="O507" s="2944"/>
      <c r="P507" s="2944"/>
      <c r="Q507" s="2944"/>
      <c r="R507" s="2944"/>
      <c r="S507" s="2944"/>
      <c r="T507" s="2944"/>
      <c r="U507" s="2944"/>
      <c r="V507" s="2944"/>
      <c r="W507" s="2944"/>
      <c r="X507" s="2944"/>
      <c r="Y507" s="2944"/>
      <c r="Z507" s="2944"/>
      <c r="AA507" s="2944"/>
      <c r="AB507" s="2944"/>
      <c r="AC507" s="2934">
        <f t="shared" si="270"/>
        <v>0</v>
      </c>
      <c r="AD507" s="2954"/>
      <c r="AE507" s="2954"/>
      <c r="AF507" s="2954"/>
      <c r="AG507" s="2954"/>
      <c r="AH507" s="2954"/>
      <c r="AI507" s="2954"/>
      <c r="AJ507" s="2954"/>
      <c r="AK507" s="2954"/>
      <c r="AL507" s="2954"/>
      <c r="AM507" s="2954"/>
      <c r="AN507" s="2954"/>
      <c r="AO507" s="2954"/>
      <c r="AP507" s="2954"/>
      <c r="AQ507" s="2954"/>
      <c r="AR507" s="2954"/>
      <c r="AS507" s="2954"/>
      <c r="AT507" s="2935"/>
      <c r="AU507" s="2964"/>
      <c r="AV507" s="857">
        <f t="shared" si="294"/>
        <v>0</v>
      </c>
      <c r="AW507" s="857">
        <f t="shared" si="295"/>
        <v>0</v>
      </c>
      <c r="AX507" s="857">
        <f t="shared" si="296"/>
        <v>0</v>
      </c>
      <c r="AY507" s="807">
        <f t="shared" si="271"/>
        <v>0</v>
      </c>
      <c r="AZ507" s="2934">
        <f t="shared" si="272"/>
        <v>0</v>
      </c>
      <c r="BA507" s="2934">
        <f t="shared" si="273"/>
        <v>0</v>
      </c>
      <c r="BB507" s="2934">
        <f t="shared" si="274"/>
        <v>0</v>
      </c>
      <c r="BC507" s="2934">
        <f t="shared" si="275"/>
        <v>0</v>
      </c>
      <c r="BD507" s="2934">
        <f t="shared" si="276"/>
        <v>0</v>
      </c>
      <c r="BE507" s="2934">
        <f t="shared" si="277"/>
        <v>0</v>
      </c>
      <c r="BF507" s="2934">
        <f t="shared" si="278"/>
        <v>0</v>
      </c>
      <c r="BG507" s="2934">
        <f t="shared" si="279"/>
        <v>0</v>
      </c>
      <c r="BH507" s="2934">
        <f t="shared" si="280"/>
        <v>0</v>
      </c>
      <c r="BI507" s="2934">
        <f t="shared" si="281"/>
        <v>0</v>
      </c>
      <c r="BJ507" s="2934">
        <f t="shared" si="282"/>
        <v>0</v>
      </c>
      <c r="BK507" s="2934">
        <f t="shared" si="283"/>
        <v>0</v>
      </c>
      <c r="BL507" s="2934">
        <f t="shared" si="284"/>
        <v>0</v>
      </c>
      <c r="BM507" s="2934">
        <f t="shared" si="285"/>
        <v>0</v>
      </c>
      <c r="BN507" s="2934">
        <f t="shared" si="286"/>
        <v>0</v>
      </c>
      <c r="BO507" s="2934">
        <f t="shared" si="287"/>
        <v>0</v>
      </c>
      <c r="BP507" s="2934">
        <f t="shared" si="288"/>
        <v>0</v>
      </c>
      <c r="BQ507" s="2934">
        <f t="shared" si="289"/>
        <v>0</v>
      </c>
      <c r="BR507" s="2934">
        <f t="shared" si="290"/>
        <v>0</v>
      </c>
      <c r="BS507" s="2934">
        <f t="shared" si="291"/>
        <v>0</v>
      </c>
      <c r="BT507" s="2982">
        <f t="shared" si="292"/>
        <v>0</v>
      </c>
    </row>
    <row r="508" spans="1:72">
      <c r="A508" s="874"/>
      <c r="B508" s="882"/>
      <c r="C508" s="882"/>
      <c r="D508" s="2933"/>
      <c r="E508" s="2934">
        <f t="shared" si="293"/>
        <v>0</v>
      </c>
      <c r="F508" s="2935"/>
      <c r="G508" s="2936">
        <f t="shared" si="268"/>
        <v>0</v>
      </c>
      <c r="H508" s="2937">
        <f t="shared" si="269"/>
        <v>0</v>
      </c>
      <c r="I508" s="2944"/>
      <c r="J508" s="2944"/>
      <c r="K508" s="2944"/>
      <c r="L508" s="2944"/>
      <c r="M508" s="2944"/>
      <c r="N508" s="2944"/>
      <c r="O508" s="2944"/>
      <c r="P508" s="2944"/>
      <c r="Q508" s="2944"/>
      <c r="R508" s="2944"/>
      <c r="S508" s="2944"/>
      <c r="T508" s="2944"/>
      <c r="U508" s="2944"/>
      <c r="V508" s="2944"/>
      <c r="W508" s="2944"/>
      <c r="X508" s="2944"/>
      <c r="Y508" s="2944"/>
      <c r="Z508" s="2944"/>
      <c r="AA508" s="2944"/>
      <c r="AB508" s="2944"/>
      <c r="AC508" s="2934">
        <f t="shared" si="270"/>
        <v>0</v>
      </c>
      <c r="AD508" s="2954"/>
      <c r="AE508" s="2954"/>
      <c r="AF508" s="2954"/>
      <c r="AG508" s="2954"/>
      <c r="AH508" s="2954"/>
      <c r="AI508" s="2954"/>
      <c r="AJ508" s="2954"/>
      <c r="AK508" s="2954"/>
      <c r="AL508" s="2954"/>
      <c r="AM508" s="2954"/>
      <c r="AN508" s="2954"/>
      <c r="AO508" s="2954"/>
      <c r="AP508" s="2954"/>
      <c r="AQ508" s="2954"/>
      <c r="AR508" s="2954"/>
      <c r="AS508" s="2954"/>
      <c r="AT508" s="2935"/>
      <c r="AU508" s="2964"/>
      <c r="AV508" s="857">
        <f t="shared" si="294"/>
        <v>0</v>
      </c>
      <c r="AW508" s="857">
        <f t="shared" si="295"/>
        <v>0</v>
      </c>
      <c r="AX508" s="857">
        <f t="shared" si="296"/>
        <v>0</v>
      </c>
      <c r="AY508" s="807">
        <f t="shared" si="271"/>
        <v>0</v>
      </c>
      <c r="AZ508" s="2934">
        <f t="shared" si="272"/>
        <v>0</v>
      </c>
      <c r="BA508" s="2934">
        <f t="shared" si="273"/>
        <v>0</v>
      </c>
      <c r="BB508" s="2934">
        <f t="shared" si="274"/>
        <v>0</v>
      </c>
      <c r="BC508" s="2934">
        <f t="shared" si="275"/>
        <v>0</v>
      </c>
      <c r="BD508" s="2934">
        <f t="shared" si="276"/>
        <v>0</v>
      </c>
      <c r="BE508" s="2934">
        <f t="shared" si="277"/>
        <v>0</v>
      </c>
      <c r="BF508" s="2934">
        <f t="shared" si="278"/>
        <v>0</v>
      </c>
      <c r="BG508" s="2934">
        <f t="shared" si="279"/>
        <v>0</v>
      </c>
      <c r="BH508" s="2934">
        <f t="shared" si="280"/>
        <v>0</v>
      </c>
      <c r="BI508" s="2934">
        <f t="shared" si="281"/>
        <v>0</v>
      </c>
      <c r="BJ508" s="2934">
        <f t="shared" si="282"/>
        <v>0</v>
      </c>
      <c r="BK508" s="2934">
        <f t="shared" si="283"/>
        <v>0</v>
      </c>
      <c r="BL508" s="2934">
        <f t="shared" si="284"/>
        <v>0</v>
      </c>
      <c r="BM508" s="2934">
        <f t="shared" si="285"/>
        <v>0</v>
      </c>
      <c r="BN508" s="2934">
        <f t="shared" si="286"/>
        <v>0</v>
      </c>
      <c r="BO508" s="2934">
        <f t="shared" si="287"/>
        <v>0</v>
      </c>
      <c r="BP508" s="2934">
        <f t="shared" si="288"/>
        <v>0</v>
      </c>
      <c r="BQ508" s="2934">
        <f t="shared" si="289"/>
        <v>0</v>
      </c>
      <c r="BR508" s="2934">
        <f t="shared" si="290"/>
        <v>0</v>
      </c>
      <c r="BS508" s="2934">
        <f t="shared" si="291"/>
        <v>0</v>
      </c>
      <c r="BT508" s="2982">
        <f t="shared" si="292"/>
        <v>0</v>
      </c>
    </row>
    <row r="509" spans="1:72">
      <c r="A509" s="874"/>
      <c r="B509" s="882"/>
      <c r="C509" s="882"/>
      <c r="D509" s="2933"/>
      <c r="E509" s="2934">
        <f t="shared" si="293"/>
        <v>0</v>
      </c>
      <c r="F509" s="2935"/>
      <c r="G509" s="2936">
        <f t="shared" si="268"/>
        <v>0</v>
      </c>
      <c r="H509" s="2937">
        <f t="shared" si="269"/>
        <v>0</v>
      </c>
      <c r="I509" s="2944"/>
      <c r="J509" s="2944"/>
      <c r="K509" s="2944"/>
      <c r="L509" s="2944"/>
      <c r="M509" s="2944"/>
      <c r="N509" s="2944"/>
      <c r="O509" s="2944"/>
      <c r="P509" s="2944"/>
      <c r="Q509" s="2944"/>
      <c r="R509" s="2944"/>
      <c r="S509" s="2944"/>
      <c r="T509" s="2944"/>
      <c r="U509" s="2944"/>
      <c r="V509" s="2944"/>
      <c r="W509" s="2944"/>
      <c r="X509" s="2944"/>
      <c r="Y509" s="2944"/>
      <c r="Z509" s="2944"/>
      <c r="AA509" s="2944"/>
      <c r="AB509" s="2944"/>
      <c r="AC509" s="2934">
        <f t="shared" si="270"/>
        <v>0</v>
      </c>
      <c r="AD509" s="2954"/>
      <c r="AE509" s="2954"/>
      <c r="AF509" s="2954"/>
      <c r="AG509" s="2954"/>
      <c r="AH509" s="2954"/>
      <c r="AI509" s="2954"/>
      <c r="AJ509" s="2954"/>
      <c r="AK509" s="2954"/>
      <c r="AL509" s="2954"/>
      <c r="AM509" s="2954"/>
      <c r="AN509" s="2954"/>
      <c r="AO509" s="2954"/>
      <c r="AP509" s="2954"/>
      <c r="AQ509" s="2954"/>
      <c r="AR509" s="2954"/>
      <c r="AS509" s="2954"/>
      <c r="AT509" s="2935"/>
      <c r="AU509" s="2964"/>
      <c r="AV509" s="857">
        <f t="shared" si="294"/>
        <v>0</v>
      </c>
      <c r="AW509" s="857">
        <f t="shared" si="295"/>
        <v>0</v>
      </c>
      <c r="AX509" s="857">
        <f t="shared" si="296"/>
        <v>0</v>
      </c>
      <c r="AY509" s="807">
        <f t="shared" si="271"/>
        <v>0</v>
      </c>
      <c r="AZ509" s="2934">
        <f t="shared" si="272"/>
        <v>0</v>
      </c>
      <c r="BA509" s="2934">
        <f t="shared" si="273"/>
        <v>0</v>
      </c>
      <c r="BB509" s="2934">
        <f t="shared" si="274"/>
        <v>0</v>
      </c>
      <c r="BC509" s="2934">
        <f t="shared" si="275"/>
        <v>0</v>
      </c>
      <c r="BD509" s="2934">
        <f t="shared" si="276"/>
        <v>0</v>
      </c>
      <c r="BE509" s="2934">
        <f t="shared" si="277"/>
        <v>0</v>
      </c>
      <c r="BF509" s="2934">
        <f t="shared" si="278"/>
        <v>0</v>
      </c>
      <c r="BG509" s="2934">
        <f t="shared" si="279"/>
        <v>0</v>
      </c>
      <c r="BH509" s="2934">
        <f t="shared" si="280"/>
        <v>0</v>
      </c>
      <c r="BI509" s="2934">
        <f t="shared" si="281"/>
        <v>0</v>
      </c>
      <c r="BJ509" s="2934">
        <f t="shared" si="282"/>
        <v>0</v>
      </c>
      <c r="BK509" s="2934">
        <f t="shared" si="283"/>
        <v>0</v>
      </c>
      <c r="BL509" s="2934">
        <f t="shared" si="284"/>
        <v>0</v>
      </c>
      <c r="BM509" s="2934">
        <f t="shared" si="285"/>
        <v>0</v>
      </c>
      <c r="BN509" s="2934">
        <f t="shared" si="286"/>
        <v>0</v>
      </c>
      <c r="BO509" s="2934">
        <f t="shared" si="287"/>
        <v>0</v>
      </c>
      <c r="BP509" s="2934">
        <f t="shared" si="288"/>
        <v>0</v>
      </c>
      <c r="BQ509" s="2934">
        <f t="shared" si="289"/>
        <v>0</v>
      </c>
      <c r="BR509" s="2934">
        <f t="shared" si="290"/>
        <v>0</v>
      </c>
      <c r="BS509" s="2934">
        <f t="shared" si="291"/>
        <v>0</v>
      </c>
      <c r="BT509" s="2982">
        <f t="shared" si="292"/>
        <v>0</v>
      </c>
    </row>
    <row r="510" spans="1:72">
      <c r="A510" s="874"/>
      <c r="B510" s="882"/>
      <c r="C510" s="882"/>
      <c r="D510" s="2933"/>
      <c r="E510" s="2934">
        <f t="shared" si="293"/>
        <v>0</v>
      </c>
      <c r="F510" s="2935"/>
      <c r="G510" s="2936">
        <f t="shared" si="268"/>
        <v>0</v>
      </c>
      <c r="H510" s="2937">
        <f t="shared" si="269"/>
        <v>0</v>
      </c>
      <c r="I510" s="2944"/>
      <c r="J510" s="2944"/>
      <c r="K510" s="2944"/>
      <c r="L510" s="2944"/>
      <c r="M510" s="2944"/>
      <c r="N510" s="2944"/>
      <c r="O510" s="2944"/>
      <c r="P510" s="2944"/>
      <c r="Q510" s="2944"/>
      <c r="R510" s="2944"/>
      <c r="S510" s="2944"/>
      <c r="T510" s="2944"/>
      <c r="U510" s="2944"/>
      <c r="V510" s="2944"/>
      <c r="W510" s="2944"/>
      <c r="X510" s="2944"/>
      <c r="Y510" s="2944"/>
      <c r="Z510" s="2944"/>
      <c r="AA510" s="2944"/>
      <c r="AB510" s="2944"/>
      <c r="AC510" s="2934">
        <f t="shared" si="270"/>
        <v>0</v>
      </c>
      <c r="AD510" s="2954"/>
      <c r="AE510" s="2954"/>
      <c r="AF510" s="2954"/>
      <c r="AG510" s="2954"/>
      <c r="AH510" s="2954"/>
      <c r="AI510" s="2954"/>
      <c r="AJ510" s="2954"/>
      <c r="AK510" s="2954"/>
      <c r="AL510" s="2954"/>
      <c r="AM510" s="2954"/>
      <c r="AN510" s="2954"/>
      <c r="AO510" s="2954"/>
      <c r="AP510" s="2954"/>
      <c r="AQ510" s="2954"/>
      <c r="AR510" s="2954"/>
      <c r="AS510" s="2954"/>
      <c r="AT510" s="2935"/>
      <c r="AU510" s="2964"/>
      <c r="AV510" s="857">
        <f t="shared" si="294"/>
        <v>0</v>
      </c>
      <c r="AW510" s="857">
        <f t="shared" si="295"/>
        <v>0</v>
      </c>
      <c r="AX510" s="857">
        <f t="shared" si="296"/>
        <v>0</v>
      </c>
      <c r="AY510" s="807">
        <f t="shared" si="271"/>
        <v>0</v>
      </c>
      <c r="AZ510" s="2934">
        <f t="shared" si="272"/>
        <v>0</v>
      </c>
      <c r="BA510" s="2934">
        <f t="shared" si="273"/>
        <v>0</v>
      </c>
      <c r="BB510" s="2934">
        <f t="shared" si="274"/>
        <v>0</v>
      </c>
      <c r="BC510" s="2934">
        <f t="shared" si="275"/>
        <v>0</v>
      </c>
      <c r="BD510" s="2934">
        <f t="shared" si="276"/>
        <v>0</v>
      </c>
      <c r="BE510" s="2934">
        <f t="shared" si="277"/>
        <v>0</v>
      </c>
      <c r="BF510" s="2934">
        <f t="shared" si="278"/>
        <v>0</v>
      </c>
      <c r="BG510" s="2934">
        <f t="shared" si="279"/>
        <v>0</v>
      </c>
      <c r="BH510" s="2934">
        <f t="shared" si="280"/>
        <v>0</v>
      </c>
      <c r="BI510" s="2934">
        <f t="shared" si="281"/>
        <v>0</v>
      </c>
      <c r="BJ510" s="2934">
        <f t="shared" si="282"/>
        <v>0</v>
      </c>
      <c r="BK510" s="2934">
        <f t="shared" si="283"/>
        <v>0</v>
      </c>
      <c r="BL510" s="2934">
        <f t="shared" si="284"/>
        <v>0</v>
      </c>
      <c r="BM510" s="2934">
        <f t="shared" si="285"/>
        <v>0</v>
      </c>
      <c r="BN510" s="2934">
        <f t="shared" si="286"/>
        <v>0</v>
      </c>
      <c r="BO510" s="2934">
        <f t="shared" si="287"/>
        <v>0</v>
      </c>
      <c r="BP510" s="2934">
        <f t="shared" si="288"/>
        <v>0</v>
      </c>
      <c r="BQ510" s="2934">
        <f t="shared" si="289"/>
        <v>0</v>
      </c>
      <c r="BR510" s="2934">
        <f t="shared" si="290"/>
        <v>0</v>
      </c>
      <c r="BS510" s="2934">
        <f t="shared" si="291"/>
        <v>0</v>
      </c>
      <c r="BT510" s="2982">
        <f t="shared" si="292"/>
        <v>0</v>
      </c>
    </row>
    <row r="511" spans="1:72">
      <c r="A511" s="874"/>
      <c r="B511" s="882"/>
      <c r="C511" s="882"/>
      <c r="D511" s="2933"/>
      <c r="E511" s="2934">
        <f t="shared" si="293"/>
        <v>0</v>
      </c>
      <c r="F511" s="2935"/>
      <c r="G511" s="2936">
        <f t="shared" si="268"/>
        <v>0</v>
      </c>
      <c r="H511" s="2937">
        <f t="shared" si="269"/>
        <v>0</v>
      </c>
      <c r="I511" s="2944"/>
      <c r="J511" s="2944"/>
      <c r="K511" s="2944"/>
      <c r="L511" s="2944"/>
      <c r="M511" s="2944"/>
      <c r="N511" s="2944"/>
      <c r="O511" s="2944"/>
      <c r="P511" s="2944"/>
      <c r="Q511" s="2944"/>
      <c r="R511" s="2944"/>
      <c r="S511" s="2944"/>
      <c r="T511" s="2944"/>
      <c r="U511" s="2944"/>
      <c r="V511" s="2944"/>
      <c r="W511" s="2944"/>
      <c r="X511" s="2944"/>
      <c r="Y511" s="2944"/>
      <c r="Z511" s="2944"/>
      <c r="AA511" s="2944"/>
      <c r="AB511" s="2944"/>
      <c r="AC511" s="2934">
        <f t="shared" si="270"/>
        <v>0</v>
      </c>
      <c r="AD511" s="2954"/>
      <c r="AE511" s="2954"/>
      <c r="AF511" s="2954"/>
      <c r="AG511" s="2954"/>
      <c r="AH511" s="2954"/>
      <c r="AI511" s="2954"/>
      <c r="AJ511" s="2954"/>
      <c r="AK511" s="2954"/>
      <c r="AL511" s="2954"/>
      <c r="AM511" s="2954"/>
      <c r="AN511" s="2954"/>
      <c r="AO511" s="2954"/>
      <c r="AP511" s="2954"/>
      <c r="AQ511" s="2954"/>
      <c r="AR511" s="2954"/>
      <c r="AS511" s="2954"/>
      <c r="AT511" s="2935"/>
      <c r="AU511" s="2964"/>
      <c r="AV511" s="857">
        <f t="shared" si="294"/>
        <v>0</v>
      </c>
      <c r="AW511" s="857">
        <f t="shared" si="295"/>
        <v>0</v>
      </c>
      <c r="AX511" s="857">
        <f t="shared" si="296"/>
        <v>0</v>
      </c>
      <c r="AY511" s="807">
        <f t="shared" si="271"/>
        <v>0</v>
      </c>
      <c r="AZ511" s="2934">
        <f t="shared" si="272"/>
        <v>0</v>
      </c>
      <c r="BA511" s="2934">
        <f t="shared" si="273"/>
        <v>0</v>
      </c>
      <c r="BB511" s="2934">
        <f t="shared" si="274"/>
        <v>0</v>
      </c>
      <c r="BC511" s="2934">
        <f t="shared" si="275"/>
        <v>0</v>
      </c>
      <c r="BD511" s="2934">
        <f t="shared" si="276"/>
        <v>0</v>
      </c>
      <c r="BE511" s="2934">
        <f t="shared" si="277"/>
        <v>0</v>
      </c>
      <c r="BF511" s="2934">
        <f t="shared" si="278"/>
        <v>0</v>
      </c>
      <c r="BG511" s="2934">
        <f t="shared" si="279"/>
        <v>0</v>
      </c>
      <c r="BH511" s="2934">
        <f t="shared" si="280"/>
        <v>0</v>
      </c>
      <c r="BI511" s="2934">
        <f t="shared" si="281"/>
        <v>0</v>
      </c>
      <c r="BJ511" s="2934">
        <f t="shared" si="282"/>
        <v>0</v>
      </c>
      <c r="BK511" s="2934">
        <f t="shared" si="283"/>
        <v>0</v>
      </c>
      <c r="BL511" s="2934">
        <f t="shared" si="284"/>
        <v>0</v>
      </c>
      <c r="BM511" s="2934">
        <f t="shared" si="285"/>
        <v>0</v>
      </c>
      <c r="BN511" s="2934">
        <f t="shared" si="286"/>
        <v>0</v>
      </c>
      <c r="BO511" s="2934">
        <f t="shared" si="287"/>
        <v>0</v>
      </c>
      <c r="BP511" s="2934">
        <f t="shared" si="288"/>
        <v>0</v>
      </c>
      <c r="BQ511" s="2934">
        <f t="shared" si="289"/>
        <v>0</v>
      </c>
      <c r="BR511" s="2934">
        <f t="shared" si="290"/>
        <v>0</v>
      </c>
      <c r="BS511" s="2934">
        <f t="shared" si="291"/>
        <v>0</v>
      </c>
      <c r="BT511" s="2982">
        <f t="shared" si="292"/>
        <v>0</v>
      </c>
    </row>
    <row r="512" spans="1:72">
      <c r="A512" s="874"/>
      <c r="B512" s="882"/>
      <c r="C512" s="882"/>
      <c r="D512" s="2933"/>
      <c r="E512" s="2934">
        <f t="shared" si="293"/>
        <v>0</v>
      </c>
      <c r="F512" s="2935"/>
      <c r="G512" s="2936">
        <f t="shared" si="268"/>
        <v>0</v>
      </c>
      <c r="H512" s="2937">
        <f t="shared" si="269"/>
        <v>0</v>
      </c>
      <c r="I512" s="2944"/>
      <c r="J512" s="2944"/>
      <c r="K512" s="2944"/>
      <c r="L512" s="2944"/>
      <c r="M512" s="2944"/>
      <c r="N512" s="2944"/>
      <c r="O512" s="2944"/>
      <c r="P512" s="2944"/>
      <c r="Q512" s="2944"/>
      <c r="R512" s="2944"/>
      <c r="S512" s="2944"/>
      <c r="T512" s="2944"/>
      <c r="U512" s="2944"/>
      <c r="V512" s="2944"/>
      <c r="W512" s="2944"/>
      <c r="X512" s="2944"/>
      <c r="Y512" s="2944"/>
      <c r="Z512" s="2944"/>
      <c r="AA512" s="2944"/>
      <c r="AB512" s="2944"/>
      <c r="AC512" s="2934">
        <f t="shared" si="270"/>
        <v>0</v>
      </c>
      <c r="AD512" s="2954"/>
      <c r="AE512" s="2954"/>
      <c r="AF512" s="2954"/>
      <c r="AG512" s="2954"/>
      <c r="AH512" s="2954"/>
      <c r="AI512" s="2954"/>
      <c r="AJ512" s="2954"/>
      <c r="AK512" s="2954"/>
      <c r="AL512" s="2954"/>
      <c r="AM512" s="2954"/>
      <c r="AN512" s="2954"/>
      <c r="AO512" s="2954"/>
      <c r="AP512" s="2954"/>
      <c r="AQ512" s="2954"/>
      <c r="AR512" s="2954"/>
      <c r="AS512" s="2954"/>
      <c r="AT512" s="2935"/>
      <c r="AU512" s="2964"/>
      <c r="AV512" s="857">
        <f t="shared" si="294"/>
        <v>0</v>
      </c>
      <c r="AW512" s="857">
        <f t="shared" si="295"/>
        <v>0</v>
      </c>
      <c r="AX512" s="857">
        <f t="shared" si="296"/>
        <v>0</v>
      </c>
      <c r="AY512" s="807">
        <f t="shared" si="271"/>
        <v>0</v>
      </c>
      <c r="AZ512" s="2934">
        <f t="shared" si="272"/>
        <v>0</v>
      </c>
      <c r="BA512" s="2934">
        <f t="shared" si="273"/>
        <v>0</v>
      </c>
      <c r="BB512" s="2934">
        <f t="shared" si="274"/>
        <v>0</v>
      </c>
      <c r="BC512" s="2934">
        <f t="shared" si="275"/>
        <v>0</v>
      </c>
      <c r="BD512" s="2934">
        <f t="shared" si="276"/>
        <v>0</v>
      </c>
      <c r="BE512" s="2934">
        <f t="shared" si="277"/>
        <v>0</v>
      </c>
      <c r="BF512" s="2934">
        <f t="shared" si="278"/>
        <v>0</v>
      </c>
      <c r="BG512" s="2934">
        <f t="shared" si="279"/>
        <v>0</v>
      </c>
      <c r="BH512" s="2934">
        <f t="shared" si="280"/>
        <v>0</v>
      </c>
      <c r="BI512" s="2934">
        <f t="shared" si="281"/>
        <v>0</v>
      </c>
      <c r="BJ512" s="2934">
        <f t="shared" si="282"/>
        <v>0</v>
      </c>
      <c r="BK512" s="2934">
        <f t="shared" si="283"/>
        <v>0</v>
      </c>
      <c r="BL512" s="2934">
        <f t="shared" si="284"/>
        <v>0</v>
      </c>
      <c r="BM512" s="2934">
        <f t="shared" si="285"/>
        <v>0</v>
      </c>
      <c r="BN512" s="2934">
        <f t="shared" si="286"/>
        <v>0</v>
      </c>
      <c r="BO512" s="2934">
        <f t="shared" si="287"/>
        <v>0</v>
      </c>
      <c r="BP512" s="2934">
        <f t="shared" si="288"/>
        <v>0</v>
      </c>
      <c r="BQ512" s="2934">
        <f t="shared" si="289"/>
        <v>0</v>
      </c>
      <c r="BR512" s="2934">
        <f t="shared" si="290"/>
        <v>0</v>
      </c>
      <c r="BS512" s="2934">
        <f t="shared" si="291"/>
        <v>0</v>
      </c>
      <c r="BT512" s="2982">
        <f t="shared" si="292"/>
        <v>0</v>
      </c>
    </row>
    <row r="513" spans="1:72">
      <c r="A513" s="874"/>
      <c r="B513" s="882"/>
      <c r="C513" s="882"/>
      <c r="D513" s="2933"/>
      <c r="E513" s="2934">
        <f t="shared" si="293"/>
        <v>0</v>
      </c>
      <c r="F513" s="2935"/>
      <c r="G513" s="2936">
        <f t="shared" si="268"/>
        <v>0</v>
      </c>
      <c r="H513" s="2937">
        <f t="shared" si="269"/>
        <v>0</v>
      </c>
      <c r="I513" s="2944"/>
      <c r="J513" s="2944"/>
      <c r="K513" s="2944"/>
      <c r="L513" s="2944"/>
      <c r="M513" s="2944"/>
      <c r="N513" s="2944"/>
      <c r="O513" s="2944"/>
      <c r="P513" s="2944"/>
      <c r="Q513" s="2944"/>
      <c r="R513" s="2944"/>
      <c r="S513" s="2944"/>
      <c r="T513" s="2944"/>
      <c r="U513" s="2944"/>
      <c r="V513" s="2944"/>
      <c r="W513" s="2944"/>
      <c r="X513" s="2944"/>
      <c r="Y513" s="2944"/>
      <c r="Z513" s="2944"/>
      <c r="AA513" s="2944"/>
      <c r="AB513" s="2944"/>
      <c r="AC513" s="2934">
        <f t="shared" si="270"/>
        <v>0</v>
      </c>
      <c r="AD513" s="2954"/>
      <c r="AE513" s="2954"/>
      <c r="AF513" s="2954"/>
      <c r="AG513" s="2954"/>
      <c r="AH513" s="2954"/>
      <c r="AI513" s="2954"/>
      <c r="AJ513" s="2954"/>
      <c r="AK513" s="2954"/>
      <c r="AL513" s="2954"/>
      <c r="AM513" s="2954"/>
      <c r="AN513" s="2954"/>
      <c r="AO513" s="2954"/>
      <c r="AP513" s="2954"/>
      <c r="AQ513" s="2954"/>
      <c r="AR513" s="2954"/>
      <c r="AS513" s="2954"/>
      <c r="AT513" s="2935"/>
      <c r="AU513" s="2964"/>
      <c r="AV513" s="857">
        <f t="shared" si="294"/>
        <v>0</v>
      </c>
      <c r="AW513" s="857">
        <f t="shared" si="295"/>
        <v>0</v>
      </c>
      <c r="AX513" s="857">
        <f t="shared" si="296"/>
        <v>0</v>
      </c>
      <c r="AY513" s="807">
        <f t="shared" si="271"/>
        <v>0</v>
      </c>
      <c r="AZ513" s="2934">
        <f t="shared" si="272"/>
        <v>0</v>
      </c>
      <c r="BA513" s="2934">
        <f t="shared" si="273"/>
        <v>0</v>
      </c>
      <c r="BB513" s="2934">
        <f t="shared" si="274"/>
        <v>0</v>
      </c>
      <c r="BC513" s="2934">
        <f t="shared" si="275"/>
        <v>0</v>
      </c>
      <c r="BD513" s="2934">
        <f t="shared" si="276"/>
        <v>0</v>
      </c>
      <c r="BE513" s="2934">
        <f t="shared" si="277"/>
        <v>0</v>
      </c>
      <c r="BF513" s="2934">
        <f t="shared" si="278"/>
        <v>0</v>
      </c>
      <c r="BG513" s="2934">
        <f t="shared" si="279"/>
        <v>0</v>
      </c>
      <c r="BH513" s="2934">
        <f t="shared" si="280"/>
        <v>0</v>
      </c>
      <c r="BI513" s="2934">
        <f t="shared" si="281"/>
        <v>0</v>
      </c>
      <c r="BJ513" s="2934">
        <f t="shared" si="282"/>
        <v>0</v>
      </c>
      <c r="BK513" s="2934">
        <f t="shared" si="283"/>
        <v>0</v>
      </c>
      <c r="BL513" s="2934">
        <f t="shared" si="284"/>
        <v>0</v>
      </c>
      <c r="BM513" s="2934">
        <f t="shared" si="285"/>
        <v>0</v>
      </c>
      <c r="BN513" s="2934">
        <f t="shared" si="286"/>
        <v>0</v>
      </c>
      <c r="BO513" s="2934">
        <f t="shared" si="287"/>
        <v>0</v>
      </c>
      <c r="BP513" s="2934">
        <f t="shared" si="288"/>
        <v>0</v>
      </c>
      <c r="BQ513" s="2934">
        <f t="shared" si="289"/>
        <v>0</v>
      </c>
      <c r="BR513" s="2934">
        <f t="shared" si="290"/>
        <v>0</v>
      </c>
      <c r="BS513" s="2934">
        <f t="shared" si="291"/>
        <v>0</v>
      </c>
      <c r="BT513" s="2982">
        <f t="shared" si="292"/>
        <v>0</v>
      </c>
    </row>
    <row r="514" spans="1:72">
      <c r="A514" s="874"/>
      <c r="B514" s="882"/>
      <c r="C514" s="882"/>
      <c r="D514" s="2933"/>
      <c r="E514" s="2934">
        <f t="shared" si="293"/>
        <v>0</v>
      </c>
      <c r="F514" s="2935"/>
      <c r="G514" s="2936">
        <f t="shared" si="268"/>
        <v>0</v>
      </c>
      <c r="H514" s="2937">
        <f t="shared" si="269"/>
        <v>0</v>
      </c>
      <c r="I514" s="2944"/>
      <c r="J514" s="2944"/>
      <c r="K514" s="2944"/>
      <c r="L514" s="2944"/>
      <c r="M514" s="2944"/>
      <c r="N514" s="2944"/>
      <c r="O514" s="2944"/>
      <c r="P514" s="2944"/>
      <c r="Q514" s="2944"/>
      <c r="R514" s="2944"/>
      <c r="S514" s="2944"/>
      <c r="T514" s="2944"/>
      <c r="U514" s="2944"/>
      <c r="V514" s="2944"/>
      <c r="W514" s="2944"/>
      <c r="X514" s="2944"/>
      <c r="Y514" s="2944"/>
      <c r="Z514" s="2944"/>
      <c r="AA514" s="2944"/>
      <c r="AB514" s="2944"/>
      <c r="AC514" s="2934">
        <f t="shared" si="270"/>
        <v>0</v>
      </c>
      <c r="AD514" s="2954"/>
      <c r="AE514" s="2954"/>
      <c r="AF514" s="2954"/>
      <c r="AG514" s="2954"/>
      <c r="AH514" s="2954"/>
      <c r="AI514" s="2954"/>
      <c r="AJ514" s="2954"/>
      <c r="AK514" s="2954"/>
      <c r="AL514" s="2954"/>
      <c r="AM514" s="2954"/>
      <c r="AN514" s="2954"/>
      <c r="AO514" s="2954"/>
      <c r="AP514" s="2954"/>
      <c r="AQ514" s="2954"/>
      <c r="AR514" s="2954"/>
      <c r="AS514" s="2954"/>
      <c r="AT514" s="2935"/>
      <c r="AU514" s="2964"/>
      <c r="AV514" s="857">
        <f t="shared" si="294"/>
        <v>0</v>
      </c>
      <c r="AW514" s="857">
        <f t="shared" si="295"/>
        <v>0</v>
      </c>
      <c r="AX514" s="857">
        <f t="shared" si="296"/>
        <v>0</v>
      </c>
      <c r="AY514" s="807">
        <f t="shared" si="271"/>
        <v>0</v>
      </c>
      <c r="AZ514" s="2934">
        <f t="shared" si="272"/>
        <v>0</v>
      </c>
      <c r="BA514" s="2934">
        <f t="shared" si="273"/>
        <v>0</v>
      </c>
      <c r="BB514" s="2934">
        <f t="shared" si="274"/>
        <v>0</v>
      </c>
      <c r="BC514" s="2934">
        <f t="shared" si="275"/>
        <v>0</v>
      </c>
      <c r="BD514" s="2934">
        <f t="shared" si="276"/>
        <v>0</v>
      </c>
      <c r="BE514" s="2934">
        <f t="shared" si="277"/>
        <v>0</v>
      </c>
      <c r="BF514" s="2934">
        <f t="shared" si="278"/>
        <v>0</v>
      </c>
      <c r="BG514" s="2934">
        <f t="shared" si="279"/>
        <v>0</v>
      </c>
      <c r="BH514" s="2934">
        <f t="shared" si="280"/>
        <v>0</v>
      </c>
      <c r="BI514" s="2934">
        <f t="shared" si="281"/>
        <v>0</v>
      </c>
      <c r="BJ514" s="2934">
        <f t="shared" si="282"/>
        <v>0</v>
      </c>
      <c r="BK514" s="2934">
        <f t="shared" si="283"/>
        <v>0</v>
      </c>
      <c r="BL514" s="2934">
        <f t="shared" si="284"/>
        <v>0</v>
      </c>
      <c r="BM514" s="2934">
        <f t="shared" si="285"/>
        <v>0</v>
      </c>
      <c r="BN514" s="2934">
        <f t="shared" si="286"/>
        <v>0</v>
      </c>
      <c r="BO514" s="2934">
        <f t="shared" si="287"/>
        <v>0</v>
      </c>
      <c r="BP514" s="2934">
        <f t="shared" si="288"/>
        <v>0</v>
      </c>
      <c r="BQ514" s="2934">
        <f t="shared" si="289"/>
        <v>0</v>
      </c>
      <c r="BR514" s="2934">
        <f t="shared" si="290"/>
        <v>0</v>
      </c>
      <c r="BS514" s="2934">
        <f t="shared" si="291"/>
        <v>0</v>
      </c>
      <c r="BT514" s="2982">
        <f t="shared" si="292"/>
        <v>0</v>
      </c>
    </row>
    <row r="515" spans="1:72">
      <c r="A515" s="874"/>
      <c r="B515" s="882"/>
      <c r="C515" s="882"/>
      <c r="D515" s="2933"/>
      <c r="E515" s="2934">
        <f t="shared" si="293"/>
        <v>0</v>
      </c>
      <c r="F515" s="2935"/>
      <c r="G515" s="2936">
        <f t="shared" si="268"/>
        <v>0</v>
      </c>
      <c r="H515" s="2937">
        <f t="shared" si="269"/>
        <v>0</v>
      </c>
      <c r="I515" s="2944"/>
      <c r="J515" s="2944"/>
      <c r="K515" s="2944"/>
      <c r="L515" s="2944"/>
      <c r="M515" s="2944"/>
      <c r="N515" s="2944"/>
      <c r="O515" s="2944"/>
      <c r="P515" s="2944"/>
      <c r="Q515" s="2944"/>
      <c r="R515" s="2944"/>
      <c r="S515" s="2944"/>
      <c r="T515" s="2944"/>
      <c r="U515" s="2944"/>
      <c r="V515" s="2944"/>
      <c r="W515" s="2944"/>
      <c r="X515" s="2944"/>
      <c r="Y515" s="2944"/>
      <c r="Z515" s="2944"/>
      <c r="AA515" s="2944"/>
      <c r="AB515" s="2944"/>
      <c r="AC515" s="2934">
        <f t="shared" si="270"/>
        <v>0</v>
      </c>
      <c r="AD515" s="2954"/>
      <c r="AE515" s="2954"/>
      <c r="AF515" s="2954"/>
      <c r="AG515" s="2954"/>
      <c r="AH515" s="2954"/>
      <c r="AI515" s="2954"/>
      <c r="AJ515" s="2954"/>
      <c r="AK515" s="2954"/>
      <c r="AL515" s="2954"/>
      <c r="AM515" s="2954"/>
      <c r="AN515" s="2954"/>
      <c r="AO515" s="2954"/>
      <c r="AP515" s="2954"/>
      <c r="AQ515" s="2954"/>
      <c r="AR515" s="2954"/>
      <c r="AS515" s="2954"/>
      <c r="AT515" s="2935"/>
      <c r="AU515" s="2964"/>
      <c r="AV515" s="857">
        <f t="shared" si="294"/>
        <v>0</v>
      </c>
      <c r="AW515" s="857">
        <f t="shared" si="295"/>
        <v>0</v>
      </c>
      <c r="AX515" s="857">
        <f t="shared" si="296"/>
        <v>0</v>
      </c>
      <c r="AY515" s="807">
        <f t="shared" si="271"/>
        <v>0</v>
      </c>
      <c r="AZ515" s="2934">
        <f t="shared" si="272"/>
        <v>0</v>
      </c>
      <c r="BA515" s="2934">
        <f t="shared" si="273"/>
        <v>0</v>
      </c>
      <c r="BB515" s="2934">
        <f t="shared" si="274"/>
        <v>0</v>
      </c>
      <c r="BC515" s="2934">
        <f t="shared" si="275"/>
        <v>0</v>
      </c>
      <c r="BD515" s="2934">
        <f t="shared" si="276"/>
        <v>0</v>
      </c>
      <c r="BE515" s="2934">
        <f t="shared" si="277"/>
        <v>0</v>
      </c>
      <c r="BF515" s="2934">
        <f t="shared" si="278"/>
        <v>0</v>
      </c>
      <c r="BG515" s="2934">
        <f t="shared" si="279"/>
        <v>0</v>
      </c>
      <c r="BH515" s="2934">
        <f t="shared" si="280"/>
        <v>0</v>
      </c>
      <c r="BI515" s="2934">
        <f t="shared" si="281"/>
        <v>0</v>
      </c>
      <c r="BJ515" s="2934">
        <f t="shared" si="282"/>
        <v>0</v>
      </c>
      <c r="BK515" s="2934">
        <f t="shared" si="283"/>
        <v>0</v>
      </c>
      <c r="BL515" s="2934">
        <f t="shared" si="284"/>
        <v>0</v>
      </c>
      <c r="BM515" s="2934">
        <f t="shared" si="285"/>
        <v>0</v>
      </c>
      <c r="BN515" s="2934">
        <f t="shared" si="286"/>
        <v>0</v>
      </c>
      <c r="BO515" s="2934">
        <f t="shared" si="287"/>
        <v>0</v>
      </c>
      <c r="BP515" s="2934">
        <f t="shared" si="288"/>
        <v>0</v>
      </c>
      <c r="BQ515" s="2934">
        <f t="shared" si="289"/>
        <v>0</v>
      </c>
      <c r="BR515" s="2934">
        <f t="shared" si="290"/>
        <v>0</v>
      </c>
      <c r="BS515" s="2934">
        <f t="shared" si="291"/>
        <v>0</v>
      </c>
      <c r="BT515" s="2982">
        <f t="shared" si="292"/>
        <v>0</v>
      </c>
    </row>
    <row r="516" spans="1:72">
      <c r="A516" s="874"/>
      <c r="B516" s="882"/>
      <c r="C516" s="882"/>
      <c r="D516" s="2933"/>
      <c r="E516" s="2934">
        <f t="shared" si="293"/>
        <v>0</v>
      </c>
      <c r="F516" s="2935"/>
      <c r="G516" s="2936">
        <f t="shared" si="268"/>
        <v>0</v>
      </c>
      <c r="H516" s="2937">
        <f t="shared" si="269"/>
        <v>0</v>
      </c>
      <c r="I516" s="2944"/>
      <c r="J516" s="2944"/>
      <c r="K516" s="2944"/>
      <c r="L516" s="2944"/>
      <c r="M516" s="2944"/>
      <c r="N516" s="2944"/>
      <c r="O516" s="2944"/>
      <c r="P516" s="2944"/>
      <c r="Q516" s="2944"/>
      <c r="R516" s="2944"/>
      <c r="S516" s="2944"/>
      <c r="T516" s="2944"/>
      <c r="U516" s="2944"/>
      <c r="V516" s="2944"/>
      <c r="W516" s="2944"/>
      <c r="X516" s="2944"/>
      <c r="Y516" s="2944"/>
      <c r="Z516" s="2944"/>
      <c r="AA516" s="2944"/>
      <c r="AB516" s="2944"/>
      <c r="AC516" s="2934">
        <f t="shared" si="270"/>
        <v>0</v>
      </c>
      <c r="AD516" s="2954"/>
      <c r="AE516" s="2954"/>
      <c r="AF516" s="2954"/>
      <c r="AG516" s="2954"/>
      <c r="AH516" s="2954"/>
      <c r="AI516" s="2954"/>
      <c r="AJ516" s="2954"/>
      <c r="AK516" s="2954"/>
      <c r="AL516" s="2954"/>
      <c r="AM516" s="2954"/>
      <c r="AN516" s="2954"/>
      <c r="AO516" s="2954"/>
      <c r="AP516" s="2954"/>
      <c r="AQ516" s="2954"/>
      <c r="AR516" s="2954"/>
      <c r="AS516" s="2954"/>
      <c r="AT516" s="2935"/>
      <c r="AU516" s="2964"/>
      <c r="AV516" s="857">
        <f t="shared" si="294"/>
        <v>0</v>
      </c>
      <c r="AW516" s="857">
        <f t="shared" si="295"/>
        <v>0</v>
      </c>
      <c r="AX516" s="857">
        <f t="shared" si="296"/>
        <v>0</v>
      </c>
      <c r="AY516" s="807">
        <f t="shared" si="271"/>
        <v>0</v>
      </c>
      <c r="AZ516" s="2934">
        <f t="shared" si="272"/>
        <v>0</v>
      </c>
      <c r="BA516" s="2934">
        <f t="shared" si="273"/>
        <v>0</v>
      </c>
      <c r="BB516" s="2934">
        <f t="shared" si="274"/>
        <v>0</v>
      </c>
      <c r="BC516" s="2934">
        <f t="shared" si="275"/>
        <v>0</v>
      </c>
      <c r="BD516" s="2934">
        <f t="shared" si="276"/>
        <v>0</v>
      </c>
      <c r="BE516" s="2934">
        <f t="shared" si="277"/>
        <v>0</v>
      </c>
      <c r="BF516" s="2934">
        <f t="shared" si="278"/>
        <v>0</v>
      </c>
      <c r="BG516" s="2934">
        <f t="shared" si="279"/>
        <v>0</v>
      </c>
      <c r="BH516" s="2934">
        <f t="shared" si="280"/>
        <v>0</v>
      </c>
      <c r="BI516" s="2934">
        <f t="shared" si="281"/>
        <v>0</v>
      </c>
      <c r="BJ516" s="2934">
        <f t="shared" si="282"/>
        <v>0</v>
      </c>
      <c r="BK516" s="2934">
        <f t="shared" si="283"/>
        <v>0</v>
      </c>
      <c r="BL516" s="2934">
        <f t="shared" si="284"/>
        <v>0</v>
      </c>
      <c r="BM516" s="2934">
        <f t="shared" si="285"/>
        <v>0</v>
      </c>
      <c r="BN516" s="2934">
        <f t="shared" si="286"/>
        <v>0</v>
      </c>
      <c r="BO516" s="2934">
        <f t="shared" si="287"/>
        <v>0</v>
      </c>
      <c r="BP516" s="2934">
        <f t="shared" si="288"/>
        <v>0</v>
      </c>
      <c r="BQ516" s="2934">
        <f t="shared" si="289"/>
        <v>0</v>
      </c>
      <c r="BR516" s="2934">
        <f t="shared" si="290"/>
        <v>0</v>
      </c>
      <c r="BS516" s="2934">
        <f t="shared" si="291"/>
        <v>0</v>
      </c>
      <c r="BT516" s="2982">
        <f t="shared" si="292"/>
        <v>0</v>
      </c>
    </row>
    <row r="517" spans="1:72">
      <c r="A517" s="874"/>
      <c r="B517" s="882"/>
      <c r="C517" s="882"/>
      <c r="D517" s="2933"/>
      <c r="E517" s="2934">
        <f t="shared" si="293"/>
        <v>0</v>
      </c>
      <c r="F517" s="2935"/>
      <c r="G517" s="2936">
        <f t="shared" si="268"/>
        <v>0</v>
      </c>
      <c r="H517" s="2937">
        <f t="shared" si="269"/>
        <v>0</v>
      </c>
      <c r="I517" s="2944"/>
      <c r="J517" s="2944"/>
      <c r="K517" s="2944"/>
      <c r="L517" s="2944"/>
      <c r="M517" s="2944"/>
      <c r="N517" s="2944"/>
      <c r="O517" s="2944"/>
      <c r="P517" s="2944"/>
      <c r="Q517" s="2944"/>
      <c r="R517" s="2944"/>
      <c r="S517" s="2944"/>
      <c r="T517" s="2944"/>
      <c r="U517" s="2944"/>
      <c r="V517" s="2944"/>
      <c r="W517" s="2944"/>
      <c r="X517" s="2944"/>
      <c r="Y517" s="2944"/>
      <c r="Z517" s="2944"/>
      <c r="AA517" s="2944"/>
      <c r="AB517" s="2944"/>
      <c r="AC517" s="2934">
        <f t="shared" si="270"/>
        <v>0</v>
      </c>
      <c r="AD517" s="2954"/>
      <c r="AE517" s="2954"/>
      <c r="AF517" s="2954"/>
      <c r="AG517" s="2954"/>
      <c r="AH517" s="2954"/>
      <c r="AI517" s="2954"/>
      <c r="AJ517" s="2954"/>
      <c r="AK517" s="2954"/>
      <c r="AL517" s="2954"/>
      <c r="AM517" s="2954"/>
      <c r="AN517" s="2954"/>
      <c r="AO517" s="2954"/>
      <c r="AP517" s="2954"/>
      <c r="AQ517" s="2954"/>
      <c r="AR517" s="2954"/>
      <c r="AS517" s="2954"/>
      <c r="AT517" s="2935"/>
      <c r="AU517" s="2964"/>
      <c r="AV517" s="857">
        <f t="shared" si="294"/>
        <v>0</v>
      </c>
      <c r="AW517" s="857">
        <f t="shared" si="295"/>
        <v>0</v>
      </c>
      <c r="AX517" s="857">
        <f t="shared" si="296"/>
        <v>0</v>
      </c>
      <c r="AY517" s="807">
        <f t="shared" si="271"/>
        <v>0</v>
      </c>
      <c r="AZ517" s="2934">
        <f t="shared" si="272"/>
        <v>0</v>
      </c>
      <c r="BA517" s="2934">
        <f t="shared" si="273"/>
        <v>0</v>
      </c>
      <c r="BB517" s="2934">
        <f t="shared" si="274"/>
        <v>0</v>
      </c>
      <c r="BC517" s="2934">
        <f t="shared" si="275"/>
        <v>0</v>
      </c>
      <c r="BD517" s="2934">
        <f t="shared" si="276"/>
        <v>0</v>
      </c>
      <c r="BE517" s="2934">
        <f t="shared" si="277"/>
        <v>0</v>
      </c>
      <c r="BF517" s="2934">
        <f t="shared" si="278"/>
        <v>0</v>
      </c>
      <c r="BG517" s="2934">
        <f t="shared" si="279"/>
        <v>0</v>
      </c>
      <c r="BH517" s="2934">
        <f t="shared" si="280"/>
        <v>0</v>
      </c>
      <c r="BI517" s="2934">
        <f t="shared" si="281"/>
        <v>0</v>
      </c>
      <c r="BJ517" s="2934">
        <f t="shared" si="282"/>
        <v>0</v>
      </c>
      <c r="BK517" s="2934">
        <f t="shared" si="283"/>
        <v>0</v>
      </c>
      <c r="BL517" s="2934">
        <f t="shared" si="284"/>
        <v>0</v>
      </c>
      <c r="BM517" s="2934">
        <f t="shared" si="285"/>
        <v>0</v>
      </c>
      <c r="BN517" s="2934">
        <f t="shared" si="286"/>
        <v>0</v>
      </c>
      <c r="BO517" s="2934">
        <f t="shared" si="287"/>
        <v>0</v>
      </c>
      <c r="BP517" s="2934">
        <f t="shared" si="288"/>
        <v>0</v>
      </c>
      <c r="BQ517" s="2934">
        <f t="shared" si="289"/>
        <v>0</v>
      </c>
      <c r="BR517" s="2934">
        <f t="shared" si="290"/>
        <v>0</v>
      </c>
      <c r="BS517" s="2934">
        <f t="shared" si="291"/>
        <v>0</v>
      </c>
      <c r="BT517" s="2982">
        <f t="shared" si="292"/>
        <v>0</v>
      </c>
    </row>
    <row r="518" spans="1:72">
      <c r="A518" s="874"/>
      <c r="B518" s="882"/>
      <c r="C518" s="882"/>
      <c r="D518" s="2933"/>
      <c r="E518" s="2934">
        <f t="shared" si="293"/>
        <v>0</v>
      </c>
      <c r="F518" s="2935"/>
      <c r="G518" s="2936">
        <f t="shared" si="268"/>
        <v>0</v>
      </c>
      <c r="H518" s="2937">
        <f t="shared" si="269"/>
        <v>0</v>
      </c>
      <c r="I518" s="2944"/>
      <c r="J518" s="2944"/>
      <c r="K518" s="2944"/>
      <c r="L518" s="2944"/>
      <c r="M518" s="2944"/>
      <c r="N518" s="2944"/>
      <c r="O518" s="2944"/>
      <c r="P518" s="2944"/>
      <c r="Q518" s="2944"/>
      <c r="R518" s="2944"/>
      <c r="S518" s="2944"/>
      <c r="T518" s="2944"/>
      <c r="U518" s="2944"/>
      <c r="V518" s="2944"/>
      <c r="W518" s="2944"/>
      <c r="X518" s="2944"/>
      <c r="Y518" s="2944"/>
      <c r="Z518" s="2944"/>
      <c r="AA518" s="2944"/>
      <c r="AB518" s="2944"/>
      <c r="AC518" s="2934">
        <f t="shared" si="270"/>
        <v>0</v>
      </c>
      <c r="AD518" s="2954"/>
      <c r="AE518" s="2954"/>
      <c r="AF518" s="2954"/>
      <c r="AG518" s="2954"/>
      <c r="AH518" s="2954"/>
      <c r="AI518" s="2954"/>
      <c r="AJ518" s="2954"/>
      <c r="AK518" s="2954"/>
      <c r="AL518" s="2954"/>
      <c r="AM518" s="2954"/>
      <c r="AN518" s="2954"/>
      <c r="AO518" s="2954"/>
      <c r="AP518" s="2954"/>
      <c r="AQ518" s="2954"/>
      <c r="AR518" s="2954"/>
      <c r="AS518" s="2954"/>
      <c r="AT518" s="2935"/>
      <c r="AU518" s="2964"/>
      <c r="AV518" s="857">
        <f t="shared" si="294"/>
        <v>0</v>
      </c>
      <c r="AW518" s="857">
        <f t="shared" si="295"/>
        <v>0</v>
      </c>
      <c r="AX518" s="857">
        <f t="shared" si="296"/>
        <v>0</v>
      </c>
      <c r="AY518" s="807">
        <f t="shared" si="271"/>
        <v>0</v>
      </c>
      <c r="AZ518" s="2934">
        <f t="shared" si="272"/>
        <v>0</v>
      </c>
      <c r="BA518" s="2934">
        <f t="shared" si="273"/>
        <v>0</v>
      </c>
      <c r="BB518" s="2934">
        <f t="shared" si="274"/>
        <v>0</v>
      </c>
      <c r="BC518" s="2934">
        <f t="shared" si="275"/>
        <v>0</v>
      </c>
      <c r="BD518" s="2934">
        <f t="shared" si="276"/>
        <v>0</v>
      </c>
      <c r="BE518" s="2934">
        <f t="shared" si="277"/>
        <v>0</v>
      </c>
      <c r="BF518" s="2934">
        <f t="shared" si="278"/>
        <v>0</v>
      </c>
      <c r="BG518" s="2934">
        <f t="shared" si="279"/>
        <v>0</v>
      </c>
      <c r="BH518" s="2934">
        <f t="shared" si="280"/>
        <v>0</v>
      </c>
      <c r="BI518" s="2934">
        <f t="shared" si="281"/>
        <v>0</v>
      </c>
      <c r="BJ518" s="2934">
        <f t="shared" si="282"/>
        <v>0</v>
      </c>
      <c r="BK518" s="2934">
        <f t="shared" si="283"/>
        <v>0</v>
      </c>
      <c r="BL518" s="2934">
        <f t="shared" si="284"/>
        <v>0</v>
      </c>
      <c r="BM518" s="2934">
        <f t="shared" si="285"/>
        <v>0</v>
      </c>
      <c r="BN518" s="2934">
        <f t="shared" si="286"/>
        <v>0</v>
      </c>
      <c r="BO518" s="2934">
        <f t="shared" si="287"/>
        <v>0</v>
      </c>
      <c r="BP518" s="2934">
        <f t="shared" si="288"/>
        <v>0</v>
      </c>
      <c r="BQ518" s="2934">
        <f t="shared" si="289"/>
        <v>0</v>
      </c>
      <c r="BR518" s="2934">
        <f t="shared" si="290"/>
        <v>0</v>
      </c>
      <c r="BS518" s="2934">
        <f t="shared" si="291"/>
        <v>0</v>
      </c>
      <c r="BT518" s="2982">
        <f t="shared" si="292"/>
        <v>0</v>
      </c>
    </row>
    <row r="519" spans="1:72">
      <c r="A519" s="874"/>
      <c r="B519" s="882"/>
      <c r="C519" s="882"/>
      <c r="D519" s="2933"/>
      <c r="E519" s="2934">
        <f t="shared" si="293"/>
        <v>0</v>
      </c>
      <c r="F519" s="2935"/>
      <c r="G519" s="2936">
        <f t="shared" si="268"/>
        <v>0</v>
      </c>
      <c r="H519" s="2937">
        <f t="shared" si="269"/>
        <v>0</v>
      </c>
      <c r="I519" s="2944"/>
      <c r="J519" s="2944"/>
      <c r="K519" s="2944"/>
      <c r="L519" s="2944"/>
      <c r="M519" s="2944"/>
      <c r="N519" s="2944"/>
      <c r="O519" s="2944"/>
      <c r="P519" s="2944"/>
      <c r="Q519" s="2944"/>
      <c r="R519" s="2944"/>
      <c r="S519" s="2944"/>
      <c r="T519" s="2944"/>
      <c r="U519" s="2944"/>
      <c r="V519" s="2944"/>
      <c r="W519" s="2944"/>
      <c r="X519" s="2944"/>
      <c r="Y519" s="2944"/>
      <c r="Z519" s="2944"/>
      <c r="AA519" s="2944"/>
      <c r="AB519" s="2944"/>
      <c r="AC519" s="2934">
        <f t="shared" si="270"/>
        <v>0</v>
      </c>
      <c r="AD519" s="2954"/>
      <c r="AE519" s="2954"/>
      <c r="AF519" s="2954"/>
      <c r="AG519" s="2954"/>
      <c r="AH519" s="2954"/>
      <c r="AI519" s="2954"/>
      <c r="AJ519" s="2954"/>
      <c r="AK519" s="2954"/>
      <c r="AL519" s="2954"/>
      <c r="AM519" s="2954"/>
      <c r="AN519" s="2954"/>
      <c r="AO519" s="2954"/>
      <c r="AP519" s="2954"/>
      <c r="AQ519" s="2954"/>
      <c r="AR519" s="2954"/>
      <c r="AS519" s="2954"/>
      <c r="AT519" s="2935"/>
      <c r="AU519" s="2964"/>
      <c r="AV519" s="857">
        <f t="shared" si="294"/>
        <v>0</v>
      </c>
      <c r="AW519" s="857">
        <f t="shared" si="295"/>
        <v>0</v>
      </c>
      <c r="AX519" s="857">
        <f t="shared" si="296"/>
        <v>0</v>
      </c>
      <c r="AY519" s="807">
        <f t="shared" si="271"/>
        <v>0</v>
      </c>
      <c r="AZ519" s="2934">
        <f t="shared" si="272"/>
        <v>0</v>
      </c>
      <c r="BA519" s="2934">
        <f t="shared" si="273"/>
        <v>0</v>
      </c>
      <c r="BB519" s="2934">
        <f t="shared" si="274"/>
        <v>0</v>
      </c>
      <c r="BC519" s="2934">
        <f t="shared" si="275"/>
        <v>0</v>
      </c>
      <c r="BD519" s="2934">
        <f t="shared" si="276"/>
        <v>0</v>
      </c>
      <c r="BE519" s="2934">
        <f t="shared" si="277"/>
        <v>0</v>
      </c>
      <c r="BF519" s="2934">
        <f t="shared" si="278"/>
        <v>0</v>
      </c>
      <c r="BG519" s="2934">
        <f t="shared" si="279"/>
        <v>0</v>
      </c>
      <c r="BH519" s="2934">
        <f t="shared" si="280"/>
        <v>0</v>
      </c>
      <c r="BI519" s="2934">
        <f t="shared" si="281"/>
        <v>0</v>
      </c>
      <c r="BJ519" s="2934">
        <f t="shared" si="282"/>
        <v>0</v>
      </c>
      <c r="BK519" s="2934">
        <f t="shared" si="283"/>
        <v>0</v>
      </c>
      <c r="BL519" s="2934">
        <f t="shared" si="284"/>
        <v>0</v>
      </c>
      <c r="BM519" s="2934">
        <f t="shared" si="285"/>
        <v>0</v>
      </c>
      <c r="BN519" s="2934">
        <f t="shared" si="286"/>
        <v>0</v>
      </c>
      <c r="BO519" s="2934">
        <f t="shared" si="287"/>
        <v>0</v>
      </c>
      <c r="BP519" s="2934">
        <f t="shared" si="288"/>
        <v>0</v>
      </c>
      <c r="BQ519" s="2934">
        <f t="shared" si="289"/>
        <v>0</v>
      </c>
      <c r="BR519" s="2934">
        <f t="shared" si="290"/>
        <v>0</v>
      </c>
      <c r="BS519" s="2934">
        <f t="shared" si="291"/>
        <v>0</v>
      </c>
      <c r="BT519" s="2982">
        <f t="shared" si="292"/>
        <v>0</v>
      </c>
    </row>
    <row r="520" spans="1:72">
      <c r="A520" s="874"/>
      <c r="B520" s="882"/>
      <c r="C520" s="882"/>
      <c r="D520" s="2933"/>
      <c r="E520" s="2934">
        <f t="shared" ref="E520:E551" si="297">IF($C$3="是",ROUND($A$3*G520/$B$3,2),ROUND($A$3*(G520-AT520)/$B$3,2))</f>
        <v>0</v>
      </c>
      <c r="F520" s="2935"/>
      <c r="G520" s="2936">
        <f t="shared" si="268"/>
        <v>0</v>
      </c>
      <c r="H520" s="2937">
        <f t="shared" si="269"/>
        <v>0</v>
      </c>
      <c r="I520" s="2944"/>
      <c r="J520" s="2944"/>
      <c r="K520" s="2944"/>
      <c r="L520" s="2944"/>
      <c r="M520" s="2944"/>
      <c r="N520" s="2944"/>
      <c r="O520" s="2944"/>
      <c r="P520" s="2944"/>
      <c r="Q520" s="2944"/>
      <c r="R520" s="2944"/>
      <c r="S520" s="2944"/>
      <c r="T520" s="2944"/>
      <c r="U520" s="2944"/>
      <c r="V520" s="2944"/>
      <c r="W520" s="2944"/>
      <c r="X520" s="2944"/>
      <c r="Y520" s="2944"/>
      <c r="Z520" s="2944"/>
      <c r="AA520" s="2944"/>
      <c r="AB520" s="2944"/>
      <c r="AC520" s="2934">
        <f t="shared" si="270"/>
        <v>0</v>
      </c>
      <c r="AD520" s="2954"/>
      <c r="AE520" s="2954"/>
      <c r="AF520" s="2954"/>
      <c r="AG520" s="2954"/>
      <c r="AH520" s="2954"/>
      <c r="AI520" s="2954"/>
      <c r="AJ520" s="2954"/>
      <c r="AK520" s="2954"/>
      <c r="AL520" s="2954"/>
      <c r="AM520" s="2954"/>
      <c r="AN520" s="2954"/>
      <c r="AO520" s="2954"/>
      <c r="AP520" s="2954"/>
      <c r="AQ520" s="2954"/>
      <c r="AR520" s="2954"/>
      <c r="AS520" s="2954"/>
      <c r="AT520" s="2935"/>
      <c r="AU520" s="2964"/>
      <c r="AV520" s="857">
        <f t="shared" si="294"/>
        <v>0</v>
      </c>
      <c r="AW520" s="857">
        <f t="shared" si="295"/>
        <v>0</v>
      </c>
      <c r="AX520" s="857">
        <f t="shared" si="296"/>
        <v>0</v>
      </c>
      <c r="AY520" s="807">
        <f t="shared" si="271"/>
        <v>0</v>
      </c>
      <c r="AZ520" s="2934">
        <f t="shared" si="272"/>
        <v>0</v>
      </c>
      <c r="BA520" s="2934">
        <f t="shared" si="273"/>
        <v>0</v>
      </c>
      <c r="BB520" s="2934">
        <f t="shared" si="274"/>
        <v>0</v>
      </c>
      <c r="BC520" s="2934">
        <f t="shared" si="275"/>
        <v>0</v>
      </c>
      <c r="BD520" s="2934">
        <f t="shared" si="276"/>
        <v>0</v>
      </c>
      <c r="BE520" s="2934">
        <f t="shared" si="277"/>
        <v>0</v>
      </c>
      <c r="BF520" s="2934">
        <f t="shared" si="278"/>
        <v>0</v>
      </c>
      <c r="BG520" s="2934">
        <f t="shared" si="279"/>
        <v>0</v>
      </c>
      <c r="BH520" s="2934">
        <f t="shared" si="280"/>
        <v>0</v>
      </c>
      <c r="BI520" s="2934">
        <f t="shared" si="281"/>
        <v>0</v>
      </c>
      <c r="BJ520" s="2934">
        <f t="shared" si="282"/>
        <v>0</v>
      </c>
      <c r="BK520" s="2934">
        <f t="shared" si="283"/>
        <v>0</v>
      </c>
      <c r="BL520" s="2934">
        <f t="shared" si="284"/>
        <v>0</v>
      </c>
      <c r="BM520" s="2934">
        <f t="shared" si="285"/>
        <v>0</v>
      </c>
      <c r="BN520" s="2934">
        <f t="shared" si="286"/>
        <v>0</v>
      </c>
      <c r="BO520" s="2934">
        <f t="shared" si="287"/>
        <v>0</v>
      </c>
      <c r="BP520" s="2934">
        <f t="shared" si="288"/>
        <v>0</v>
      </c>
      <c r="BQ520" s="2934">
        <f t="shared" si="289"/>
        <v>0</v>
      </c>
      <c r="BR520" s="2934">
        <f t="shared" si="290"/>
        <v>0</v>
      </c>
      <c r="BS520" s="2934">
        <f t="shared" si="291"/>
        <v>0</v>
      </c>
      <c r="BT520" s="2982">
        <f t="shared" si="292"/>
        <v>0</v>
      </c>
    </row>
    <row r="521" spans="1:72">
      <c r="A521" s="874"/>
      <c r="B521" s="882"/>
      <c r="C521" s="882"/>
      <c r="D521" s="2933"/>
      <c r="E521" s="2934">
        <f t="shared" si="297"/>
        <v>0</v>
      </c>
      <c r="F521" s="2935"/>
      <c r="G521" s="2936">
        <f t="shared" si="268"/>
        <v>0</v>
      </c>
      <c r="H521" s="2937">
        <f t="shared" si="269"/>
        <v>0</v>
      </c>
      <c r="I521" s="2944"/>
      <c r="J521" s="2944"/>
      <c r="K521" s="2944"/>
      <c r="L521" s="2944"/>
      <c r="M521" s="2944"/>
      <c r="N521" s="2944"/>
      <c r="O521" s="2944"/>
      <c r="P521" s="2944"/>
      <c r="Q521" s="2944"/>
      <c r="R521" s="2944"/>
      <c r="S521" s="2944"/>
      <c r="T521" s="2944"/>
      <c r="U521" s="2944"/>
      <c r="V521" s="2944"/>
      <c r="W521" s="2944"/>
      <c r="X521" s="2944"/>
      <c r="Y521" s="2944"/>
      <c r="Z521" s="2944"/>
      <c r="AA521" s="2944"/>
      <c r="AB521" s="2944"/>
      <c r="AC521" s="2934">
        <f t="shared" si="270"/>
        <v>0</v>
      </c>
      <c r="AD521" s="2954"/>
      <c r="AE521" s="2954"/>
      <c r="AF521" s="2954"/>
      <c r="AG521" s="2954"/>
      <c r="AH521" s="2954"/>
      <c r="AI521" s="2954"/>
      <c r="AJ521" s="2954"/>
      <c r="AK521" s="2954"/>
      <c r="AL521" s="2954"/>
      <c r="AM521" s="2954"/>
      <c r="AN521" s="2954"/>
      <c r="AO521" s="2954"/>
      <c r="AP521" s="2954"/>
      <c r="AQ521" s="2954"/>
      <c r="AR521" s="2954"/>
      <c r="AS521" s="2954"/>
      <c r="AT521" s="2935"/>
      <c r="AU521" s="2964"/>
      <c r="AV521" s="857">
        <f t="shared" ref="AV521:AV552" si="298">A521</f>
        <v>0</v>
      </c>
      <c r="AW521" s="857">
        <f t="shared" ref="AW521:AW552" si="299">B521</f>
        <v>0</v>
      </c>
      <c r="AX521" s="857">
        <f t="shared" ref="AX521:AX552" si="300">C521</f>
        <v>0</v>
      </c>
      <c r="AY521" s="807">
        <f t="shared" si="271"/>
        <v>0</v>
      </c>
      <c r="AZ521" s="2934">
        <f t="shared" si="272"/>
        <v>0</v>
      </c>
      <c r="BA521" s="2934">
        <f t="shared" si="273"/>
        <v>0</v>
      </c>
      <c r="BB521" s="2934">
        <f t="shared" si="274"/>
        <v>0</v>
      </c>
      <c r="BC521" s="2934">
        <f t="shared" si="275"/>
        <v>0</v>
      </c>
      <c r="BD521" s="2934">
        <f t="shared" si="276"/>
        <v>0</v>
      </c>
      <c r="BE521" s="2934">
        <f t="shared" si="277"/>
        <v>0</v>
      </c>
      <c r="BF521" s="2934">
        <f t="shared" si="278"/>
        <v>0</v>
      </c>
      <c r="BG521" s="2934">
        <f t="shared" si="279"/>
        <v>0</v>
      </c>
      <c r="BH521" s="2934">
        <f t="shared" si="280"/>
        <v>0</v>
      </c>
      <c r="BI521" s="2934">
        <f t="shared" si="281"/>
        <v>0</v>
      </c>
      <c r="BJ521" s="2934">
        <f t="shared" si="282"/>
        <v>0</v>
      </c>
      <c r="BK521" s="2934">
        <f t="shared" si="283"/>
        <v>0</v>
      </c>
      <c r="BL521" s="2934">
        <f t="shared" si="284"/>
        <v>0</v>
      </c>
      <c r="BM521" s="2934">
        <f t="shared" si="285"/>
        <v>0</v>
      </c>
      <c r="BN521" s="2934">
        <f t="shared" si="286"/>
        <v>0</v>
      </c>
      <c r="BO521" s="2934">
        <f t="shared" si="287"/>
        <v>0</v>
      </c>
      <c r="BP521" s="2934">
        <f t="shared" si="288"/>
        <v>0</v>
      </c>
      <c r="BQ521" s="2934">
        <f t="shared" si="289"/>
        <v>0</v>
      </c>
      <c r="BR521" s="2934">
        <f t="shared" si="290"/>
        <v>0</v>
      </c>
      <c r="BS521" s="2934">
        <f t="shared" si="291"/>
        <v>0</v>
      </c>
      <c r="BT521" s="2982">
        <f t="shared" si="292"/>
        <v>0</v>
      </c>
    </row>
    <row r="522" spans="1:72">
      <c r="A522" s="874"/>
      <c r="B522" s="882"/>
      <c r="C522" s="882"/>
      <c r="D522" s="2933"/>
      <c r="E522" s="2934">
        <f t="shared" si="297"/>
        <v>0</v>
      </c>
      <c r="F522" s="2935"/>
      <c r="G522" s="2936">
        <f t="shared" ref="G522:G552" si="301">H522+AC522+AT522</f>
        <v>0</v>
      </c>
      <c r="H522" s="2937">
        <f t="shared" ref="H522:H552" si="302">SUMIF(I$12:AB$12,"总值",I522:AB522)</f>
        <v>0</v>
      </c>
      <c r="I522" s="2944"/>
      <c r="J522" s="2944"/>
      <c r="K522" s="2944"/>
      <c r="L522" s="2944"/>
      <c r="M522" s="2944"/>
      <c r="N522" s="2944"/>
      <c r="O522" s="2944"/>
      <c r="P522" s="2944"/>
      <c r="Q522" s="2944"/>
      <c r="R522" s="2944"/>
      <c r="S522" s="2944"/>
      <c r="T522" s="2944"/>
      <c r="U522" s="2944"/>
      <c r="V522" s="2944"/>
      <c r="W522" s="2944"/>
      <c r="X522" s="2944"/>
      <c r="Y522" s="2944"/>
      <c r="Z522" s="2944"/>
      <c r="AA522" s="2944"/>
      <c r="AB522" s="2944"/>
      <c r="AC522" s="2934">
        <f t="shared" ref="AC522:AC552" si="303">SUMIF(AD$12:AS$12,"总值",AD522:AS522)</f>
        <v>0</v>
      </c>
      <c r="AD522" s="2954"/>
      <c r="AE522" s="2954"/>
      <c r="AF522" s="2954"/>
      <c r="AG522" s="2954"/>
      <c r="AH522" s="2954"/>
      <c r="AI522" s="2954"/>
      <c r="AJ522" s="2954"/>
      <c r="AK522" s="2954"/>
      <c r="AL522" s="2954"/>
      <c r="AM522" s="2954"/>
      <c r="AN522" s="2954"/>
      <c r="AO522" s="2954"/>
      <c r="AP522" s="2954"/>
      <c r="AQ522" s="2954"/>
      <c r="AR522" s="2954"/>
      <c r="AS522" s="2954"/>
      <c r="AT522" s="2935"/>
      <c r="AU522" s="2964"/>
      <c r="AV522" s="857">
        <f t="shared" si="298"/>
        <v>0</v>
      </c>
      <c r="AW522" s="857">
        <f t="shared" si="299"/>
        <v>0</v>
      </c>
      <c r="AX522" s="857">
        <f t="shared" si="300"/>
        <v>0</v>
      </c>
      <c r="AY522" s="807">
        <f t="shared" ref="AY522:AY552" si="304">ROUND($AY$6*AZ522/$AZ$5,2)</f>
        <v>0</v>
      </c>
      <c r="AZ522" s="2934">
        <f t="shared" ref="AZ522:AZ552" si="305">BA522+BL522</f>
        <v>0</v>
      </c>
      <c r="BA522" s="2934">
        <f t="shared" ref="BA522:BA552" si="306">SUM(BB522:BK522)</f>
        <v>0</v>
      </c>
      <c r="BB522" s="2934">
        <f t="shared" ref="BB522:BB552" si="307">IF($D522="是",I522-J522,0)</f>
        <v>0</v>
      </c>
      <c r="BC522" s="2934">
        <f t="shared" ref="BC522:BC552" si="308">IF($D522="是",K522-L522,0)</f>
        <v>0</v>
      </c>
      <c r="BD522" s="2934">
        <f t="shared" ref="BD522:BD552" si="309">IF($D522="是",M522-N522,0)</f>
        <v>0</v>
      </c>
      <c r="BE522" s="2934">
        <f t="shared" ref="BE522:BE552" si="310">IF($D522="是",O522-P522,0)</f>
        <v>0</v>
      </c>
      <c r="BF522" s="2934">
        <f t="shared" ref="BF522:BF552" si="311">IF($D522="是",Q522-R522,0)</f>
        <v>0</v>
      </c>
      <c r="BG522" s="2934">
        <f t="shared" ref="BG522:BG552" si="312">IF($D522="是",S522-T522,0)</f>
        <v>0</v>
      </c>
      <c r="BH522" s="2934">
        <f t="shared" ref="BH522:BH552" si="313">IF($D522="是",U522-V522,0)</f>
        <v>0</v>
      </c>
      <c r="BI522" s="2934">
        <f t="shared" ref="BI522:BI552" si="314">IF($D522="是",W522-X522,0)</f>
        <v>0</v>
      </c>
      <c r="BJ522" s="2934">
        <f t="shared" ref="BJ522:BJ552" si="315">IF($D522="是",Y522-Z522,0)</f>
        <v>0</v>
      </c>
      <c r="BK522" s="2934">
        <f t="shared" ref="BK522:BK552" si="316">IF($D522="是",AA522-AB522,0)</f>
        <v>0</v>
      </c>
      <c r="BL522" s="2934">
        <f t="shared" ref="BL522:BL552" si="317">SUM(BM522:BT522)</f>
        <v>0</v>
      </c>
      <c r="BM522" s="2934">
        <f t="shared" ref="BM522:BM552" si="318">IF($D522="是",AD522-AE522,0)</f>
        <v>0</v>
      </c>
      <c r="BN522" s="2934">
        <f t="shared" ref="BN522:BN552" si="319">IF($D522="是",AF522-AG522,0)</f>
        <v>0</v>
      </c>
      <c r="BO522" s="2934">
        <f t="shared" ref="BO522:BO552" si="320">IF($D522="是",AH522-AI522,0)</f>
        <v>0</v>
      </c>
      <c r="BP522" s="2934">
        <f t="shared" ref="BP522:BP552" si="321">IF($D522="是",AJ522-AK522,0)</f>
        <v>0</v>
      </c>
      <c r="BQ522" s="2934">
        <f t="shared" ref="BQ522:BQ552" si="322">IF($D522="是",AL522-AM522,0)</f>
        <v>0</v>
      </c>
      <c r="BR522" s="2934">
        <f t="shared" ref="BR522:BR552" si="323">IF($D522="是",AN522-AO522,0)</f>
        <v>0</v>
      </c>
      <c r="BS522" s="2934">
        <f t="shared" ref="BS522:BS552" si="324">IF($D522="是",AP522-AQ522,0)</f>
        <v>0</v>
      </c>
      <c r="BT522" s="2982">
        <f t="shared" ref="BT522:BT552" si="325">IF($D522="是",AR522-AS522,0)</f>
        <v>0</v>
      </c>
    </row>
    <row r="523" spans="1:72">
      <c r="A523" s="874"/>
      <c r="B523" s="882"/>
      <c r="C523" s="882"/>
      <c r="D523" s="2933"/>
      <c r="E523" s="2934">
        <f t="shared" si="297"/>
        <v>0</v>
      </c>
      <c r="F523" s="2935"/>
      <c r="G523" s="2936">
        <f t="shared" si="301"/>
        <v>0</v>
      </c>
      <c r="H523" s="2937">
        <f t="shared" si="302"/>
        <v>0</v>
      </c>
      <c r="I523" s="2944"/>
      <c r="J523" s="2944"/>
      <c r="K523" s="2944"/>
      <c r="L523" s="2944"/>
      <c r="M523" s="2944"/>
      <c r="N523" s="2944"/>
      <c r="O523" s="2944"/>
      <c r="P523" s="2944"/>
      <c r="Q523" s="2944"/>
      <c r="R523" s="2944"/>
      <c r="S523" s="2944"/>
      <c r="T523" s="2944"/>
      <c r="U523" s="2944"/>
      <c r="V523" s="2944"/>
      <c r="W523" s="2944"/>
      <c r="X523" s="2944"/>
      <c r="Y523" s="2944"/>
      <c r="Z523" s="2944"/>
      <c r="AA523" s="2944"/>
      <c r="AB523" s="2944"/>
      <c r="AC523" s="2934">
        <f t="shared" si="303"/>
        <v>0</v>
      </c>
      <c r="AD523" s="2954"/>
      <c r="AE523" s="2954"/>
      <c r="AF523" s="2954"/>
      <c r="AG523" s="2954"/>
      <c r="AH523" s="2954"/>
      <c r="AI523" s="2954"/>
      <c r="AJ523" s="2954"/>
      <c r="AK523" s="2954"/>
      <c r="AL523" s="2954"/>
      <c r="AM523" s="2954"/>
      <c r="AN523" s="2954"/>
      <c r="AO523" s="2954"/>
      <c r="AP523" s="2954"/>
      <c r="AQ523" s="2954"/>
      <c r="AR523" s="2954"/>
      <c r="AS523" s="2954"/>
      <c r="AT523" s="2935"/>
      <c r="AU523" s="2964"/>
      <c r="AV523" s="857">
        <f t="shared" si="298"/>
        <v>0</v>
      </c>
      <c r="AW523" s="857">
        <f t="shared" si="299"/>
        <v>0</v>
      </c>
      <c r="AX523" s="857">
        <f t="shared" si="300"/>
        <v>0</v>
      </c>
      <c r="AY523" s="807">
        <f t="shared" si="304"/>
        <v>0</v>
      </c>
      <c r="AZ523" s="2934">
        <f t="shared" si="305"/>
        <v>0</v>
      </c>
      <c r="BA523" s="2934">
        <f t="shared" si="306"/>
        <v>0</v>
      </c>
      <c r="BB523" s="2934">
        <f t="shared" si="307"/>
        <v>0</v>
      </c>
      <c r="BC523" s="2934">
        <f t="shared" si="308"/>
        <v>0</v>
      </c>
      <c r="BD523" s="2934">
        <f t="shared" si="309"/>
        <v>0</v>
      </c>
      <c r="BE523" s="2934">
        <f t="shared" si="310"/>
        <v>0</v>
      </c>
      <c r="BF523" s="2934">
        <f t="shared" si="311"/>
        <v>0</v>
      </c>
      <c r="BG523" s="2934">
        <f t="shared" si="312"/>
        <v>0</v>
      </c>
      <c r="BH523" s="2934">
        <f t="shared" si="313"/>
        <v>0</v>
      </c>
      <c r="BI523" s="2934">
        <f t="shared" si="314"/>
        <v>0</v>
      </c>
      <c r="BJ523" s="2934">
        <f t="shared" si="315"/>
        <v>0</v>
      </c>
      <c r="BK523" s="2934">
        <f t="shared" si="316"/>
        <v>0</v>
      </c>
      <c r="BL523" s="2934">
        <f t="shared" si="317"/>
        <v>0</v>
      </c>
      <c r="BM523" s="2934">
        <f t="shared" si="318"/>
        <v>0</v>
      </c>
      <c r="BN523" s="2934">
        <f t="shared" si="319"/>
        <v>0</v>
      </c>
      <c r="BO523" s="2934">
        <f t="shared" si="320"/>
        <v>0</v>
      </c>
      <c r="BP523" s="2934">
        <f t="shared" si="321"/>
        <v>0</v>
      </c>
      <c r="BQ523" s="2934">
        <f t="shared" si="322"/>
        <v>0</v>
      </c>
      <c r="BR523" s="2934">
        <f t="shared" si="323"/>
        <v>0</v>
      </c>
      <c r="BS523" s="2934">
        <f t="shared" si="324"/>
        <v>0</v>
      </c>
      <c r="BT523" s="2982">
        <f t="shared" si="325"/>
        <v>0</v>
      </c>
    </row>
    <row r="524" spans="1:72">
      <c r="A524" s="874"/>
      <c r="B524" s="882"/>
      <c r="C524" s="882"/>
      <c r="D524" s="2933"/>
      <c r="E524" s="2934">
        <f t="shared" si="297"/>
        <v>0</v>
      </c>
      <c r="F524" s="2935"/>
      <c r="G524" s="2936">
        <f t="shared" si="301"/>
        <v>0</v>
      </c>
      <c r="H524" s="2937">
        <f t="shared" si="302"/>
        <v>0</v>
      </c>
      <c r="I524" s="2944"/>
      <c r="J524" s="2944"/>
      <c r="K524" s="2944"/>
      <c r="L524" s="2944"/>
      <c r="M524" s="2944"/>
      <c r="N524" s="2944"/>
      <c r="O524" s="2944"/>
      <c r="P524" s="2944"/>
      <c r="Q524" s="2944"/>
      <c r="R524" s="2944"/>
      <c r="S524" s="2944"/>
      <c r="T524" s="2944"/>
      <c r="U524" s="2944"/>
      <c r="V524" s="2944"/>
      <c r="W524" s="2944"/>
      <c r="X524" s="2944"/>
      <c r="Y524" s="2944"/>
      <c r="Z524" s="2944"/>
      <c r="AA524" s="2944"/>
      <c r="AB524" s="2944"/>
      <c r="AC524" s="2934">
        <f t="shared" si="303"/>
        <v>0</v>
      </c>
      <c r="AD524" s="2954"/>
      <c r="AE524" s="2954"/>
      <c r="AF524" s="2954"/>
      <c r="AG524" s="2954"/>
      <c r="AH524" s="2954"/>
      <c r="AI524" s="2954"/>
      <c r="AJ524" s="2954"/>
      <c r="AK524" s="2954"/>
      <c r="AL524" s="2954"/>
      <c r="AM524" s="2954"/>
      <c r="AN524" s="2954"/>
      <c r="AO524" s="2954"/>
      <c r="AP524" s="2954"/>
      <c r="AQ524" s="2954"/>
      <c r="AR524" s="2954"/>
      <c r="AS524" s="2954"/>
      <c r="AT524" s="2935"/>
      <c r="AU524" s="2964"/>
      <c r="AV524" s="857">
        <f t="shared" si="298"/>
        <v>0</v>
      </c>
      <c r="AW524" s="857">
        <f t="shared" si="299"/>
        <v>0</v>
      </c>
      <c r="AX524" s="857">
        <f t="shared" si="300"/>
        <v>0</v>
      </c>
      <c r="AY524" s="807">
        <f t="shared" si="304"/>
        <v>0</v>
      </c>
      <c r="AZ524" s="2934">
        <f t="shared" si="305"/>
        <v>0</v>
      </c>
      <c r="BA524" s="2934">
        <f t="shared" si="306"/>
        <v>0</v>
      </c>
      <c r="BB524" s="2934">
        <f t="shared" si="307"/>
        <v>0</v>
      </c>
      <c r="BC524" s="2934">
        <f t="shared" si="308"/>
        <v>0</v>
      </c>
      <c r="BD524" s="2934">
        <f t="shared" si="309"/>
        <v>0</v>
      </c>
      <c r="BE524" s="2934">
        <f t="shared" si="310"/>
        <v>0</v>
      </c>
      <c r="BF524" s="2934">
        <f t="shared" si="311"/>
        <v>0</v>
      </c>
      <c r="BG524" s="2934">
        <f t="shared" si="312"/>
        <v>0</v>
      </c>
      <c r="BH524" s="2934">
        <f t="shared" si="313"/>
        <v>0</v>
      </c>
      <c r="BI524" s="2934">
        <f t="shared" si="314"/>
        <v>0</v>
      </c>
      <c r="BJ524" s="2934">
        <f t="shared" si="315"/>
        <v>0</v>
      </c>
      <c r="BK524" s="2934">
        <f t="shared" si="316"/>
        <v>0</v>
      </c>
      <c r="BL524" s="2934">
        <f t="shared" si="317"/>
        <v>0</v>
      </c>
      <c r="BM524" s="2934">
        <f t="shared" si="318"/>
        <v>0</v>
      </c>
      <c r="BN524" s="2934">
        <f t="shared" si="319"/>
        <v>0</v>
      </c>
      <c r="BO524" s="2934">
        <f t="shared" si="320"/>
        <v>0</v>
      </c>
      <c r="BP524" s="2934">
        <f t="shared" si="321"/>
        <v>0</v>
      </c>
      <c r="BQ524" s="2934">
        <f t="shared" si="322"/>
        <v>0</v>
      </c>
      <c r="BR524" s="2934">
        <f t="shared" si="323"/>
        <v>0</v>
      </c>
      <c r="BS524" s="2934">
        <f t="shared" si="324"/>
        <v>0</v>
      </c>
      <c r="BT524" s="2982">
        <f t="shared" si="325"/>
        <v>0</v>
      </c>
    </row>
    <row r="525" spans="1:72">
      <c r="A525" s="874"/>
      <c r="B525" s="882"/>
      <c r="C525" s="882"/>
      <c r="D525" s="2933"/>
      <c r="E525" s="2934">
        <f t="shared" si="297"/>
        <v>0</v>
      </c>
      <c r="F525" s="2935"/>
      <c r="G525" s="2936">
        <f t="shared" si="301"/>
        <v>0</v>
      </c>
      <c r="H525" s="2937">
        <f t="shared" si="302"/>
        <v>0</v>
      </c>
      <c r="I525" s="2944"/>
      <c r="J525" s="2944"/>
      <c r="K525" s="2944"/>
      <c r="L525" s="2944"/>
      <c r="M525" s="2944"/>
      <c r="N525" s="2944"/>
      <c r="O525" s="2944"/>
      <c r="P525" s="2944"/>
      <c r="Q525" s="2944"/>
      <c r="R525" s="2944"/>
      <c r="S525" s="2944"/>
      <c r="T525" s="2944"/>
      <c r="U525" s="2944"/>
      <c r="V525" s="2944"/>
      <c r="W525" s="2944"/>
      <c r="X525" s="2944"/>
      <c r="Y525" s="2944"/>
      <c r="Z525" s="2944"/>
      <c r="AA525" s="2944"/>
      <c r="AB525" s="2944"/>
      <c r="AC525" s="2934">
        <f t="shared" si="303"/>
        <v>0</v>
      </c>
      <c r="AD525" s="2954"/>
      <c r="AE525" s="2954"/>
      <c r="AF525" s="2954"/>
      <c r="AG525" s="2954"/>
      <c r="AH525" s="2954"/>
      <c r="AI525" s="2954"/>
      <c r="AJ525" s="2954"/>
      <c r="AK525" s="2954"/>
      <c r="AL525" s="2954"/>
      <c r="AM525" s="2954"/>
      <c r="AN525" s="2954"/>
      <c r="AO525" s="2954"/>
      <c r="AP525" s="2954"/>
      <c r="AQ525" s="2954"/>
      <c r="AR525" s="2954"/>
      <c r="AS525" s="2954"/>
      <c r="AT525" s="2935"/>
      <c r="AU525" s="2964"/>
      <c r="AV525" s="857">
        <f t="shared" si="298"/>
        <v>0</v>
      </c>
      <c r="AW525" s="857">
        <f t="shared" si="299"/>
        <v>0</v>
      </c>
      <c r="AX525" s="857">
        <f t="shared" si="300"/>
        <v>0</v>
      </c>
      <c r="AY525" s="807">
        <f t="shared" si="304"/>
        <v>0</v>
      </c>
      <c r="AZ525" s="2934">
        <f t="shared" si="305"/>
        <v>0</v>
      </c>
      <c r="BA525" s="2934">
        <f t="shared" si="306"/>
        <v>0</v>
      </c>
      <c r="BB525" s="2934">
        <f t="shared" si="307"/>
        <v>0</v>
      </c>
      <c r="BC525" s="2934">
        <f t="shared" si="308"/>
        <v>0</v>
      </c>
      <c r="BD525" s="2934">
        <f t="shared" si="309"/>
        <v>0</v>
      </c>
      <c r="BE525" s="2934">
        <f t="shared" si="310"/>
        <v>0</v>
      </c>
      <c r="BF525" s="2934">
        <f t="shared" si="311"/>
        <v>0</v>
      </c>
      <c r="BG525" s="2934">
        <f t="shared" si="312"/>
        <v>0</v>
      </c>
      <c r="BH525" s="2934">
        <f t="shared" si="313"/>
        <v>0</v>
      </c>
      <c r="BI525" s="2934">
        <f t="shared" si="314"/>
        <v>0</v>
      </c>
      <c r="BJ525" s="2934">
        <f t="shared" si="315"/>
        <v>0</v>
      </c>
      <c r="BK525" s="2934">
        <f t="shared" si="316"/>
        <v>0</v>
      </c>
      <c r="BL525" s="2934">
        <f t="shared" si="317"/>
        <v>0</v>
      </c>
      <c r="BM525" s="2934">
        <f t="shared" si="318"/>
        <v>0</v>
      </c>
      <c r="BN525" s="2934">
        <f t="shared" si="319"/>
        <v>0</v>
      </c>
      <c r="BO525" s="2934">
        <f t="shared" si="320"/>
        <v>0</v>
      </c>
      <c r="BP525" s="2934">
        <f t="shared" si="321"/>
        <v>0</v>
      </c>
      <c r="BQ525" s="2934">
        <f t="shared" si="322"/>
        <v>0</v>
      </c>
      <c r="BR525" s="2934">
        <f t="shared" si="323"/>
        <v>0</v>
      </c>
      <c r="BS525" s="2934">
        <f t="shared" si="324"/>
        <v>0</v>
      </c>
      <c r="BT525" s="2982">
        <f t="shared" si="325"/>
        <v>0</v>
      </c>
    </row>
    <row r="526" spans="1:72">
      <c r="A526" s="874"/>
      <c r="B526" s="882"/>
      <c r="C526" s="882"/>
      <c r="D526" s="2933"/>
      <c r="E526" s="2934">
        <f t="shared" si="297"/>
        <v>0</v>
      </c>
      <c r="F526" s="2935"/>
      <c r="G526" s="2936">
        <f t="shared" si="301"/>
        <v>0</v>
      </c>
      <c r="H526" s="2937">
        <f t="shared" si="302"/>
        <v>0</v>
      </c>
      <c r="I526" s="2944"/>
      <c r="J526" s="2944"/>
      <c r="K526" s="2944"/>
      <c r="L526" s="2944"/>
      <c r="M526" s="2944"/>
      <c r="N526" s="2944"/>
      <c r="O526" s="2944"/>
      <c r="P526" s="2944"/>
      <c r="Q526" s="2944"/>
      <c r="R526" s="2944"/>
      <c r="S526" s="2944"/>
      <c r="T526" s="2944"/>
      <c r="U526" s="2944"/>
      <c r="V526" s="2944"/>
      <c r="W526" s="2944"/>
      <c r="X526" s="2944"/>
      <c r="Y526" s="2944"/>
      <c r="Z526" s="2944"/>
      <c r="AA526" s="2944"/>
      <c r="AB526" s="2944"/>
      <c r="AC526" s="2934">
        <f t="shared" si="303"/>
        <v>0</v>
      </c>
      <c r="AD526" s="2954"/>
      <c r="AE526" s="2954"/>
      <c r="AF526" s="2954"/>
      <c r="AG526" s="2954"/>
      <c r="AH526" s="2954"/>
      <c r="AI526" s="2954"/>
      <c r="AJ526" s="2954"/>
      <c r="AK526" s="2954"/>
      <c r="AL526" s="2954"/>
      <c r="AM526" s="2954"/>
      <c r="AN526" s="2954"/>
      <c r="AO526" s="2954"/>
      <c r="AP526" s="2954"/>
      <c r="AQ526" s="2954"/>
      <c r="AR526" s="2954"/>
      <c r="AS526" s="2954"/>
      <c r="AT526" s="2935"/>
      <c r="AU526" s="2964"/>
      <c r="AV526" s="857">
        <f t="shared" si="298"/>
        <v>0</v>
      </c>
      <c r="AW526" s="857">
        <f t="shared" si="299"/>
        <v>0</v>
      </c>
      <c r="AX526" s="857">
        <f t="shared" si="300"/>
        <v>0</v>
      </c>
      <c r="AY526" s="807">
        <f t="shared" si="304"/>
        <v>0</v>
      </c>
      <c r="AZ526" s="2934">
        <f t="shared" si="305"/>
        <v>0</v>
      </c>
      <c r="BA526" s="2934">
        <f t="shared" si="306"/>
        <v>0</v>
      </c>
      <c r="BB526" s="2934">
        <f t="shared" si="307"/>
        <v>0</v>
      </c>
      <c r="BC526" s="2934">
        <f t="shared" si="308"/>
        <v>0</v>
      </c>
      <c r="BD526" s="2934">
        <f t="shared" si="309"/>
        <v>0</v>
      </c>
      <c r="BE526" s="2934">
        <f t="shared" si="310"/>
        <v>0</v>
      </c>
      <c r="BF526" s="2934">
        <f t="shared" si="311"/>
        <v>0</v>
      </c>
      <c r="BG526" s="2934">
        <f t="shared" si="312"/>
        <v>0</v>
      </c>
      <c r="BH526" s="2934">
        <f t="shared" si="313"/>
        <v>0</v>
      </c>
      <c r="BI526" s="2934">
        <f t="shared" si="314"/>
        <v>0</v>
      </c>
      <c r="BJ526" s="2934">
        <f t="shared" si="315"/>
        <v>0</v>
      </c>
      <c r="BK526" s="2934">
        <f t="shared" si="316"/>
        <v>0</v>
      </c>
      <c r="BL526" s="2934">
        <f t="shared" si="317"/>
        <v>0</v>
      </c>
      <c r="BM526" s="2934">
        <f t="shared" si="318"/>
        <v>0</v>
      </c>
      <c r="BN526" s="2934">
        <f t="shared" si="319"/>
        <v>0</v>
      </c>
      <c r="BO526" s="2934">
        <f t="shared" si="320"/>
        <v>0</v>
      </c>
      <c r="BP526" s="2934">
        <f t="shared" si="321"/>
        <v>0</v>
      </c>
      <c r="BQ526" s="2934">
        <f t="shared" si="322"/>
        <v>0</v>
      </c>
      <c r="BR526" s="2934">
        <f t="shared" si="323"/>
        <v>0</v>
      </c>
      <c r="BS526" s="2934">
        <f t="shared" si="324"/>
        <v>0</v>
      </c>
      <c r="BT526" s="2982">
        <f t="shared" si="325"/>
        <v>0</v>
      </c>
    </row>
    <row r="527" spans="1:72">
      <c r="A527" s="874"/>
      <c r="B527" s="882"/>
      <c r="C527" s="882"/>
      <c r="D527" s="2933"/>
      <c r="E527" s="2934">
        <f t="shared" si="297"/>
        <v>0</v>
      </c>
      <c r="F527" s="2935"/>
      <c r="G527" s="2936">
        <f t="shared" si="301"/>
        <v>0</v>
      </c>
      <c r="H527" s="2937">
        <f t="shared" si="302"/>
        <v>0</v>
      </c>
      <c r="I527" s="2944"/>
      <c r="J527" s="2944"/>
      <c r="K527" s="2944"/>
      <c r="L527" s="2944"/>
      <c r="M527" s="2944"/>
      <c r="N527" s="2944"/>
      <c r="O527" s="2944"/>
      <c r="P527" s="2944"/>
      <c r="Q527" s="2944"/>
      <c r="R527" s="2944"/>
      <c r="S527" s="2944"/>
      <c r="T527" s="2944"/>
      <c r="U527" s="2944"/>
      <c r="V527" s="2944"/>
      <c r="W527" s="2944"/>
      <c r="X527" s="2944"/>
      <c r="Y527" s="2944"/>
      <c r="Z527" s="2944"/>
      <c r="AA527" s="2944"/>
      <c r="AB527" s="2944"/>
      <c r="AC527" s="2934">
        <f t="shared" si="303"/>
        <v>0</v>
      </c>
      <c r="AD527" s="2954"/>
      <c r="AE527" s="2954"/>
      <c r="AF527" s="2954"/>
      <c r="AG527" s="2954"/>
      <c r="AH527" s="2954"/>
      <c r="AI527" s="2954"/>
      <c r="AJ527" s="2954"/>
      <c r="AK527" s="2954"/>
      <c r="AL527" s="2954"/>
      <c r="AM527" s="2954"/>
      <c r="AN527" s="2954"/>
      <c r="AO527" s="2954"/>
      <c r="AP527" s="2954"/>
      <c r="AQ527" s="2954"/>
      <c r="AR527" s="2954"/>
      <c r="AS527" s="2954"/>
      <c r="AT527" s="2935"/>
      <c r="AU527" s="2964"/>
      <c r="AV527" s="857">
        <f t="shared" si="298"/>
        <v>0</v>
      </c>
      <c r="AW527" s="857">
        <f t="shared" si="299"/>
        <v>0</v>
      </c>
      <c r="AX527" s="857">
        <f t="shared" si="300"/>
        <v>0</v>
      </c>
      <c r="AY527" s="807">
        <f t="shared" si="304"/>
        <v>0</v>
      </c>
      <c r="AZ527" s="2934">
        <f t="shared" si="305"/>
        <v>0</v>
      </c>
      <c r="BA527" s="2934">
        <f t="shared" si="306"/>
        <v>0</v>
      </c>
      <c r="BB527" s="2934">
        <f t="shared" si="307"/>
        <v>0</v>
      </c>
      <c r="BC527" s="2934">
        <f t="shared" si="308"/>
        <v>0</v>
      </c>
      <c r="BD527" s="2934">
        <f t="shared" si="309"/>
        <v>0</v>
      </c>
      <c r="BE527" s="2934">
        <f t="shared" si="310"/>
        <v>0</v>
      </c>
      <c r="BF527" s="2934">
        <f t="shared" si="311"/>
        <v>0</v>
      </c>
      <c r="BG527" s="2934">
        <f t="shared" si="312"/>
        <v>0</v>
      </c>
      <c r="BH527" s="2934">
        <f t="shared" si="313"/>
        <v>0</v>
      </c>
      <c r="BI527" s="2934">
        <f t="shared" si="314"/>
        <v>0</v>
      </c>
      <c r="BJ527" s="2934">
        <f t="shared" si="315"/>
        <v>0</v>
      </c>
      <c r="BK527" s="2934">
        <f t="shared" si="316"/>
        <v>0</v>
      </c>
      <c r="BL527" s="2934">
        <f t="shared" si="317"/>
        <v>0</v>
      </c>
      <c r="BM527" s="2934">
        <f t="shared" si="318"/>
        <v>0</v>
      </c>
      <c r="BN527" s="2934">
        <f t="shared" si="319"/>
        <v>0</v>
      </c>
      <c r="BO527" s="2934">
        <f t="shared" si="320"/>
        <v>0</v>
      </c>
      <c r="BP527" s="2934">
        <f t="shared" si="321"/>
        <v>0</v>
      </c>
      <c r="BQ527" s="2934">
        <f t="shared" si="322"/>
        <v>0</v>
      </c>
      <c r="BR527" s="2934">
        <f t="shared" si="323"/>
        <v>0</v>
      </c>
      <c r="BS527" s="2934">
        <f t="shared" si="324"/>
        <v>0</v>
      </c>
      <c r="BT527" s="2982">
        <f t="shared" si="325"/>
        <v>0</v>
      </c>
    </row>
    <row r="528" spans="1:72">
      <c r="A528" s="874"/>
      <c r="B528" s="882"/>
      <c r="C528" s="882"/>
      <c r="D528" s="2933"/>
      <c r="E528" s="2934">
        <f t="shared" si="297"/>
        <v>0</v>
      </c>
      <c r="F528" s="2935"/>
      <c r="G528" s="2936">
        <f t="shared" si="301"/>
        <v>0</v>
      </c>
      <c r="H528" s="2937">
        <f t="shared" si="302"/>
        <v>0</v>
      </c>
      <c r="I528" s="2944"/>
      <c r="J528" s="2944"/>
      <c r="K528" s="2944"/>
      <c r="L528" s="2944"/>
      <c r="M528" s="2944"/>
      <c r="N528" s="2944"/>
      <c r="O528" s="2944"/>
      <c r="P528" s="2944"/>
      <c r="Q528" s="2944"/>
      <c r="R528" s="2944"/>
      <c r="S528" s="2944"/>
      <c r="T528" s="2944"/>
      <c r="U528" s="2944"/>
      <c r="V528" s="2944"/>
      <c r="W528" s="2944"/>
      <c r="X528" s="2944"/>
      <c r="Y528" s="2944"/>
      <c r="Z528" s="2944"/>
      <c r="AA528" s="2944"/>
      <c r="AB528" s="2944"/>
      <c r="AC528" s="2934">
        <f t="shared" si="303"/>
        <v>0</v>
      </c>
      <c r="AD528" s="2954"/>
      <c r="AE528" s="2954"/>
      <c r="AF528" s="2954"/>
      <c r="AG528" s="2954"/>
      <c r="AH528" s="2954"/>
      <c r="AI528" s="2954"/>
      <c r="AJ528" s="2954"/>
      <c r="AK528" s="2954"/>
      <c r="AL528" s="2954"/>
      <c r="AM528" s="2954"/>
      <c r="AN528" s="2954"/>
      <c r="AO528" s="2954"/>
      <c r="AP528" s="2954"/>
      <c r="AQ528" s="2954"/>
      <c r="AR528" s="2954"/>
      <c r="AS528" s="2954"/>
      <c r="AT528" s="2935"/>
      <c r="AU528" s="2964"/>
      <c r="AV528" s="857">
        <f t="shared" si="298"/>
        <v>0</v>
      </c>
      <c r="AW528" s="857">
        <f t="shared" si="299"/>
        <v>0</v>
      </c>
      <c r="AX528" s="857">
        <f t="shared" si="300"/>
        <v>0</v>
      </c>
      <c r="AY528" s="807">
        <f t="shared" si="304"/>
        <v>0</v>
      </c>
      <c r="AZ528" s="2934">
        <f t="shared" si="305"/>
        <v>0</v>
      </c>
      <c r="BA528" s="2934">
        <f t="shared" si="306"/>
        <v>0</v>
      </c>
      <c r="BB528" s="2934">
        <f t="shared" si="307"/>
        <v>0</v>
      </c>
      <c r="BC528" s="2934">
        <f t="shared" si="308"/>
        <v>0</v>
      </c>
      <c r="BD528" s="2934">
        <f t="shared" si="309"/>
        <v>0</v>
      </c>
      <c r="BE528" s="2934">
        <f t="shared" si="310"/>
        <v>0</v>
      </c>
      <c r="BF528" s="2934">
        <f t="shared" si="311"/>
        <v>0</v>
      </c>
      <c r="BG528" s="2934">
        <f t="shared" si="312"/>
        <v>0</v>
      </c>
      <c r="BH528" s="2934">
        <f t="shared" si="313"/>
        <v>0</v>
      </c>
      <c r="BI528" s="2934">
        <f t="shared" si="314"/>
        <v>0</v>
      </c>
      <c r="BJ528" s="2934">
        <f t="shared" si="315"/>
        <v>0</v>
      </c>
      <c r="BK528" s="2934">
        <f t="shared" si="316"/>
        <v>0</v>
      </c>
      <c r="BL528" s="2934">
        <f t="shared" si="317"/>
        <v>0</v>
      </c>
      <c r="BM528" s="2934">
        <f t="shared" si="318"/>
        <v>0</v>
      </c>
      <c r="BN528" s="2934">
        <f t="shared" si="319"/>
        <v>0</v>
      </c>
      <c r="BO528" s="2934">
        <f t="shared" si="320"/>
        <v>0</v>
      </c>
      <c r="BP528" s="2934">
        <f t="shared" si="321"/>
        <v>0</v>
      </c>
      <c r="BQ528" s="2934">
        <f t="shared" si="322"/>
        <v>0</v>
      </c>
      <c r="BR528" s="2934">
        <f t="shared" si="323"/>
        <v>0</v>
      </c>
      <c r="BS528" s="2934">
        <f t="shared" si="324"/>
        <v>0</v>
      </c>
      <c r="BT528" s="2982">
        <f t="shared" si="325"/>
        <v>0</v>
      </c>
    </row>
    <row r="529" spans="1:72">
      <c r="A529" s="874"/>
      <c r="B529" s="882"/>
      <c r="C529" s="882"/>
      <c r="D529" s="2933"/>
      <c r="E529" s="2934">
        <f t="shared" si="297"/>
        <v>0</v>
      </c>
      <c r="F529" s="2935"/>
      <c r="G529" s="2936">
        <f t="shared" si="301"/>
        <v>0</v>
      </c>
      <c r="H529" s="2937">
        <f t="shared" si="302"/>
        <v>0</v>
      </c>
      <c r="I529" s="2944"/>
      <c r="J529" s="2944"/>
      <c r="K529" s="2944"/>
      <c r="L529" s="2944"/>
      <c r="M529" s="2944"/>
      <c r="N529" s="2944"/>
      <c r="O529" s="2944"/>
      <c r="P529" s="2944"/>
      <c r="Q529" s="2944"/>
      <c r="R529" s="2944"/>
      <c r="S529" s="2944"/>
      <c r="T529" s="2944"/>
      <c r="U529" s="2944"/>
      <c r="V529" s="2944"/>
      <c r="W529" s="2944"/>
      <c r="X529" s="2944"/>
      <c r="Y529" s="2944"/>
      <c r="Z529" s="2944"/>
      <c r="AA529" s="2944"/>
      <c r="AB529" s="2944"/>
      <c r="AC529" s="2934">
        <f t="shared" si="303"/>
        <v>0</v>
      </c>
      <c r="AD529" s="2954"/>
      <c r="AE529" s="2954"/>
      <c r="AF529" s="2954"/>
      <c r="AG529" s="2954"/>
      <c r="AH529" s="2954"/>
      <c r="AI529" s="2954"/>
      <c r="AJ529" s="2954"/>
      <c r="AK529" s="2954"/>
      <c r="AL529" s="2954"/>
      <c r="AM529" s="2954"/>
      <c r="AN529" s="2954"/>
      <c r="AO529" s="2954"/>
      <c r="AP529" s="2954"/>
      <c r="AQ529" s="2954"/>
      <c r="AR529" s="2954"/>
      <c r="AS529" s="2954"/>
      <c r="AT529" s="2935"/>
      <c r="AU529" s="2964"/>
      <c r="AV529" s="857">
        <f t="shared" si="298"/>
        <v>0</v>
      </c>
      <c r="AW529" s="857">
        <f t="shared" si="299"/>
        <v>0</v>
      </c>
      <c r="AX529" s="857">
        <f t="shared" si="300"/>
        <v>0</v>
      </c>
      <c r="AY529" s="807">
        <f t="shared" si="304"/>
        <v>0</v>
      </c>
      <c r="AZ529" s="2934">
        <f t="shared" si="305"/>
        <v>0</v>
      </c>
      <c r="BA529" s="2934">
        <f t="shared" si="306"/>
        <v>0</v>
      </c>
      <c r="BB529" s="2934">
        <f t="shared" si="307"/>
        <v>0</v>
      </c>
      <c r="BC529" s="2934">
        <f t="shared" si="308"/>
        <v>0</v>
      </c>
      <c r="BD529" s="2934">
        <f t="shared" si="309"/>
        <v>0</v>
      </c>
      <c r="BE529" s="2934">
        <f t="shared" si="310"/>
        <v>0</v>
      </c>
      <c r="BF529" s="2934">
        <f t="shared" si="311"/>
        <v>0</v>
      </c>
      <c r="BG529" s="2934">
        <f t="shared" si="312"/>
        <v>0</v>
      </c>
      <c r="BH529" s="2934">
        <f t="shared" si="313"/>
        <v>0</v>
      </c>
      <c r="BI529" s="2934">
        <f t="shared" si="314"/>
        <v>0</v>
      </c>
      <c r="BJ529" s="2934">
        <f t="shared" si="315"/>
        <v>0</v>
      </c>
      <c r="BK529" s="2934">
        <f t="shared" si="316"/>
        <v>0</v>
      </c>
      <c r="BL529" s="2934">
        <f t="shared" si="317"/>
        <v>0</v>
      </c>
      <c r="BM529" s="2934">
        <f t="shared" si="318"/>
        <v>0</v>
      </c>
      <c r="BN529" s="2934">
        <f t="shared" si="319"/>
        <v>0</v>
      </c>
      <c r="BO529" s="2934">
        <f t="shared" si="320"/>
        <v>0</v>
      </c>
      <c r="BP529" s="2934">
        <f t="shared" si="321"/>
        <v>0</v>
      </c>
      <c r="BQ529" s="2934">
        <f t="shared" si="322"/>
        <v>0</v>
      </c>
      <c r="BR529" s="2934">
        <f t="shared" si="323"/>
        <v>0</v>
      </c>
      <c r="BS529" s="2934">
        <f t="shared" si="324"/>
        <v>0</v>
      </c>
      <c r="BT529" s="2982">
        <f t="shared" si="325"/>
        <v>0</v>
      </c>
    </row>
    <row r="530" spans="1:72">
      <c r="A530" s="874"/>
      <c r="B530" s="882"/>
      <c r="C530" s="882"/>
      <c r="D530" s="2933"/>
      <c r="E530" s="2934">
        <f t="shared" si="297"/>
        <v>0</v>
      </c>
      <c r="F530" s="2935"/>
      <c r="G530" s="2936">
        <f t="shared" si="301"/>
        <v>0</v>
      </c>
      <c r="H530" s="2937">
        <f t="shared" si="302"/>
        <v>0</v>
      </c>
      <c r="I530" s="2944"/>
      <c r="J530" s="2944"/>
      <c r="K530" s="2944"/>
      <c r="L530" s="2944"/>
      <c r="M530" s="2944"/>
      <c r="N530" s="2944"/>
      <c r="O530" s="2944"/>
      <c r="P530" s="2944"/>
      <c r="Q530" s="2944"/>
      <c r="R530" s="2944"/>
      <c r="S530" s="2944"/>
      <c r="T530" s="2944"/>
      <c r="U530" s="2944"/>
      <c r="V530" s="2944"/>
      <c r="W530" s="2944"/>
      <c r="X530" s="2944"/>
      <c r="Y530" s="2944"/>
      <c r="Z530" s="2944"/>
      <c r="AA530" s="2944"/>
      <c r="AB530" s="2944"/>
      <c r="AC530" s="2934">
        <f t="shared" si="303"/>
        <v>0</v>
      </c>
      <c r="AD530" s="2954"/>
      <c r="AE530" s="2954"/>
      <c r="AF530" s="2954"/>
      <c r="AG530" s="2954"/>
      <c r="AH530" s="2954"/>
      <c r="AI530" s="2954"/>
      <c r="AJ530" s="2954"/>
      <c r="AK530" s="2954"/>
      <c r="AL530" s="2954"/>
      <c r="AM530" s="2954"/>
      <c r="AN530" s="2954"/>
      <c r="AO530" s="2954"/>
      <c r="AP530" s="2954"/>
      <c r="AQ530" s="2954"/>
      <c r="AR530" s="2954"/>
      <c r="AS530" s="2954"/>
      <c r="AT530" s="2935"/>
      <c r="AU530" s="2964"/>
      <c r="AV530" s="857">
        <f t="shared" si="298"/>
        <v>0</v>
      </c>
      <c r="AW530" s="857">
        <f t="shared" si="299"/>
        <v>0</v>
      </c>
      <c r="AX530" s="857">
        <f t="shared" si="300"/>
        <v>0</v>
      </c>
      <c r="AY530" s="807">
        <f t="shared" si="304"/>
        <v>0</v>
      </c>
      <c r="AZ530" s="2934">
        <f t="shared" si="305"/>
        <v>0</v>
      </c>
      <c r="BA530" s="2934">
        <f t="shared" si="306"/>
        <v>0</v>
      </c>
      <c r="BB530" s="2934">
        <f t="shared" si="307"/>
        <v>0</v>
      </c>
      <c r="BC530" s="2934">
        <f t="shared" si="308"/>
        <v>0</v>
      </c>
      <c r="BD530" s="2934">
        <f t="shared" si="309"/>
        <v>0</v>
      </c>
      <c r="BE530" s="2934">
        <f t="shared" si="310"/>
        <v>0</v>
      </c>
      <c r="BF530" s="2934">
        <f t="shared" si="311"/>
        <v>0</v>
      </c>
      <c r="BG530" s="2934">
        <f t="shared" si="312"/>
        <v>0</v>
      </c>
      <c r="BH530" s="2934">
        <f t="shared" si="313"/>
        <v>0</v>
      </c>
      <c r="BI530" s="2934">
        <f t="shared" si="314"/>
        <v>0</v>
      </c>
      <c r="BJ530" s="2934">
        <f t="shared" si="315"/>
        <v>0</v>
      </c>
      <c r="BK530" s="2934">
        <f t="shared" si="316"/>
        <v>0</v>
      </c>
      <c r="BL530" s="2934">
        <f t="shared" si="317"/>
        <v>0</v>
      </c>
      <c r="BM530" s="2934">
        <f t="shared" si="318"/>
        <v>0</v>
      </c>
      <c r="BN530" s="2934">
        <f t="shared" si="319"/>
        <v>0</v>
      </c>
      <c r="BO530" s="2934">
        <f t="shared" si="320"/>
        <v>0</v>
      </c>
      <c r="BP530" s="2934">
        <f t="shared" si="321"/>
        <v>0</v>
      </c>
      <c r="BQ530" s="2934">
        <f t="shared" si="322"/>
        <v>0</v>
      </c>
      <c r="BR530" s="2934">
        <f t="shared" si="323"/>
        <v>0</v>
      </c>
      <c r="BS530" s="2934">
        <f t="shared" si="324"/>
        <v>0</v>
      </c>
      <c r="BT530" s="2982">
        <f t="shared" si="325"/>
        <v>0</v>
      </c>
    </row>
    <row r="531" spans="1:72">
      <c r="A531" s="874"/>
      <c r="B531" s="882"/>
      <c r="C531" s="882"/>
      <c r="D531" s="2933"/>
      <c r="E531" s="2934">
        <f t="shared" si="297"/>
        <v>0</v>
      </c>
      <c r="F531" s="2935"/>
      <c r="G531" s="2936">
        <f t="shared" si="301"/>
        <v>0</v>
      </c>
      <c r="H531" s="2937">
        <f t="shared" si="302"/>
        <v>0</v>
      </c>
      <c r="I531" s="2944"/>
      <c r="J531" s="2944"/>
      <c r="K531" s="2944"/>
      <c r="L531" s="2944"/>
      <c r="M531" s="2944"/>
      <c r="N531" s="2944"/>
      <c r="O531" s="2944"/>
      <c r="P531" s="2944"/>
      <c r="Q531" s="2944"/>
      <c r="R531" s="2944"/>
      <c r="S531" s="2944"/>
      <c r="T531" s="2944"/>
      <c r="U531" s="2944"/>
      <c r="V531" s="2944"/>
      <c r="W531" s="2944"/>
      <c r="X531" s="2944"/>
      <c r="Y531" s="2944"/>
      <c r="Z531" s="2944"/>
      <c r="AA531" s="2944"/>
      <c r="AB531" s="2944"/>
      <c r="AC531" s="2934">
        <f t="shared" si="303"/>
        <v>0</v>
      </c>
      <c r="AD531" s="2954"/>
      <c r="AE531" s="2954"/>
      <c r="AF531" s="2954"/>
      <c r="AG531" s="2954"/>
      <c r="AH531" s="2954"/>
      <c r="AI531" s="2954"/>
      <c r="AJ531" s="2954"/>
      <c r="AK531" s="2954"/>
      <c r="AL531" s="2954"/>
      <c r="AM531" s="2954"/>
      <c r="AN531" s="2954"/>
      <c r="AO531" s="2954"/>
      <c r="AP531" s="2954"/>
      <c r="AQ531" s="2954"/>
      <c r="AR531" s="2954"/>
      <c r="AS531" s="2954"/>
      <c r="AT531" s="2935"/>
      <c r="AU531" s="2964"/>
      <c r="AV531" s="857">
        <f t="shared" si="298"/>
        <v>0</v>
      </c>
      <c r="AW531" s="857">
        <f t="shared" si="299"/>
        <v>0</v>
      </c>
      <c r="AX531" s="857">
        <f t="shared" si="300"/>
        <v>0</v>
      </c>
      <c r="AY531" s="807">
        <f t="shared" si="304"/>
        <v>0</v>
      </c>
      <c r="AZ531" s="2934">
        <f t="shared" si="305"/>
        <v>0</v>
      </c>
      <c r="BA531" s="2934">
        <f t="shared" si="306"/>
        <v>0</v>
      </c>
      <c r="BB531" s="2934">
        <f t="shared" si="307"/>
        <v>0</v>
      </c>
      <c r="BC531" s="2934">
        <f t="shared" si="308"/>
        <v>0</v>
      </c>
      <c r="BD531" s="2934">
        <f t="shared" si="309"/>
        <v>0</v>
      </c>
      <c r="BE531" s="2934">
        <f t="shared" si="310"/>
        <v>0</v>
      </c>
      <c r="BF531" s="2934">
        <f t="shared" si="311"/>
        <v>0</v>
      </c>
      <c r="BG531" s="2934">
        <f t="shared" si="312"/>
        <v>0</v>
      </c>
      <c r="BH531" s="2934">
        <f t="shared" si="313"/>
        <v>0</v>
      </c>
      <c r="BI531" s="2934">
        <f t="shared" si="314"/>
        <v>0</v>
      </c>
      <c r="BJ531" s="2934">
        <f t="shared" si="315"/>
        <v>0</v>
      </c>
      <c r="BK531" s="2934">
        <f t="shared" si="316"/>
        <v>0</v>
      </c>
      <c r="BL531" s="2934">
        <f t="shared" si="317"/>
        <v>0</v>
      </c>
      <c r="BM531" s="2934">
        <f t="shared" si="318"/>
        <v>0</v>
      </c>
      <c r="BN531" s="2934">
        <f t="shared" si="319"/>
        <v>0</v>
      </c>
      <c r="BO531" s="2934">
        <f t="shared" si="320"/>
        <v>0</v>
      </c>
      <c r="BP531" s="2934">
        <f t="shared" si="321"/>
        <v>0</v>
      </c>
      <c r="BQ531" s="2934">
        <f t="shared" si="322"/>
        <v>0</v>
      </c>
      <c r="BR531" s="2934">
        <f t="shared" si="323"/>
        <v>0</v>
      </c>
      <c r="BS531" s="2934">
        <f t="shared" si="324"/>
        <v>0</v>
      </c>
      <c r="BT531" s="2982">
        <f t="shared" si="325"/>
        <v>0</v>
      </c>
    </row>
    <row r="532" spans="1:72">
      <c r="A532" s="874"/>
      <c r="B532" s="882"/>
      <c r="C532" s="882"/>
      <c r="D532" s="2933"/>
      <c r="E532" s="2934">
        <f t="shared" si="297"/>
        <v>0</v>
      </c>
      <c r="F532" s="2935"/>
      <c r="G532" s="2936">
        <f t="shared" si="301"/>
        <v>0</v>
      </c>
      <c r="H532" s="2937">
        <f t="shared" si="302"/>
        <v>0</v>
      </c>
      <c r="I532" s="2944"/>
      <c r="J532" s="2944"/>
      <c r="K532" s="2944"/>
      <c r="L532" s="2944"/>
      <c r="M532" s="2944"/>
      <c r="N532" s="2944"/>
      <c r="O532" s="2944"/>
      <c r="P532" s="2944"/>
      <c r="Q532" s="2944"/>
      <c r="R532" s="2944"/>
      <c r="S532" s="2944"/>
      <c r="T532" s="2944"/>
      <c r="U532" s="2944"/>
      <c r="V532" s="2944"/>
      <c r="W532" s="2944"/>
      <c r="X532" s="2944"/>
      <c r="Y532" s="2944"/>
      <c r="Z532" s="2944"/>
      <c r="AA532" s="2944"/>
      <c r="AB532" s="2944"/>
      <c r="AC532" s="2934">
        <f t="shared" si="303"/>
        <v>0</v>
      </c>
      <c r="AD532" s="2954"/>
      <c r="AE532" s="2954"/>
      <c r="AF532" s="2954"/>
      <c r="AG532" s="2954"/>
      <c r="AH532" s="2954"/>
      <c r="AI532" s="2954"/>
      <c r="AJ532" s="2954"/>
      <c r="AK532" s="2954"/>
      <c r="AL532" s="2954"/>
      <c r="AM532" s="2954"/>
      <c r="AN532" s="2954"/>
      <c r="AO532" s="2954"/>
      <c r="AP532" s="2954"/>
      <c r="AQ532" s="2954"/>
      <c r="AR532" s="2954"/>
      <c r="AS532" s="2954"/>
      <c r="AT532" s="2935"/>
      <c r="AU532" s="2964"/>
      <c r="AV532" s="857">
        <f t="shared" si="298"/>
        <v>0</v>
      </c>
      <c r="AW532" s="857">
        <f t="shared" si="299"/>
        <v>0</v>
      </c>
      <c r="AX532" s="857">
        <f t="shared" si="300"/>
        <v>0</v>
      </c>
      <c r="AY532" s="807">
        <f t="shared" si="304"/>
        <v>0</v>
      </c>
      <c r="AZ532" s="2934">
        <f t="shared" si="305"/>
        <v>0</v>
      </c>
      <c r="BA532" s="2934">
        <f t="shared" si="306"/>
        <v>0</v>
      </c>
      <c r="BB532" s="2934">
        <f t="shared" si="307"/>
        <v>0</v>
      </c>
      <c r="BC532" s="2934">
        <f t="shared" si="308"/>
        <v>0</v>
      </c>
      <c r="BD532" s="2934">
        <f t="shared" si="309"/>
        <v>0</v>
      </c>
      <c r="BE532" s="2934">
        <f t="shared" si="310"/>
        <v>0</v>
      </c>
      <c r="BF532" s="2934">
        <f t="shared" si="311"/>
        <v>0</v>
      </c>
      <c r="BG532" s="2934">
        <f t="shared" si="312"/>
        <v>0</v>
      </c>
      <c r="BH532" s="2934">
        <f t="shared" si="313"/>
        <v>0</v>
      </c>
      <c r="BI532" s="2934">
        <f t="shared" si="314"/>
        <v>0</v>
      </c>
      <c r="BJ532" s="2934">
        <f t="shared" si="315"/>
        <v>0</v>
      </c>
      <c r="BK532" s="2934">
        <f t="shared" si="316"/>
        <v>0</v>
      </c>
      <c r="BL532" s="2934">
        <f t="shared" si="317"/>
        <v>0</v>
      </c>
      <c r="BM532" s="2934">
        <f t="shared" si="318"/>
        <v>0</v>
      </c>
      <c r="BN532" s="2934">
        <f t="shared" si="319"/>
        <v>0</v>
      </c>
      <c r="BO532" s="2934">
        <f t="shared" si="320"/>
        <v>0</v>
      </c>
      <c r="BP532" s="2934">
        <f t="shared" si="321"/>
        <v>0</v>
      </c>
      <c r="BQ532" s="2934">
        <f t="shared" si="322"/>
        <v>0</v>
      </c>
      <c r="BR532" s="2934">
        <f t="shared" si="323"/>
        <v>0</v>
      </c>
      <c r="BS532" s="2934">
        <f t="shared" si="324"/>
        <v>0</v>
      </c>
      <c r="BT532" s="2982">
        <f t="shared" si="325"/>
        <v>0</v>
      </c>
    </row>
    <row r="533" spans="1:72">
      <c r="A533" s="874"/>
      <c r="B533" s="882"/>
      <c r="C533" s="882"/>
      <c r="D533" s="2933"/>
      <c r="E533" s="2934">
        <f t="shared" si="297"/>
        <v>0</v>
      </c>
      <c r="F533" s="2935"/>
      <c r="G533" s="2936">
        <f t="shared" si="301"/>
        <v>0</v>
      </c>
      <c r="H533" s="2937">
        <f t="shared" si="302"/>
        <v>0</v>
      </c>
      <c r="I533" s="2944"/>
      <c r="J533" s="2944"/>
      <c r="K533" s="2944"/>
      <c r="L533" s="2944"/>
      <c r="M533" s="2944"/>
      <c r="N533" s="2944"/>
      <c r="O533" s="2944"/>
      <c r="P533" s="2944"/>
      <c r="Q533" s="2944"/>
      <c r="R533" s="2944"/>
      <c r="S533" s="2944"/>
      <c r="T533" s="2944"/>
      <c r="U533" s="2944"/>
      <c r="V533" s="2944"/>
      <c r="W533" s="2944"/>
      <c r="X533" s="2944"/>
      <c r="Y533" s="2944"/>
      <c r="Z533" s="2944"/>
      <c r="AA533" s="2944"/>
      <c r="AB533" s="2944"/>
      <c r="AC533" s="2934">
        <f t="shared" si="303"/>
        <v>0</v>
      </c>
      <c r="AD533" s="2954"/>
      <c r="AE533" s="2954"/>
      <c r="AF533" s="2954"/>
      <c r="AG533" s="2954"/>
      <c r="AH533" s="2954"/>
      <c r="AI533" s="2954"/>
      <c r="AJ533" s="2954"/>
      <c r="AK533" s="2954"/>
      <c r="AL533" s="2954"/>
      <c r="AM533" s="2954"/>
      <c r="AN533" s="2954"/>
      <c r="AO533" s="2954"/>
      <c r="AP533" s="2954"/>
      <c r="AQ533" s="2954"/>
      <c r="AR533" s="2954"/>
      <c r="AS533" s="2954"/>
      <c r="AT533" s="2935"/>
      <c r="AU533" s="2964"/>
      <c r="AV533" s="857">
        <f t="shared" si="298"/>
        <v>0</v>
      </c>
      <c r="AW533" s="857">
        <f t="shared" si="299"/>
        <v>0</v>
      </c>
      <c r="AX533" s="857">
        <f t="shared" si="300"/>
        <v>0</v>
      </c>
      <c r="AY533" s="807">
        <f t="shared" si="304"/>
        <v>0</v>
      </c>
      <c r="AZ533" s="2934">
        <f t="shared" si="305"/>
        <v>0</v>
      </c>
      <c r="BA533" s="2934">
        <f t="shared" si="306"/>
        <v>0</v>
      </c>
      <c r="BB533" s="2934">
        <f t="shared" si="307"/>
        <v>0</v>
      </c>
      <c r="BC533" s="2934">
        <f t="shared" si="308"/>
        <v>0</v>
      </c>
      <c r="BD533" s="2934">
        <f t="shared" si="309"/>
        <v>0</v>
      </c>
      <c r="BE533" s="2934">
        <f t="shared" si="310"/>
        <v>0</v>
      </c>
      <c r="BF533" s="2934">
        <f t="shared" si="311"/>
        <v>0</v>
      </c>
      <c r="BG533" s="2934">
        <f t="shared" si="312"/>
        <v>0</v>
      </c>
      <c r="BH533" s="2934">
        <f t="shared" si="313"/>
        <v>0</v>
      </c>
      <c r="BI533" s="2934">
        <f t="shared" si="314"/>
        <v>0</v>
      </c>
      <c r="BJ533" s="2934">
        <f t="shared" si="315"/>
        <v>0</v>
      </c>
      <c r="BK533" s="2934">
        <f t="shared" si="316"/>
        <v>0</v>
      </c>
      <c r="BL533" s="2934">
        <f t="shared" si="317"/>
        <v>0</v>
      </c>
      <c r="BM533" s="2934">
        <f t="shared" si="318"/>
        <v>0</v>
      </c>
      <c r="BN533" s="2934">
        <f t="shared" si="319"/>
        <v>0</v>
      </c>
      <c r="BO533" s="2934">
        <f t="shared" si="320"/>
        <v>0</v>
      </c>
      <c r="BP533" s="2934">
        <f t="shared" si="321"/>
        <v>0</v>
      </c>
      <c r="BQ533" s="2934">
        <f t="shared" si="322"/>
        <v>0</v>
      </c>
      <c r="BR533" s="2934">
        <f t="shared" si="323"/>
        <v>0</v>
      </c>
      <c r="BS533" s="2934">
        <f t="shared" si="324"/>
        <v>0</v>
      </c>
      <c r="BT533" s="2982">
        <f t="shared" si="325"/>
        <v>0</v>
      </c>
    </row>
    <row r="534" spans="1:72">
      <c r="A534" s="874"/>
      <c r="B534" s="882"/>
      <c r="C534" s="882"/>
      <c r="D534" s="2933"/>
      <c r="E534" s="2934">
        <f t="shared" si="297"/>
        <v>0</v>
      </c>
      <c r="F534" s="2935"/>
      <c r="G534" s="2936">
        <f t="shared" si="301"/>
        <v>0</v>
      </c>
      <c r="H534" s="2937">
        <f t="shared" si="302"/>
        <v>0</v>
      </c>
      <c r="I534" s="2944"/>
      <c r="J534" s="2944"/>
      <c r="K534" s="2944"/>
      <c r="L534" s="2944"/>
      <c r="M534" s="2944"/>
      <c r="N534" s="2944"/>
      <c r="O534" s="2944"/>
      <c r="P534" s="2944"/>
      <c r="Q534" s="2944"/>
      <c r="R534" s="2944"/>
      <c r="S534" s="2944"/>
      <c r="T534" s="2944"/>
      <c r="U534" s="2944"/>
      <c r="V534" s="2944"/>
      <c r="W534" s="2944"/>
      <c r="X534" s="2944"/>
      <c r="Y534" s="2944"/>
      <c r="Z534" s="2944"/>
      <c r="AA534" s="2944"/>
      <c r="AB534" s="2944"/>
      <c r="AC534" s="2934">
        <f t="shared" si="303"/>
        <v>0</v>
      </c>
      <c r="AD534" s="2954"/>
      <c r="AE534" s="2954"/>
      <c r="AF534" s="2954"/>
      <c r="AG534" s="2954"/>
      <c r="AH534" s="2954"/>
      <c r="AI534" s="2954"/>
      <c r="AJ534" s="2954"/>
      <c r="AK534" s="2954"/>
      <c r="AL534" s="2954"/>
      <c r="AM534" s="2954"/>
      <c r="AN534" s="2954"/>
      <c r="AO534" s="2954"/>
      <c r="AP534" s="2954"/>
      <c r="AQ534" s="2954"/>
      <c r="AR534" s="2954"/>
      <c r="AS534" s="2954"/>
      <c r="AT534" s="2935"/>
      <c r="AU534" s="2964"/>
      <c r="AV534" s="857">
        <f t="shared" si="298"/>
        <v>0</v>
      </c>
      <c r="AW534" s="857">
        <f t="shared" si="299"/>
        <v>0</v>
      </c>
      <c r="AX534" s="857">
        <f t="shared" si="300"/>
        <v>0</v>
      </c>
      <c r="AY534" s="807">
        <f t="shared" si="304"/>
        <v>0</v>
      </c>
      <c r="AZ534" s="2934">
        <f t="shared" si="305"/>
        <v>0</v>
      </c>
      <c r="BA534" s="2934">
        <f t="shared" si="306"/>
        <v>0</v>
      </c>
      <c r="BB534" s="2934">
        <f t="shared" si="307"/>
        <v>0</v>
      </c>
      <c r="BC534" s="2934">
        <f t="shared" si="308"/>
        <v>0</v>
      </c>
      <c r="BD534" s="2934">
        <f t="shared" si="309"/>
        <v>0</v>
      </c>
      <c r="BE534" s="2934">
        <f t="shared" si="310"/>
        <v>0</v>
      </c>
      <c r="BF534" s="2934">
        <f t="shared" si="311"/>
        <v>0</v>
      </c>
      <c r="BG534" s="2934">
        <f t="shared" si="312"/>
        <v>0</v>
      </c>
      <c r="BH534" s="2934">
        <f t="shared" si="313"/>
        <v>0</v>
      </c>
      <c r="BI534" s="2934">
        <f t="shared" si="314"/>
        <v>0</v>
      </c>
      <c r="BJ534" s="2934">
        <f t="shared" si="315"/>
        <v>0</v>
      </c>
      <c r="BK534" s="2934">
        <f t="shared" si="316"/>
        <v>0</v>
      </c>
      <c r="BL534" s="2934">
        <f t="shared" si="317"/>
        <v>0</v>
      </c>
      <c r="BM534" s="2934">
        <f t="shared" si="318"/>
        <v>0</v>
      </c>
      <c r="BN534" s="2934">
        <f t="shared" si="319"/>
        <v>0</v>
      </c>
      <c r="BO534" s="2934">
        <f t="shared" si="320"/>
        <v>0</v>
      </c>
      <c r="BP534" s="2934">
        <f t="shared" si="321"/>
        <v>0</v>
      </c>
      <c r="BQ534" s="2934">
        <f t="shared" si="322"/>
        <v>0</v>
      </c>
      <c r="BR534" s="2934">
        <f t="shared" si="323"/>
        <v>0</v>
      </c>
      <c r="BS534" s="2934">
        <f t="shared" si="324"/>
        <v>0</v>
      </c>
      <c r="BT534" s="2982">
        <f t="shared" si="325"/>
        <v>0</v>
      </c>
    </row>
    <row r="535" spans="1:72">
      <c r="A535" s="874"/>
      <c r="B535" s="882"/>
      <c r="C535" s="882"/>
      <c r="D535" s="2933"/>
      <c r="E535" s="2934">
        <f t="shared" si="297"/>
        <v>0</v>
      </c>
      <c r="F535" s="2935"/>
      <c r="G535" s="2936">
        <f t="shared" si="301"/>
        <v>0</v>
      </c>
      <c r="H535" s="2937">
        <f t="shared" si="302"/>
        <v>0</v>
      </c>
      <c r="I535" s="2944"/>
      <c r="J535" s="2944"/>
      <c r="K535" s="2944"/>
      <c r="L535" s="2944"/>
      <c r="M535" s="2944"/>
      <c r="N535" s="2944"/>
      <c r="O535" s="2944"/>
      <c r="P535" s="2944"/>
      <c r="Q535" s="2944"/>
      <c r="R535" s="2944"/>
      <c r="S535" s="2944"/>
      <c r="T535" s="2944"/>
      <c r="U535" s="2944"/>
      <c r="V535" s="2944"/>
      <c r="W535" s="2944"/>
      <c r="X535" s="2944"/>
      <c r="Y535" s="2944"/>
      <c r="Z535" s="2944"/>
      <c r="AA535" s="2944"/>
      <c r="AB535" s="2944"/>
      <c r="AC535" s="2934">
        <f t="shared" si="303"/>
        <v>0</v>
      </c>
      <c r="AD535" s="2954"/>
      <c r="AE535" s="2954"/>
      <c r="AF535" s="2954"/>
      <c r="AG535" s="2954"/>
      <c r="AH535" s="2954"/>
      <c r="AI535" s="2954"/>
      <c r="AJ535" s="2954"/>
      <c r="AK535" s="2954"/>
      <c r="AL535" s="2954"/>
      <c r="AM535" s="2954"/>
      <c r="AN535" s="2954"/>
      <c r="AO535" s="2954"/>
      <c r="AP535" s="2954"/>
      <c r="AQ535" s="2954"/>
      <c r="AR535" s="2954"/>
      <c r="AS535" s="2954"/>
      <c r="AT535" s="2935"/>
      <c r="AU535" s="2964"/>
      <c r="AV535" s="857">
        <f t="shared" si="298"/>
        <v>0</v>
      </c>
      <c r="AW535" s="857">
        <f t="shared" si="299"/>
        <v>0</v>
      </c>
      <c r="AX535" s="857">
        <f t="shared" si="300"/>
        <v>0</v>
      </c>
      <c r="AY535" s="807">
        <f t="shared" si="304"/>
        <v>0</v>
      </c>
      <c r="AZ535" s="2934">
        <f t="shared" si="305"/>
        <v>0</v>
      </c>
      <c r="BA535" s="2934">
        <f t="shared" si="306"/>
        <v>0</v>
      </c>
      <c r="BB535" s="2934">
        <f t="shared" si="307"/>
        <v>0</v>
      </c>
      <c r="BC535" s="2934">
        <f t="shared" si="308"/>
        <v>0</v>
      </c>
      <c r="BD535" s="2934">
        <f t="shared" si="309"/>
        <v>0</v>
      </c>
      <c r="BE535" s="2934">
        <f t="shared" si="310"/>
        <v>0</v>
      </c>
      <c r="BF535" s="2934">
        <f t="shared" si="311"/>
        <v>0</v>
      </c>
      <c r="BG535" s="2934">
        <f t="shared" si="312"/>
        <v>0</v>
      </c>
      <c r="BH535" s="2934">
        <f t="shared" si="313"/>
        <v>0</v>
      </c>
      <c r="BI535" s="2934">
        <f t="shared" si="314"/>
        <v>0</v>
      </c>
      <c r="BJ535" s="2934">
        <f t="shared" si="315"/>
        <v>0</v>
      </c>
      <c r="BK535" s="2934">
        <f t="shared" si="316"/>
        <v>0</v>
      </c>
      <c r="BL535" s="2934">
        <f t="shared" si="317"/>
        <v>0</v>
      </c>
      <c r="BM535" s="2934">
        <f t="shared" si="318"/>
        <v>0</v>
      </c>
      <c r="BN535" s="2934">
        <f t="shared" si="319"/>
        <v>0</v>
      </c>
      <c r="BO535" s="2934">
        <f t="shared" si="320"/>
        <v>0</v>
      </c>
      <c r="BP535" s="2934">
        <f t="shared" si="321"/>
        <v>0</v>
      </c>
      <c r="BQ535" s="2934">
        <f t="shared" si="322"/>
        <v>0</v>
      </c>
      <c r="BR535" s="2934">
        <f t="shared" si="323"/>
        <v>0</v>
      </c>
      <c r="BS535" s="2934">
        <f t="shared" si="324"/>
        <v>0</v>
      </c>
      <c r="BT535" s="2982">
        <f t="shared" si="325"/>
        <v>0</v>
      </c>
    </row>
    <row r="536" spans="1:72">
      <c r="A536" s="874"/>
      <c r="B536" s="882"/>
      <c r="C536" s="882"/>
      <c r="D536" s="2933"/>
      <c r="E536" s="2934">
        <f t="shared" si="297"/>
        <v>0</v>
      </c>
      <c r="F536" s="2935"/>
      <c r="G536" s="2936">
        <f t="shared" si="301"/>
        <v>0</v>
      </c>
      <c r="H536" s="2937">
        <f t="shared" si="302"/>
        <v>0</v>
      </c>
      <c r="I536" s="2944"/>
      <c r="J536" s="2944"/>
      <c r="K536" s="2944"/>
      <c r="L536" s="2944"/>
      <c r="M536" s="2944"/>
      <c r="N536" s="2944"/>
      <c r="O536" s="2944"/>
      <c r="P536" s="2944"/>
      <c r="Q536" s="2944"/>
      <c r="R536" s="2944"/>
      <c r="S536" s="2944"/>
      <c r="T536" s="2944"/>
      <c r="U536" s="2944"/>
      <c r="V536" s="2944"/>
      <c r="W536" s="2944"/>
      <c r="X536" s="2944"/>
      <c r="Y536" s="2944"/>
      <c r="Z536" s="2944"/>
      <c r="AA536" s="2944"/>
      <c r="AB536" s="2944"/>
      <c r="AC536" s="2934">
        <f t="shared" si="303"/>
        <v>0</v>
      </c>
      <c r="AD536" s="2954"/>
      <c r="AE536" s="2954"/>
      <c r="AF536" s="2954"/>
      <c r="AG536" s="2954"/>
      <c r="AH536" s="2954"/>
      <c r="AI536" s="2954"/>
      <c r="AJ536" s="2954"/>
      <c r="AK536" s="2954"/>
      <c r="AL536" s="2954"/>
      <c r="AM536" s="2954"/>
      <c r="AN536" s="2954"/>
      <c r="AO536" s="2954"/>
      <c r="AP536" s="2954"/>
      <c r="AQ536" s="2954"/>
      <c r="AR536" s="2954"/>
      <c r="AS536" s="2954"/>
      <c r="AT536" s="2935"/>
      <c r="AU536" s="2964"/>
      <c r="AV536" s="857">
        <f t="shared" si="298"/>
        <v>0</v>
      </c>
      <c r="AW536" s="857">
        <f t="shared" si="299"/>
        <v>0</v>
      </c>
      <c r="AX536" s="857">
        <f t="shared" si="300"/>
        <v>0</v>
      </c>
      <c r="AY536" s="807">
        <f t="shared" si="304"/>
        <v>0</v>
      </c>
      <c r="AZ536" s="2934">
        <f t="shared" si="305"/>
        <v>0</v>
      </c>
      <c r="BA536" s="2934">
        <f t="shared" si="306"/>
        <v>0</v>
      </c>
      <c r="BB536" s="2934">
        <f t="shared" si="307"/>
        <v>0</v>
      </c>
      <c r="BC536" s="2934">
        <f t="shared" si="308"/>
        <v>0</v>
      </c>
      <c r="BD536" s="2934">
        <f t="shared" si="309"/>
        <v>0</v>
      </c>
      <c r="BE536" s="2934">
        <f t="shared" si="310"/>
        <v>0</v>
      </c>
      <c r="BF536" s="2934">
        <f t="shared" si="311"/>
        <v>0</v>
      </c>
      <c r="BG536" s="2934">
        <f t="shared" si="312"/>
        <v>0</v>
      </c>
      <c r="BH536" s="2934">
        <f t="shared" si="313"/>
        <v>0</v>
      </c>
      <c r="BI536" s="2934">
        <f t="shared" si="314"/>
        <v>0</v>
      </c>
      <c r="BJ536" s="2934">
        <f t="shared" si="315"/>
        <v>0</v>
      </c>
      <c r="BK536" s="2934">
        <f t="shared" si="316"/>
        <v>0</v>
      </c>
      <c r="BL536" s="2934">
        <f t="shared" si="317"/>
        <v>0</v>
      </c>
      <c r="BM536" s="2934">
        <f t="shared" si="318"/>
        <v>0</v>
      </c>
      <c r="BN536" s="2934">
        <f t="shared" si="319"/>
        <v>0</v>
      </c>
      <c r="BO536" s="2934">
        <f t="shared" si="320"/>
        <v>0</v>
      </c>
      <c r="BP536" s="2934">
        <f t="shared" si="321"/>
        <v>0</v>
      </c>
      <c r="BQ536" s="2934">
        <f t="shared" si="322"/>
        <v>0</v>
      </c>
      <c r="BR536" s="2934">
        <f t="shared" si="323"/>
        <v>0</v>
      </c>
      <c r="BS536" s="2934">
        <f t="shared" si="324"/>
        <v>0</v>
      </c>
      <c r="BT536" s="2982">
        <f t="shared" si="325"/>
        <v>0</v>
      </c>
    </row>
    <row r="537" spans="1:72">
      <c r="A537" s="874"/>
      <c r="B537" s="882"/>
      <c r="C537" s="882"/>
      <c r="D537" s="2933"/>
      <c r="E537" s="2934">
        <f t="shared" si="297"/>
        <v>0</v>
      </c>
      <c r="F537" s="2935"/>
      <c r="G537" s="2936">
        <f t="shared" si="301"/>
        <v>0</v>
      </c>
      <c r="H537" s="2937">
        <f t="shared" si="302"/>
        <v>0</v>
      </c>
      <c r="I537" s="2944"/>
      <c r="J537" s="2944"/>
      <c r="K537" s="2944"/>
      <c r="L537" s="2944"/>
      <c r="M537" s="2944"/>
      <c r="N537" s="2944"/>
      <c r="O537" s="2944"/>
      <c r="P537" s="2944"/>
      <c r="Q537" s="2944"/>
      <c r="R537" s="2944"/>
      <c r="S537" s="2944"/>
      <c r="T537" s="2944"/>
      <c r="U537" s="2944"/>
      <c r="V537" s="2944"/>
      <c r="W537" s="2944"/>
      <c r="X537" s="2944"/>
      <c r="Y537" s="2944"/>
      <c r="Z537" s="2944"/>
      <c r="AA537" s="2944"/>
      <c r="AB537" s="2944"/>
      <c r="AC537" s="2934">
        <f t="shared" si="303"/>
        <v>0</v>
      </c>
      <c r="AD537" s="2954"/>
      <c r="AE537" s="2954"/>
      <c r="AF537" s="2954"/>
      <c r="AG537" s="2954"/>
      <c r="AH537" s="2954"/>
      <c r="AI537" s="2954"/>
      <c r="AJ537" s="2954"/>
      <c r="AK537" s="2954"/>
      <c r="AL537" s="2954"/>
      <c r="AM537" s="2954"/>
      <c r="AN537" s="2954"/>
      <c r="AO537" s="2954"/>
      <c r="AP537" s="2954"/>
      <c r="AQ537" s="2954"/>
      <c r="AR537" s="2954"/>
      <c r="AS537" s="2954"/>
      <c r="AT537" s="2935"/>
      <c r="AU537" s="2964"/>
      <c r="AV537" s="857">
        <f t="shared" si="298"/>
        <v>0</v>
      </c>
      <c r="AW537" s="857">
        <f t="shared" si="299"/>
        <v>0</v>
      </c>
      <c r="AX537" s="857">
        <f t="shared" si="300"/>
        <v>0</v>
      </c>
      <c r="AY537" s="807">
        <f t="shared" si="304"/>
        <v>0</v>
      </c>
      <c r="AZ537" s="2934">
        <f t="shared" si="305"/>
        <v>0</v>
      </c>
      <c r="BA537" s="2934">
        <f t="shared" si="306"/>
        <v>0</v>
      </c>
      <c r="BB537" s="2934">
        <f t="shared" si="307"/>
        <v>0</v>
      </c>
      <c r="BC537" s="2934">
        <f t="shared" si="308"/>
        <v>0</v>
      </c>
      <c r="BD537" s="2934">
        <f t="shared" si="309"/>
        <v>0</v>
      </c>
      <c r="BE537" s="2934">
        <f t="shared" si="310"/>
        <v>0</v>
      </c>
      <c r="BF537" s="2934">
        <f t="shared" si="311"/>
        <v>0</v>
      </c>
      <c r="BG537" s="2934">
        <f t="shared" si="312"/>
        <v>0</v>
      </c>
      <c r="BH537" s="2934">
        <f t="shared" si="313"/>
        <v>0</v>
      </c>
      <c r="BI537" s="2934">
        <f t="shared" si="314"/>
        <v>0</v>
      </c>
      <c r="BJ537" s="2934">
        <f t="shared" si="315"/>
        <v>0</v>
      </c>
      <c r="BK537" s="2934">
        <f t="shared" si="316"/>
        <v>0</v>
      </c>
      <c r="BL537" s="2934">
        <f t="shared" si="317"/>
        <v>0</v>
      </c>
      <c r="BM537" s="2934">
        <f t="shared" si="318"/>
        <v>0</v>
      </c>
      <c r="BN537" s="2934">
        <f t="shared" si="319"/>
        <v>0</v>
      </c>
      <c r="BO537" s="2934">
        <f t="shared" si="320"/>
        <v>0</v>
      </c>
      <c r="BP537" s="2934">
        <f t="shared" si="321"/>
        <v>0</v>
      </c>
      <c r="BQ537" s="2934">
        <f t="shared" si="322"/>
        <v>0</v>
      </c>
      <c r="BR537" s="2934">
        <f t="shared" si="323"/>
        <v>0</v>
      </c>
      <c r="BS537" s="2934">
        <f t="shared" si="324"/>
        <v>0</v>
      </c>
      <c r="BT537" s="2982">
        <f t="shared" si="325"/>
        <v>0</v>
      </c>
    </row>
    <row r="538" spans="1:72">
      <c r="A538" s="874"/>
      <c r="B538" s="882"/>
      <c r="C538" s="882"/>
      <c r="D538" s="2933"/>
      <c r="E538" s="2934">
        <f t="shared" si="297"/>
        <v>0</v>
      </c>
      <c r="F538" s="2935"/>
      <c r="G538" s="2936">
        <f t="shared" si="301"/>
        <v>0</v>
      </c>
      <c r="H538" s="2937">
        <f t="shared" si="302"/>
        <v>0</v>
      </c>
      <c r="I538" s="2944"/>
      <c r="J538" s="2944"/>
      <c r="K538" s="2944"/>
      <c r="L538" s="2944"/>
      <c r="M538" s="2944"/>
      <c r="N538" s="2944"/>
      <c r="O538" s="2944"/>
      <c r="P538" s="2944"/>
      <c r="Q538" s="2944"/>
      <c r="R538" s="2944"/>
      <c r="S538" s="2944"/>
      <c r="T538" s="2944"/>
      <c r="U538" s="2944"/>
      <c r="V538" s="2944"/>
      <c r="W538" s="2944"/>
      <c r="X538" s="2944"/>
      <c r="Y538" s="2944"/>
      <c r="Z538" s="2944"/>
      <c r="AA538" s="2944"/>
      <c r="AB538" s="2944"/>
      <c r="AC538" s="2934">
        <f t="shared" si="303"/>
        <v>0</v>
      </c>
      <c r="AD538" s="2954"/>
      <c r="AE538" s="2954"/>
      <c r="AF538" s="2954"/>
      <c r="AG538" s="2954"/>
      <c r="AH538" s="2954"/>
      <c r="AI538" s="2954"/>
      <c r="AJ538" s="2954"/>
      <c r="AK538" s="2954"/>
      <c r="AL538" s="2954"/>
      <c r="AM538" s="2954"/>
      <c r="AN538" s="2954"/>
      <c r="AO538" s="2954"/>
      <c r="AP538" s="2954"/>
      <c r="AQ538" s="2954"/>
      <c r="AR538" s="2954"/>
      <c r="AS538" s="2954"/>
      <c r="AT538" s="2935"/>
      <c r="AU538" s="2964"/>
      <c r="AV538" s="857">
        <f t="shared" si="298"/>
        <v>0</v>
      </c>
      <c r="AW538" s="857">
        <f t="shared" si="299"/>
        <v>0</v>
      </c>
      <c r="AX538" s="857">
        <f t="shared" si="300"/>
        <v>0</v>
      </c>
      <c r="AY538" s="807">
        <f t="shared" si="304"/>
        <v>0</v>
      </c>
      <c r="AZ538" s="2934">
        <f t="shared" si="305"/>
        <v>0</v>
      </c>
      <c r="BA538" s="2934">
        <f t="shared" si="306"/>
        <v>0</v>
      </c>
      <c r="BB538" s="2934">
        <f t="shared" si="307"/>
        <v>0</v>
      </c>
      <c r="BC538" s="2934">
        <f t="shared" si="308"/>
        <v>0</v>
      </c>
      <c r="BD538" s="2934">
        <f t="shared" si="309"/>
        <v>0</v>
      </c>
      <c r="BE538" s="2934">
        <f t="shared" si="310"/>
        <v>0</v>
      </c>
      <c r="BF538" s="2934">
        <f t="shared" si="311"/>
        <v>0</v>
      </c>
      <c r="BG538" s="2934">
        <f t="shared" si="312"/>
        <v>0</v>
      </c>
      <c r="BH538" s="2934">
        <f t="shared" si="313"/>
        <v>0</v>
      </c>
      <c r="BI538" s="2934">
        <f t="shared" si="314"/>
        <v>0</v>
      </c>
      <c r="BJ538" s="2934">
        <f t="shared" si="315"/>
        <v>0</v>
      </c>
      <c r="BK538" s="2934">
        <f t="shared" si="316"/>
        <v>0</v>
      </c>
      <c r="BL538" s="2934">
        <f t="shared" si="317"/>
        <v>0</v>
      </c>
      <c r="BM538" s="2934">
        <f t="shared" si="318"/>
        <v>0</v>
      </c>
      <c r="BN538" s="2934">
        <f t="shared" si="319"/>
        <v>0</v>
      </c>
      <c r="BO538" s="2934">
        <f t="shared" si="320"/>
        <v>0</v>
      </c>
      <c r="BP538" s="2934">
        <f t="shared" si="321"/>
        <v>0</v>
      </c>
      <c r="BQ538" s="2934">
        <f t="shared" si="322"/>
        <v>0</v>
      </c>
      <c r="BR538" s="2934">
        <f t="shared" si="323"/>
        <v>0</v>
      </c>
      <c r="BS538" s="2934">
        <f t="shared" si="324"/>
        <v>0</v>
      </c>
      <c r="BT538" s="2982">
        <f t="shared" si="325"/>
        <v>0</v>
      </c>
    </row>
    <row r="539" spans="1:72">
      <c r="A539" s="874"/>
      <c r="B539" s="882"/>
      <c r="C539" s="882"/>
      <c r="D539" s="2933"/>
      <c r="E539" s="2934">
        <f t="shared" si="297"/>
        <v>0</v>
      </c>
      <c r="F539" s="2935"/>
      <c r="G539" s="2936">
        <f t="shared" si="301"/>
        <v>0</v>
      </c>
      <c r="H539" s="2937">
        <f t="shared" si="302"/>
        <v>0</v>
      </c>
      <c r="I539" s="2944"/>
      <c r="J539" s="2944"/>
      <c r="K539" s="2944"/>
      <c r="L539" s="2944"/>
      <c r="M539" s="2944"/>
      <c r="N539" s="2944"/>
      <c r="O539" s="2944"/>
      <c r="P539" s="2944"/>
      <c r="Q539" s="2944"/>
      <c r="R539" s="2944"/>
      <c r="S539" s="2944"/>
      <c r="T539" s="2944"/>
      <c r="U539" s="2944"/>
      <c r="V539" s="2944"/>
      <c r="W539" s="2944"/>
      <c r="X539" s="2944"/>
      <c r="Y539" s="2944"/>
      <c r="Z539" s="2944"/>
      <c r="AA539" s="2944"/>
      <c r="AB539" s="2944"/>
      <c r="AC539" s="2934">
        <f t="shared" si="303"/>
        <v>0</v>
      </c>
      <c r="AD539" s="2954"/>
      <c r="AE539" s="2954"/>
      <c r="AF539" s="2954"/>
      <c r="AG539" s="2954"/>
      <c r="AH539" s="2954"/>
      <c r="AI539" s="2954"/>
      <c r="AJ539" s="2954"/>
      <c r="AK539" s="2954"/>
      <c r="AL539" s="2954"/>
      <c r="AM539" s="2954"/>
      <c r="AN539" s="2954"/>
      <c r="AO539" s="2954"/>
      <c r="AP539" s="2954"/>
      <c r="AQ539" s="2954"/>
      <c r="AR539" s="2954"/>
      <c r="AS539" s="2954"/>
      <c r="AT539" s="2935"/>
      <c r="AU539" s="2964"/>
      <c r="AV539" s="857">
        <f t="shared" si="298"/>
        <v>0</v>
      </c>
      <c r="AW539" s="857">
        <f t="shared" si="299"/>
        <v>0</v>
      </c>
      <c r="AX539" s="857">
        <f t="shared" si="300"/>
        <v>0</v>
      </c>
      <c r="AY539" s="807">
        <f t="shared" si="304"/>
        <v>0</v>
      </c>
      <c r="AZ539" s="2934">
        <f t="shared" si="305"/>
        <v>0</v>
      </c>
      <c r="BA539" s="2934">
        <f t="shared" si="306"/>
        <v>0</v>
      </c>
      <c r="BB539" s="2934">
        <f t="shared" si="307"/>
        <v>0</v>
      </c>
      <c r="BC539" s="2934">
        <f t="shared" si="308"/>
        <v>0</v>
      </c>
      <c r="BD539" s="2934">
        <f t="shared" si="309"/>
        <v>0</v>
      </c>
      <c r="BE539" s="2934">
        <f t="shared" si="310"/>
        <v>0</v>
      </c>
      <c r="BF539" s="2934">
        <f t="shared" si="311"/>
        <v>0</v>
      </c>
      <c r="BG539" s="2934">
        <f t="shared" si="312"/>
        <v>0</v>
      </c>
      <c r="BH539" s="2934">
        <f t="shared" si="313"/>
        <v>0</v>
      </c>
      <c r="BI539" s="2934">
        <f t="shared" si="314"/>
        <v>0</v>
      </c>
      <c r="BJ539" s="2934">
        <f t="shared" si="315"/>
        <v>0</v>
      </c>
      <c r="BK539" s="2934">
        <f t="shared" si="316"/>
        <v>0</v>
      </c>
      <c r="BL539" s="2934">
        <f t="shared" si="317"/>
        <v>0</v>
      </c>
      <c r="BM539" s="2934">
        <f t="shared" si="318"/>
        <v>0</v>
      </c>
      <c r="BN539" s="2934">
        <f t="shared" si="319"/>
        <v>0</v>
      </c>
      <c r="BO539" s="2934">
        <f t="shared" si="320"/>
        <v>0</v>
      </c>
      <c r="BP539" s="2934">
        <f t="shared" si="321"/>
        <v>0</v>
      </c>
      <c r="BQ539" s="2934">
        <f t="shared" si="322"/>
        <v>0</v>
      </c>
      <c r="BR539" s="2934">
        <f t="shared" si="323"/>
        <v>0</v>
      </c>
      <c r="BS539" s="2934">
        <f t="shared" si="324"/>
        <v>0</v>
      </c>
      <c r="BT539" s="2982">
        <f t="shared" si="325"/>
        <v>0</v>
      </c>
    </row>
    <row r="540" spans="1:72">
      <c r="A540" s="874"/>
      <c r="B540" s="882"/>
      <c r="C540" s="882"/>
      <c r="D540" s="2933"/>
      <c r="E540" s="2934">
        <f t="shared" si="297"/>
        <v>0</v>
      </c>
      <c r="F540" s="2935"/>
      <c r="G540" s="2936">
        <f t="shared" si="301"/>
        <v>0</v>
      </c>
      <c r="H540" s="2937">
        <f t="shared" si="302"/>
        <v>0</v>
      </c>
      <c r="I540" s="2944"/>
      <c r="J540" s="2944"/>
      <c r="K540" s="2944"/>
      <c r="L540" s="2944"/>
      <c r="M540" s="2944"/>
      <c r="N540" s="2944"/>
      <c r="O540" s="2944"/>
      <c r="P540" s="2944"/>
      <c r="Q540" s="2944"/>
      <c r="R540" s="2944"/>
      <c r="S540" s="2944"/>
      <c r="T540" s="2944"/>
      <c r="U540" s="2944"/>
      <c r="V540" s="2944"/>
      <c r="W540" s="2944"/>
      <c r="X540" s="2944"/>
      <c r="Y540" s="2944"/>
      <c r="Z540" s="2944"/>
      <c r="AA540" s="2944"/>
      <c r="AB540" s="2944"/>
      <c r="AC540" s="2934">
        <f t="shared" si="303"/>
        <v>0</v>
      </c>
      <c r="AD540" s="2954"/>
      <c r="AE540" s="2954"/>
      <c r="AF540" s="2954"/>
      <c r="AG540" s="2954"/>
      <c r="AH540" s="2954"/>
      <c r="AI540" s="2954"/>
      <c r="AJ540" s="2954"/>
      <c r="AK540" s="2954"/>
      <c r="AL540" s="2954"/>
      <c r="AM540" s="2954"/>
      <c r="AN540" s="2954"/>
      <c r="AO540" s="2954"/>
      <c r="AP540" s="2954"/>
      <c r="AQ540" s="2954"/>
      <c r="AR540" s="2954"/>
      <c r="AS540" s="2954"/>
      <c r="AT540" s="2935"/>
      <c r="AU540" s="2964"/>
      <c r="AV540" s="857">
        <f t="shared" si="298"/>
        <v>0</v>
      </c>
      <c r="AW540" s="857">
        <f t="shared" si="299"/>
        <v>0</v>
      </c>
      <c r="AX540" s="857">
        <f t="shared" si="300"/>
        <v>0</v>
      </c>
      <c r="AY540" s="807">
        <f t="shared" si="304"/>
        <v>0</v>
      </c>
      <c r="AZ540" s="2934">
        <f t="shared" si="305"/>
        <v>0</v>
      </c>
      <c r="BA540" s="2934">
        <f t="shared" si="306"/>
        <v>0</v>
      </c>
      <c r="BB540" s="2934">
        <f t="shared" si="307"/>
        <v>0</v>
      </c>
      <c r="BC540" s="2934">
        <f t="shared" si="308"/>
        <v>0</v>
      </c>
      <c r="BD540" s="2934">
        <f t="shared" si="309"/>
        <v>0</v>
      </c>
      <c r="BE540" s="2934">
        <f t="shared" si="310"/>
        <v>0</v>
      </c>
      <c r="BF540" s="2934">
        <f t="shared" si="311"/>
        <v>0</v>
      </c>
      <c r="BG540" s="2934">
        <f t="shared" si="312"/>
        <v>0</v>
      </c>
      <c r="BH540" s="2934">
        <f t="shared" si="313"/>
        <v>0</v>
      </c>
      <c r="BI540" s="2934">
        <f t="shared" si="314"/>
        <v>0</v>
      </c>
      <c r="BJ540" s="2934">
        <f t="shared" si="315"/>
        <v>0</v>
      </c>
      <c r="BK540" s="2934">
        <f t="shared" si="316"/>
        <v>0</v>
      </c>
      <c r="BL540" s="2934">
        <f t="shared" si="317"/>
        <v>0</v>
      </c>
      <c r="BM540" s="2934">
        <f t="shared" si="318"/>
        <v>0</v>
      </c>
      <c r="BN540" s="2934">
        <f t="shared" si="319"/>
        <v>0</v>
      </c>
      <c r="BO540" s="2934">
        <f t="shared" si="320"/>
        <v>0</v>
      </c>
      <c r="BP540" s="2934">
        <f t="shared" si="321"/>
        <v>0</v>
      </c>
      <c r="BQ540" s="2934">
        <f t="shared" si="322"/>
        <v>0</v>
      </c>
      <c r="BR540" s="2934">
        <f t="shared" si="323"/>
        <v>0</v>
      </c>
      <c r="BS540" s="2934">
        <f t="shared" si="324"/>
        <v>0</v>
      </c>
      <c r="BT540" s="2982">
        <f t="shared" si="325"/>
        <v>0</v>
      </c>
    </row>
    <row r="541" spans="1:72">
      <c r="A541" s="874"/>
      <c r="B541" s="882"/>
      <c r="C541" s="882"/>
      <c r="D541" s="2933"/>
      <c r="E541" s="2934">
        <f t="shared" si="297"/>
        <v>0</v>
      </c>
      <c r="F541" s="2935"/>
      <c r="G541" s="2936">
        <f t="shared" si="301"/>
        <v>0</v>
      </c>
      <c r="H541" s="2937">
        <f t="shared" si="302"/>
        <v>0</v>
      </c>
      <c r="I541" s="2944"/>
      <c r="J541" s="2944"/>
      <c r="K541" s="2944"/>
      <c r="L541" s="2944"/>
      <c r="M541" s="2944"/>
      <c r="N541" s="2944"/>
      <c r="O541" s="2944"/>
      <c r="P541" s="2944"/>
      <c r="Q541" s="2944"/>
      <c r="R541" s="2944"/>
      <c r="S541" s="2944"/>
      <c r="T541" s="2944"/>
      <c r="U541" s="2944"/>
      <c r="V541" s="2944"/>
      <c r="W541" s="2944"/>
      <c r="X541" s="2944"/>
      <c r="Y541" s="2944"/>
      <c r="Z541" s="2944"/>
      <c r="AA541" s="2944"/>
      <c r="AB541" s="2944"/>
      <c r="AC541" s="2934">
        <f t="shared" si="303"/>
        <v>0</v>
      </c>
      <c r="AD541" s="2954"/>
      <c r="AE541" s="2954"/>
      <c r="AF541" s="2954"/>
      <c r="AG541" s="2954"/>
      <c r="AH541" s="2954"/>
      <c r="AI541" s="2954"/>
      <c r="AJ541" s="2954"/>
      <c r="AK541" s="2954"/>
      <c r="AL541" s="2954"/>
      <c r="AM541" s="2954"/>
      <c r="AN541" s="2954"/>
      <c r="AO541" s="2954"/>
      <c r="AP541" s="2954"/>
      <c r="AQ541" s="2954"/>
      <c r="AR541" s="2954"/>
      <c r="AS541" s="2954"/>
      <c r="AT541" s="2935"/>
      <c r="AU541" s="2964"/>
      <c r="AV541" s="857">
        <f t="shared" si="298"/>
        <v>0</v>
      </c>
      <c r="AW541" s="857">
        <f t="shared" si="299"/>
        <v>0</v>
      </c>
      <c r="AX541" s="857">
        <f t="shared" si="300"/>
        <v>0</v>
      </c>
      <c r="AY541" s="807">
        <f t="shared" si="304"/>
        <v>0</v>
      </c>
      <c r="AZ541" s="2934">
        <f t="shared" si="305"/>
        <v>0</v>
      </c>
      <c r="BA541" s="2934">
        <f t="shared" si="306"/>
        <v>0</v>
      </c>
      <c r="BB541" s="2934">
        <f t="shared" si="307"/>
        <v>0</v>
      </c>
      <c r="BC541" s="2934">
        <f t="shared" si="308"/>
        <v>0</v>
      </c>
      <c r="BD541" s="2934">
        <f t="shared" si="309"/>
        <v>0</v>
      </c>
      <c r="BE541" s="2934">
        <f t="shared" si="310"/>
        <v>0</v>
      </c>
      <c r="BF541" s="2934">
        <f t="shared" si="311"/>
        <v>0</v>
      </c>
      <c r="BG541" s="2934">
        <f t="shared" si="312"/>
        <v>0</v>
      </c>
      <c r="BH541" s="2934">
        <f t="shared" si="313"/>
        <v>0</v>
      </c>
      <c r="BI541" s="2934">
        <f t="shared" si="314"/>
        <v>0</v>
      </c>
      <c r="BJ541" s="2934">
        <f t="shared" si="315"/>
        <v>0</v>
      </c>
      <c r="BK541" s="2934">
        <f t="shared" si="316"/>
        <v>0</v>
      </c>
      <c r="BL541" s="2934">
        <f t="shared" si="317"/>
        <v>0</v>
      </c>
      <c r="BM541" s="2934">
        <f t="shared" si="318"/>
        <v>0</v>
      </c>
      <c r="BN541" s="2934">
        <f t="shared" si="319"/>
        <v>0</v>
      </c>
      <c r="BO541" s="2934">
        <f t="shared" si="320"/>
        <v>0</v>
      </c>
      <c r="BP541" s="2934">
        <f t="shared" si="321"/>
        <v>0</v>
      </c>
      <c r="BQ541" s="2934">
        <f t="shared" si="322"/>
        <v>0</v>
      </c>
      <c r="BR541" s="2934">
        <f t="shared" si="323"/>
        <v>0</v>
      </c>
      <c r="BS541" s="2934">
        <f t="shared" si="324"/>
        <v>0</v>
      </c>
      <c r="BT541" s="2982">
        <f t="shared" si="325"/>
        <v>0</v>
      </c>
    </row>
    <row r="542" spans="1:72">
      <c r="A542" s="874"/>
      <c r="B542" s="882"/>
      <c r="C542" s="882"/>
      <c r="D542" s="2933"/>
      <c r="E542" s="2934">
        <f t="shared" si="297"/>
        <v>0</v>
      </c>
      <c r="F542" s="2935"/>
      <c r="G542" s="2936">
        <f t="shared" si="301"/>
        <v>0</v>
      </c>
      <c r="H542" s="2937">
        <f t="shared" si="302"/>
        <v>0</v>
      </c>
      <c r="I542" s="2944"/>
      <c r="J542" s="2944"/>
      <c r="K542" s="2944"/>
      <c r="L542" s="2944"/>
      <c r="M542" s="2944"/>
      <c r="N542" s="2944"/>
      <c r="O542" s="2944"/>
      <c r="P542" s="2944"/>
      <c r="Q542" s="2944"/>
      <c r="R542" s="2944"/>
      <c r="S542" s="2944"/>
      <c r="T542" s="2944"/>
      <c r="U542" s="2944"/>
      <c r="V542" s="2944"/>
      <c r="W542" s="2944"/>
      <c r="X542" s="2944"/>
      <c r="Y542" s="2944"/>
      <c r="Z542" s="2944"/>
      <c r="AA542" s="2944"/>
      <c r="AB542" s="2944"/>
      <c r="AC542" s="2934">
        <f t="shared" si="303"/>
        <v>0</v>
      </c>
      <c r="AD542" s="2954"/>
      <c r="AE542" s="2954"/>
      <c r="AF542" s="2954"/>
      <c r="AG542" s="2954"/>
      <c r="AH542" s="2954"/>
      <c r="AI542" s="2954"/>
      <c r="AJ542" s="2954"/>
      <c r="AK542" s="2954"/>
      <c r="AL542" s="2954"/>
      <c r="AM542" s="2954"/>
      <c r="AN542" s="2954"/>
      <c r="AO542" s="2954"/>
      <c r="AP542" s="2954"/>
      <c r="AQ542" s="2954"/>
      <c r="AR542" s="2954"/>
      <c r="AS542" s="2954"/>
      <c r="AT542" s="2935"/>
      <c r="AU542" s="2964"/>
      <c r="AV542" s="857">
        <f t="shared" si="298"/>
        <v>0</v>
      </c>
      <c r="AW542" s="857">
        <f t="shared" si="299"/>
        <v>0</v>
      </c>
      <c r="AX542" s="857">
        <f t="shared" si="300"/>
        <v>0</v>
      </c>
      <c r="AY542" s="807">
        <f t="shared" si="304"/>
        <v>0</v>
      </c>
      <c r="AZ542" s="2934">
        <f t="shared" si="305"/>
        <v>0</v>
      </c>
      <c r="BA542" s="2934">
        <f t="shared" si="306"/>
        <v>0</v>
      </c>
      <c r="BB542" s="2934">
        <f t="shared" si="307"/>
        <v>0</v>
      </c>
      <c r="BC542" s="2934">
        <f t="shared" si="308"/>
        <v>0</v>
      </c>
      <c r="BD542" s="2934">
        <f t="shared" si="309"/>
        <v>0</v>
      </c>
      <c r="BE542" s="2934">
        <f t="shared" si="310"/>
        <v>0</v>
      </c>
      <c r="BF542" s="2934">
        <f t="shared" si="311"/>
        <v>0</v>
      </c>
      <c r="BG542" s="2934">
        <f t="shared" si="312"/>
        <v>0</v>
      </c>
      <c r="BH542" s="2934">
        <f t="shared" si="313"/>
        <v>0</v>
      </c>
      <c r="BI542" s="2934">
        <f t="shared" si="314"/>
        <v>0</v>
      </c>
      <c r="BJ542" s="2934">
        <f t="shared" si="315"/>
        <v>0</v>
      </c>
      <c r="BK542" s="2934">
        <f t="shared" si="316"/>
        <v>0</v>
      </c>
      <c r="BL542" s="2934">
        <f t="shared" si="317"/>
        <v>0</v>
      </c>
      <c r="BM542" s="2934">
        <f t="shared" si="318"/>
        <v>0</v>
      </c>
      <c r="BN542" s="2934">
        <f t="shared" si="319"/>
        <v>0</v>
      </c>
      <c r="BO542" s="2934">
        <f t="shared" si="320"/>
        <v>0</v>
      </c>
      <c r="BP542" s="2934">
        <f t="shared" si="321"/>
        <v>0</v>
      </c>
      <c r="BQ542" s="2934">
        <f t="shared" si="322"/>
        <v>0</v>
      </c>
      <c r="BR542" s="2934">
        <f t="shared" si="323"/>
        <v>0</v>
      </c>
      <c r="BS542" s="2934">
        <f t="shared" si="324"/>
        <v>0</v>
      </c>
      <c r="BT542" s="2982">
        <f t="shared" si="325"/>
        <v>0</v>
      </c>
    </row>
    <row r="543" spans="1:72">
      <c r="A543" s="874"/>
      <c r="B543" s="882"/>
      <c r="C543" s="882"/>
      <c r="D543" s="2933"/>
      <c r="E543" s="2934">
        <f t="shared" si="297"/>
        <v>0</v>
      </c>
      <c r="F543" s="2935"/>
      <c r="G543" s="2936">
        <f t="shared" si="301"/>
        <v>0</v>
      </c>
      <c r="H543" s="2937">
        <f t="shared" si="302"/>
        <v>0</v>
      </c>
      <c r="I543" s="2944"/>
      <c r="J543" s="2944"/>
      <c r="K543" s="2944"/>
      <c r="L543" s="2944"/>
      <c r="M543" s="2944"/>
      <c r="N543" s="2944"/>
      <c r="O543" s="2944"/>
      <c r="P543" s="2944"/>
      <c r="Q543" s="2944"/>
      <c r="R543" s="2944"/>
      <c r="S543" s="2944"/>
      <c r="T543" s="2944"/>
      <c r="U543" s="2944"/>
      <c r="V543" s="2944"/>
      <c r="W543" s="2944"/>
      <c r="X543" s="2944"/>
      <c r="Y543" s="2944"/>
      <c r="Z543" s="2944"/>
      <c r="AA543" s="2944"/>
      <c r="AB543" s="2944"/>
      <c r="AC543" s="2934">
        <f t="shared" si="303"/>
        <v>0</v>
      </c>
      <c r="AD543" s="2954"/>
      <c r="AE543" s="2954"/>
      <c r="AF543" s="2954"/>
      <c r="AG543" s="2954"/>
      <c r="AH543" s="2954"/>
      <c r="AI543" s="2954"/>
      <c r="AJ543" s="2954"/>
      <c r="AK543" s="2954"/>
      <c r="AL543" s="2954"/>
      <c r="AM543" s="2954"/>
      <c r="AN543" s="2954"/>
      <c r="AO543" s="2954"/>
      <c r="AP543" s="2954"/>
      <c r="AQ543" s="2954"/>
      <c r="AR543" s="2954"/>
      <c r="AS543" s="2954"/>
      <c r="AT543" s="2935"/>
      <c r="AU543" s="2964"/>
      <c r="AV543" s="857">
        <f t="shared" si="298"/>
        <v>0</v>
      </c>
      <c r="AW543" s="857">
        <f t="shared" si="299"/>
        <v>0</v>
      </c>
      <c r="AX543" s="857">
        <f t="shared" si="300"/>
        <v>0</v>
      </c>
      <c r="AY543" s="807">
        <f t="shared" si="304"/>
        <v>0</v>
      </c>
      <c r="AZ543" s="2934">
        <f t="shared" si="305"/>
        <v>0</v>
      </c>
      <c r="BA543" s="2934">
        <f t="shared" si="306"/>
        <v>0</v>
      </c>
      <c r="BB543" s="2934">
        <f t="shared" si="307"/>
        <v>0</v>
      </c>
      <c r="BC543" s="2934">
        <f t="shared" si="308"/>
        <v>0</v>
      </c>
      <c r="BD543" s="2934">
        <f t="shared" si="309"/>
        <v>0</v>
      </c>
      <c r="BE543" s="2934">
        <f t="shared" si="310"/>
        <v>0</v>
      </c>
      <c r="BF543" s="2934">
        <f t="shared" si="311"/>
        <v>0</v>
      </c>
      <c r="BG543" s="2934">
        <f t="shared" si="312"/>
        <v>0</v>
      </c>
      <c r="BH543" s="2934">
        <f t="shared" si="313"/>
        <v>0</v>
      </c>
      <c r="BI543" s="2934">
        <f t="shared" si="314"/>
        <v>0</v>
      </c>
      <c r="BJ543" s="2934">
        <f t="shared" si="315"/>
        <v>0</v>
      </c>
      <c r="BK543" s="2934">
        <f t="shared" si="316"/>
        <v>0</v>
      </c>
      <c r="BL543" s="2934">
        <f t="shared" si="317"/>
        <v>0</v>
      </c>
      <c r="BM543" s="2934">
        <f t="shared" si="318"/>
        <v>0</v>
      </c>
      <c r="BN543" s="2934">
        <f t="shared" si="319"/>
        <v>0</v>
      </c>
      <c r="BO543" s="2934">
        <f t="shared" si="320"/>
        <v>0</v>
      </c>
      <c r="BP543" s="2934">
        <f t="shared" si="321"/>
        <v>0</v>
      </c>
      <c r="BQ543" s="2934">
        <f t="shared" si="322"/>
        <v>0</v>
      </c>
      <c r="BR543" s="2934">
        <f t="shared" si="323"/>
        <v>0</v>
      </c>
      <c r="BS543" s="2934">
        <f t="shared" si="324"/>
        <v>0</v>
      </c>
      <c r="BT543" s="2982">
        <f t="shared" si="325"/>
        <v>0</v>
      </c>
    </row>
    <row r="544" spans="1:72">
      <c r="A544" s="874"/>
      <c r="B544" s="882"/>
      <c r="C544" s="882"/>
      <c r="D544" s="2933"/>
      <c r="E544" s="2934">
        <f t="shared" si="297"/>
        <v>0</v>
      </c>
      <c r="F544" s="2935"/>
      <c r="G544" s="2936">
        <f t="shared" si="301"/>
        <v>0</v>
      </c>
      <c r="H544" s="2937">
        <f t="shared" si="302"/>
        <v>0</v>
      </c>
      <c r="I544" s="2944"/>
      <c r="J544" s="2944"/>
      <c r="K544" s="2944"/>
      <c r="L544" s="2944"/>
      <c r="M544" s="2944"/>
      <c r="N544" s="2944"/>
      <c r="O544" s="2944"/>
      <c r="P544" s="2944"/>
      <c r="Q544" s="2944"/>
      <c r="R544" s="2944"/>
      <c r="S544" s="2944"/>
      <c r="T544" s="2944"/>
      <c r="U544" s="2944"/>
      <c r="V544" s="2944"/>
      <c r="W544" s="2944"/>
      <c r="X544" s="2944"/>
      <c r="Y544" s="2944"/>
      <c r="Z544" s="2944"/>
      <c r="AA544" s="2944"/>
      <c r="AB544" s="2944"/>
      <c r="AC544" s="2934">
        <f t="shared" si="303"/>
        <v>0</v>
      </c>
      <c r="AD544" s="2954"/>
      <c r="AE544" s="2954"/>
      <c r="AF544" s="2954"/>
      <c r="AG544" s="2954"/>
      <c r="AH544" s="2954"/>
      <c r="AI544" s="2954"/>
      <c r="AJ544" s="2954"/>
      <c r="AK544" s="2954"/>
      <c r="AL544" s="2954"/>
      <c r="AM544" s="2954"/>
      <c r="AN544" s="2954"/>
      <c r="AO544" s="2954"/>
      <c r="AP544" s="2954"/>
      <c r="AQ544" s="2954"/>
      <c r="AR544" s="2954"/>
      <c r="AS544" s="2954"/>
      <c r="AT544" s="2935"/>
      <c r="AU544" s="2964"/>
      <c r="AV544" s="857">
        <f t="shared" si="298"/>
        <v>0</v>
      </c>
      <c r="AW544" s="857">
        <f t="shared" si="299"/>
        <v>0</v>
      </c>
      <c r="AX544" s="857">
        <f t="shared" si="300"/>
        <v>0</v>
      </c>
      <c r="AY544" s="807">
        <f t="shared" si="304"/>
        <v>0</v>
      </c>
      <c r="AZ544" s="2934">
        <f t="shared" si="305"/>
        <v>0</v>
      </c>
      <c r="BA544" s="2934">
        <f t="shared" si="306"/>
        <v>0</v>
      </c>
      <c r="BB544" s="2934">
        <f t="shared" si="307"/>
        <v>0</v>
      </c>
      <c r="BC544" s="2934">
        <f t="shared" si="308"/>
        <v>0</v>
      </c>
      <c r="BD544" s="2934">
        <f t="shared" si="309"/>
        <v>0</v>
      </c>
      <c r="BE544" s="2934">
        <f t="shared" si="310"/>
        <v>0</v>
      </c>
      <c r="BF544" s="2934">
        <f t="shared" si="311"/>
        <v>0</v>
      </c>
      <c r="BG544" s="2934">
        <f t="shared" si="312"/>
        <v>0</v>
      </c>
      <c r="BH544" s="2934">
        <f t="shared" si="313"/>
        <v>0</v>
      </c>
      <c r="BI544" s="2934">
        <f t="shared" si="314"/>
        <v>0</v>
      </c>
      <c r="BJ544" s="2934">
        <f t="shared" si="315"/>
        <v>0</v>
      </c>
      <c r="BK544" s="2934">
        <f t="shared" si="316"/>
        <v>0</v>
      </c>
      <c r="BL544" s="2934">
        <f t="shared" si="317"/>
        <v>0</v>
      </c>
      <c r="BM544" s="2934">
        <f t="shared" si="318"/>
        <v>0</v>
      </c>
      <c r="BN544" s="2934">
        <f t="shared" si="319"/>
        <v>0</v>
      </c>
      <c r="BO544" s="2934">
        <f t="shared" si="320"/>
        <v>0</v>
      </c>
      <c r="BP544" s="2934">
        <f t="shared" si="321"/>
        <v>0</v>
      </c>
      <c r="BQ544" s="2934">
        <f t="shared" si="322"/>
        <v>0</v>
      </c>
      <c r="BR544" s="2934">
        <f t="shared" si="323"/>
        <v>0</v>
      </c>
      <c r="BS544" s="2934">
        <f t="shared" si="324"/>
        <v>0</v>
      </c>
      <c r="BT544" s="2982">
        <f t="shared" si="325"/>
        <v>0</v>
      </c>
    </row>
    <row r="545" spans="1:72">
      <c r="A545" s="874"/>
      <c r="B545" s="882"/>
      <c r="C545" s="882"/>
      <c r="D545" s="2933"/>
      <c r="E545" s="2934">
        <f t="shared" si="297"/>
        <v>0</v>
      </c>
      <c r="F545" s="2935"/>
      <c r="G545" s="2936">
        <f t="shared" si="301"/>
        <v>0</v>
      </c>
      <c r="H545" s="2937">
        <f t="shared" si="302"/>
        <v>0</v>
      </c>
      <c r="I545" s="2944"/>
      <c r="J545" s="2944"/>
      <c r="K545" s="2944"/>
      <c r="L545" s="2944"/>
      <c r="M545" s="2944"/>
      <c r="N545" s="2944"/>
      <c r="O545" s="2944"/>
      <c r="P545" s="2944"/>
      <c r="Q545" s="2944"/>
      <c r="R545" s="2944"/>
      <c r="S545" s="2944"/>
      <c r="T545" s="2944"/>
      <c r="U545" s="2944"/>
      <c r="V545" s="2944"/>
      <c r="W545" s="2944"/>
      <c r="X545" s="2944"/>
      <c r="Y545" s="2944"/>
      <c r="Z545" s="2944"/>
      <c r="AA545" s="2944"/>
      <c r="AB545" s="2944"/>
      <c r="AC545" s="2934">
        <f t="shared" si="303"/>
        <v>0</v>
      </c>
      <c r="AD545" s="2954"/>
      <c r="AE545" s="2954"/>
      <c r="AF545" s="2954"/>
      <c r="AG545" s="2954"/>
      <c r="AH545" s="2954"/>
      <c r="AI545" s="2954"/>
      <c r="AJ545" s="2954"/>
      <c r="AK545" s="2954"/>
      <c r="AL545" s="2954"/>
      <c r="AM545" s="2954"/>
      <c r="AN545" s="2954"/>
      <c r="AO545" s="2954"/>
      <c r="AP545" s="2954"/>
      <c r="AQ545" s="2954"/>
      <c r="AR545" s="2954"/>
      <c r="AS545" s="2954"/>
      <c r="AT545" s="2935"/>
      <c r="AU545" s="2964"/>
      <c r="AV545" s="857">
        <f t="shared" si="298"/>
        <v>0</v>
      </c>
      <c r="AW545" s="857">
        <f t="shared" si="299"/>
        <v>0</v>
      </c>
      <c r="AX545" s="857">
        <f t="shared" si="300"/>
        <v>0</v>
      </c>
      <c r="AY545" s="807">
        <f t="shared" si="304"/>
        <v>0</v>
      </c>
      <c r="AZ545" s="2934">
        <f t="shared" si="305"/>
        <v>0</v>
      </c>
      <c r="BA545" s="2934">
        <f t="shared" si="306"/>
        <v>0</v>
      </c>
      <c r="BB545" s="2934">
        <f t="shared" si="307"/>
        <v>0</v>
      </c>
      <c r="BC545" s="2934">
        <f t="shared" si="308"/>
        <v>0</v>
      </c>
      <c r="BD545" s="2934">
        <f t="shared" si="309"/>
        <v>0</v>
      </c>
      <c r="BE545" s="2934">
        <f t="shared" si="310"/>
        <v>0</v>
      </c>
      <c r="BF545" s="2934">
        <f t="shared" si="311"/>
        <v>0</v>
      </c>
      <c r="BG545" s="2934">
        <f t="shared" si="312"/>
        <v>0</v>
      </c>
      <c r="BH545" s="2934">
        <f t="shared" si="313"/>
        <v>0</v>
      </c>
      <c r="BI545" s="2934">
        <f t="shared" si="314"/>
        <v>0</v>
      </c>
      <c r="BJ545" s="2934">
        <f t="shared" si="315"/>
        <v>0</v>
      </c>
      <c r="BK545" s="2934">
        <f t="shared" si="316"/>
        <v>0</v>
      </c>
      <c r="BL545" s="2934">
        <f t="shared" si="317"/>
        <v>0</v>
      </c>
      <c r="BM545" s="2934">
        <f t="shared" si="318"/>
        <v>0</v>
      </c>
      <c r="BN545" s="2934">
        <f t="shared" si="319"/>
        <v>0</v>
      </c>
      <c r="BO545" s="2934">
        <f t="shared" si="320"/>
        <v>0</v>
      </c>
      <c r="BP545" s="2934">
        <f t="shared" si="321"/>
        <v>0</v>
      </c>
      <c r="BQ545" s="2934">
        <f t="shared" si="322"/>
        <v>0</v>
      </c>
      <c r="BR545" s="2934">
        <f t="shared" si="323"/>
        <v>0</v>
      </c>
      <c r="BS545" s="2934">
        <f t="shared" si="324"/>
        <v>0</v>
      </c>
      <c r="BT545" s="2982">
        <f t="shared" si="325"/>
        <v>0</v>
      </c>
    </row>
    <row r="546" spans="1:72">
      <c r="A546" s="874"/>
      <c r="B546" s="882"/>
      <c r="C546" s="882"/>
      <c r="D546" s="2933"/>
      <c r="E546" s="2934">
        <f t="shared" si="297"/>
        <v>0</v>
      </c>
      <c r="F546" s="2935"/>
      <c r="G546" s="2936">
        <f t="shared" si="301"/>
        <v>0</v>
      </c>
      <c r="H546" s="2937">
        <f t="shared" si="302"/>
        <v>0</v>
      </c>
      <c r="I546" s="2944"/>
      <c r="J546" s="2944"/>
      <c r="K546" s="2944"/>
      <c r="L546" s="2944"/>
      <c r="M546" s="2944"/>
      <c r="N546" s="2944"/>
      <c r="O546" s="2944"/>
      <c r="P546" s="2944"/>
      <c r="Q546" s="2944"/>
      <c r="R546" s="2944"/>
      <c r="S546" s="2944"/>
      <c r="T546" s="2944"/>
      <c r="U546" s="2944"/>
      <c r="V546" s="2944"/>
      <c r="W546" s="2944"/>
      <c r="X546" s="2944"/>
      <c r="Y546" s="2944"/>
      <c r="Z546" s="2944"/>
      <c r="AA546" s="2944"/>
      <c r="AB546" s="2944"/>
      <c r="AC546" s="2934">
        <f t="shared" si="303"/>
        <v>0</v>
      </c>
      <c r="AD546" s="2954"/>
      <c r="AE546" s="2954"/>
      <c r="AF546" s="2954"/>
      <c r="AG546" s="2954"/>
      <c r="AH546" s="2954"/>
      <c r="AI546" s="2954"/>
      <c r="AJ546" s="2954"/>
      <c r="AK546" s="2954"/>
      <c r="AL546" s="2954"/>
      <c r="AM546" s="2954"/>
      <c r="AN546" s="2954"/>
      <c r="AO546" s="2954"/>
      <c r="AP546" s="2954"/>
      <c r="AQ546" s="2954"/>
      <c r="AR546" s="2954"/>
      <c r="AS546" s="2954"/>
      <c r="AT546" s="2935"/>
      <c r="AU546" s="2964"/>
      <c r="AV546" s="857">
        <f t="shared" si="298"/>
        <v>0</v>
      </c>
      <c r="AW546" s="857">
        <f t="shared" si="299"/>
        <v>0</v>
      </c>
      <c r="AX546" s="857">
        <f t="shared" si="300"/>
        <v>0</v>
      </c>
      <c r="AY546" s="807">
        <f t="shared" si="304"/>
        <v>0</v>
      </c>
      <c r="AZ546" s="2934">
        <f t="shared" si="305"/>
        <v>0</v>
      </c>
      <c r="BA546" s="2934">
        <f t="shared" si="306"/>
        <v>0</v>
      </c>
      <c r="BB546" s="2934">
        <f t="shared" si="307"/>
        <v>0</v>
      </c>
      <c r="BC546" s="2934">
        <f t="shared" si="308"/>
        <v>0</v>
      </c>
      <c r="BD546" s="2934">
        <f t="shared" si="309"/>
        <v>0</v>
      </c>
      <c r="BE546" s="2934">
        <f t="shared" si="310"/>
        <v>0</v>
      </c>
      <c r="BF546" s="2934">
        <f t="shared" si="311"/>
        <v>0</v>
      </c>
      <c r="BG546" s="2934">
        <f t="shared" si="312"/>
        <v>0</v>
      </c>
      <c r="BH546" s="2934">
        <f t="shared" si="313"/>
        <v>0</v>
      </c>
      <c r="BI546" s="2934">
        <f t="shared" si="314"/>
        <v>0</v>
      </c>
      <c r="BJ546" s="2934">
        <f t="shared" si="315"/>
        <v>0</v>
      </c>
      <c r="BK546" s="2934">
        <f t="shared" si="316"/>
        <v>0</v>
      </c>
      <c r="BL546" s="2934">
        <f t="shared" si="317"/>
        <v>0</v>
      </c>
      <c r="BM546" s="2934">
        <f t="shared" si="318"/>
        <v>0</v>
      </c>
      <c r="BN546" s="2934">
        <f t="shared" si="319"/>
        <v>0</v>
      </c>
      <c r="BO546" s="2934">
        <f t="shared" si="320"/>
        <v>0</v>
      </c>
      <c r="BP546" s="2934">
        <f t="shared" si="321"/>
        <v>0</v>
      </c>
      <c r="BQ546" s="2934">
        <f t="shared" si="322"/>
        <v>0</v>
      </c>
      <c r="BR546" s="2934">
        <f t="shared" si="323"/>
        <v>0</v>
      </c>
      <c r="BS546" s="2934">
        <f t="shared" si="324"/>
        <v>0</v>
      </c>
      <c r="BT546" s="2982">
        <f t="shared" si="325"/>
        <v>0</v>
      </c>
    </row>
    <row r="547" spans="1:72">
      <c r="A547" s="874"/>
      <c r="B547" s="882"/>
      <c r="C547" s="882"/>
      <c r="D547" s="2933"/>
      <c r="E547" s="2934">
        <f t="shared" si="297"/>
        <v>0</v>
      </c>
      <c r="F547" s="2935"/>
      <c r="G547" s="2936">
        <f t="shared" si="301"/>
        <v>0</v>
      </c>
      <c r="H547" s="2937">
        <f t="shared" si="302"/>
        <v>0</v>
      </c>
      <c r="I547" s="2944"/>
      <c r="J547" s="2944"/>
      <c r="K547" s="2944"/>
      <c r="L547" s="2944"/>
      <c r="M547" s="2944"/>
      <c r="N547" s="2944"/>
      <c r="O547" s="2944"/>
      <c r="P547" s="2944"/>
      <c r="Q547" s="2944"/>
      <c r="R547" s="2944"/>
      <c r="S547" s="2944"/>
      <c r="T547" s="2944"/>
      <c r="U547" s="2944"/>
      <c r="V547" s="2944"/>
      <c r="W547" s="2944"/>
      <c r="X547" s="2944"/>
      <c r="Y547" s="2944"/>
      <c r="Z547" s="2944"/>
      <c r="AA547" s="2944"/>
      <c r="AB547" s="2944"/>
      <c r="AC547" s="2934">
        <f t="shared" si="303"/>
        <v>0</v>
      </c>
      <c r="AD547" s="2954"/>
      <c r="AE547" s="2954"/>
      <c r="AF547" s="2954"/>
      <c r="AG547" s="2954"/>
      <c r="AH547" s="2954"/>
      <c r="AI547" s="2954"/>
      <c r="AJ547" s="2954"/>
      <c r="AK547" s="2954"/>
      <c r="AL547" s="2954"/>
      <c r="AM547" s="2954"/>
      <c r="AN547" s="2954"/>
      <c r="AO547" s="2954"/>
      <c r="AP547" s="2954"/>
      <c r="AQ547" s="2954"/>
      <c r="AR547" s="2954"/>
      <c r="AS547" s="2954"/>
      <c r="AT547" s="2935"/>
      <c r="AU547" s="2964"/>
      <c r="AV547" s="857">
        <f t="shared" si="298"/>
        <v>0</v>
      </c>
      <c r="AW547" s="857">
        <f t="shared" si="299"/>
        <v>0</v>
      </c>
      <c r="AX547" s="857">
        <f t="shared" si="300"/>
        <v>0</v>
      </c>
      <c r="AY547" s="807">
        <f t="shared" si="304"/>
        <v>0</v>
      </c>
      <c r="AZ547" s="2934">
        <f t="shared" si="305"/>
        <v>0</v>
      </c>
      <c r="BA547" s="2934">
        <f t="shared" si="306"/>
        <v>0</v>
      </c>
      <c r="BB547" s="2934">
        <f t="shared" si="307"/>
        <v>0</v>
      </c>
      <c r="BC547" s="2934">
        <f t="shared" si="308"/>
        <v>0</v>
      </c>
      <c r="BD547" s="2934">
        <f t="shared" si="309"/>
        <v>0</v>
      </c>
      <c r="BE547" s="2934">
        <f t="shared" si="310"/>
        <v>0</v>
      </c>
      <c r="BF547" s="2934">
        <f t="shared" si="311"/>
        <v>0</v>
      </c>
      <c r="BG547" s="2934">
        <f t="shared" si="312"/>
        <v>0</v>
      </c>
      <c r="BH547" s="2934">
        <f t="shared" si="313"/>
        <v>0</v>
      </c>
      <c r="BI547" s="2934">
        <f t="shared" si="314"/>
        <v>0</v>
      </c>
      <c r="BJ547" s="2934">
        <f t="shared" si="315"/>
        <v>0</v>
      </c>
      <c r="BK547" s="2934">
        <f t="shared" si="316"/>
        <v>0</v>
      </c>
      <c r="BL547" s="2934">
        <f t="shared" si="317"/>
        <v>0</v>
      </c>
      <c r="BM547" s="2934">
        <f t="shared" si="318"/>
        <v>0</v>
      </c>
      <c r="BN547" s="2934">
        <f t="shared" si="319"/>
        <v>0</v>
      </c>
      <c r="BO547" s="2934">
        <f t="shared" si="320"/>
        <v>0</v>
      </c>
      <c r="BP547" s="2934">
        <f t="shared" si="321"/>
        <v>0</v>
      </c>
      <c r="BQ547" s="2934">
        <f t="shared" si="322"/>
        <v>0</v>
      </c>
      <c r="BR547" s="2934">
        <f t="shared" si="323"/>
        <v>0</v>
      </c>
      <c r="BS547" s="2934">
        <f t="shared" si="324"/>
        <v>0</v>
      </c>
      <c r="BT547" s="2982">
        <f t="shared" si="325"/>
        <v>0</v>
      </c>
    </row>
    <row r="548" spans="1:72">
      <c r="A548" s="874"/>
      <c r="B548" s="882"/>
      <c r="C548" s="882"/>
      <c r="D548" s="2933"/>
      <c r="E548" s="2934">
        <f t="shared" si="297"/>
        <v>0</v>
      </c>
      <c r="F548" s="2935"/>
      <c r="G548" s="2936">
        <f t="shared" si="301"/>
        <v>0</v>
      </c>
      <c r="H548" s="2937">
        <f t="shared" si="302"/>
        <v>0</v>
      </c>
      <c r="I548" s="2944"/>
      <c r="J548" s="2944"/>
      <c r="K548" s="2944"/>
      <c r="L548" s="2944"/>
      <c r="M548" s="2944"/>
      <c r="N548" s="2944"/>
      <c r="O548" s="2944"/>
      <c r="P548" s="2944"/>
      <c r="Q548" s="2944"/>
      <c r="R548" s="2944"/>
      <c r="S548" s="2944"/>
      <c r="T548" s="2944"/>
      <c r="U548" s="2944"/>
      <c r="V548" s="2944"/>
      <c r="W548" s="2944"/>
      <c r="X548" s="2944"/>
      <c r="Y548" s="2944"/>
      <c r="Z548" s="2944"/>
      <c r="AA548" s="2944"/>
      <c r="AB548" s="2944"/>
      <c r="AC548" s="2934">
        <f t="shared" si="303"/>
        <v>0</v>
      </c>
      <c r="AD548" s="2954"/>
      <c r="AE548" s="2954"/>
      <c r="AF548" s="2954"/>
      <c r="AG548" s="2954"/>
      <c r="AH548" s="2954"/>
      <c r="AI548" s="2954"/>
      <c r="AJ548" s="2954"/>
      <c r="AK548" s="2954"/>
      <c r="AL548" s="2954"/>
      <c r="AM548" s="2954"/>
      <c r="AN548" s="2954"/>
      <c r="AO548" s="2954"/>
      <c r="AP548" s="2954"/>
      <c r="AQ548" s="2954"/>
      <c r="AR548" s="2954"/>
      <c r="AS548" s="2954"/>
      <c r="AT548" s="2935"/>
      <c r="AU548" s="2964"/>
      <c r="AV548" s="857">
        <f t="shared" si="298"/>
        <v>0</v>
      </c>
      <c r="AW548" s="857">
        <f t="shared" si="299"/>
        <v>0</v>
      </c>
      <c r="AX548" s="857">
        <f t="shared" si="300"/>
        <v>0</v>
      </c>
      <c r="AY548" s="807">
        <f t="shared" si="304"/>
        <v>0</v>
      </c>
      <c r="AZ548" s="2934">
        <f t="shared" si="305"/>
        <v>0</v>
      </c>
      <c r="BA548" s="2934">
        <f t="shared" si="306"/>
        <v>0</v>
      </c>
      <c r="BB548" s="2934">
        <f t="shared" si="307"/>
        <v>0</v>
      </c>
      <c r="BC548" s="2934">
        <f t="shared" si="308"/>
        <v>0</v>
      </c>
      <c r="BD548" s="2934">
        <f t="shared" si="309"/>
        <v>0</v>
      </c>
      <c r="BE548" s="2934">
        <f t="shared" si="310"/>
        <v>0</v>
      </c>
      <c r="BF548" s="2934">
        <f t="shared" si="311"/>
        <v>0</v>
      </c>
      <c r="BG548" s="2934">
        <f t="shared" si="312"/>
        <v>0</v>
      </c>
      <c r="BH548" s="2934">
        <f t="shared" si="313"/>
        <v>0</v>
      </c>
      <c r="BI548" s="2934">
        <f t="shared" si="314"/>
        <v>0</v>
      </c>
      <c r="BJ548" s="2934">
        <f t="shared" si="315"/>
        <v>0</v>
      </c>
      <c r="BK548" s="2934">
        <f t="shared" si="316"/>
        <v>0</v>
      </c>
      <c r="BL548" s="2934">
        <f t="shared" si="317"/>
        <v>0</v>
      </c>
      <c r="BM548" s="2934">
        <f t="shared" si="318"/>
        <v>0</v>
      </c>
      <c r="BN548" s="2934">
        <f t="shared" si="319"/>
        <v>0</v>
      </c>
      <c r="BO548" s="2934">
        <f t="shared" si="320"/>
        <v>0</v>
      </c>
      <c r="BP548" s="2934">
        <f t="shared" si="321"/>
        <v>0</v>
      </c>
      <c r="BQ548" s="2934">
        <f t="shared" si="322"/>
        <v>0</v>
      </c>
      <c r="BR548" s="2934">
        <f t="shared" si="323"/>
        <v>0</v>
      </c>
      <c r="BS548" s="2934">
        <f t="shared" si="324"/>
        <v>0</v>
      </c>
      <c r="BT548" s="2982">
        <f t="shared" si="325"/>
        <v>0</v>
      </c>
    </row>
    <row r="549" spans="1:72">
      <c r="A549" s="874"/>
      <c r="B549" s="882"/>
      <c r="C549" s="882"/>
      <c r="D549" s="2933"/>
      <c r="E549" s="2934">
        <f t="shared" si="297"/>
        <v>0</v>
      </c>
      <c r="F549" s="2935"/>
      <c r="G549" s="2936">
        <f t="shared" si="301"/>
        <v>0</v>
      </c>
      <c r="H549" s="2937">
        <f t="shared" si="302"/>
        <v>0</v>
      </c>
      <c r="I549" s="2944"/>
      <c r="J549" s="2944"/>
      <c r="K549" s="2944"/>
      <c r="L549" s="2944"/>
      <c r="M549" s="2944"/>
      <c r="N549" s="2944"/>
      <c r="O549" s="2944"/>
      <c r="P549" s="2944"/>
      <c r="Q549" s="2944"/>
      <c r="R549" s="2944"/>
      <c r="S549" s="2944"/>
      <c r="T549" s="2944"/>
      <c r="U549" s="2944"/>
      <c r="V549" s="2944"/>
      <c r="W549" s="2944"/>
      <c r="X549" s="2944"/>
      <c r="Y549" s="2944"/>
      <c r="Z549" s="2944"/>
      <c r="AA549" s="2944"/>
      <c r="AB549" s="2944"/>
      <c r="AC549" s="2934">
        <f t="shared" si="303"/>
        <v>0</v>
      </c>
      <c r="AD549" s="2954"/>
      <c r="AE549" s="2954"/>
      <c r="AF549" s="2954"/>
      <c r="AG549" s="2954"/>
      <c r="AH549" s="2954"/>
      <c r="AI549" s="2954"/>
      <c r="AJ549" s="2954"/>
      <c r="AK549" s="2954"/>
      <c r="AL549" s="2954"/>
      <c r="AM549" s="2954"/>
      <c r="AN549" s="2954"/>
      <c r="AO549" s="2954"/>
      <c r="AP549" s="2954"/>
      <c r="AQ549" s="2954"/>
      <c r="AR549" s="2954"/>
      <c r="AS549" s="2954"/>
      <c r="AT549" s="2935"/>
      <c r="AU549" s="2964"/>
      <c r="AV549" s="857">
        <f t="shared" si="298"/>
        <v>0</v>
      </c>
      <c r="AW549" s="857">
        <f t="shared" si="299"/>
        <v>0</v>
      </c>
      <c r="AX549" s="857">
        <f t="shared" si="300"/>
        <v>0</v>
      </c>
      <c r="AY549" s="807">
        <f t="shared" si="304"/>
        <v>0</v>
      </c>
      <c r="AZ549" s="2934">
        <f t="shared" si="305"/>
        <v>0</v>
      </c>
      <c r="BA549" s="2934">
        <f t="shared" si="306"/>
        <v>0</v>
      </c>
      <c r="BB549" s="2934">
        <f t="shared" si="307"/>
        <v>0</v>
      </c>
      <c r="BC549" s="2934">
        <f t="shared" si="308"/>
        <v>0</v>
      </c>
      <c r="BD549" s="2934">
        <f t="shared" si="309"/>
        <v>0</v>
      </c>
      <c r="BE549" s="2934">
        <f t="shared" si="310"/>
        <v>0</v>
      </c>
      <c r="BF549" s="2934">
        <f t="shared" si="311"/>
        <v>0</v>
      </c>
      <c r="BG549" s="2934">
        <f t="shared" si="312"/>
        <v>0</v>
      </c>
      <c r="BH549" s="2934">
        <f t="shared" si="313"/>
        <v>0</v>
      </c>
      <c r="BI549" s="2934">
        <f t="shared" si="314"/>
        <v>0</v>
      </c>
      <c r="BJ549" s="2934">
        <f t="shared" si="315"/>
        <v>0</v>
      </c>
      <c r="BK549" s="2934">
        <f t="shared" si="316"/>
        <v>0</v>
      </c>
      <c r="BL549" s="2934">
        <f t="shared" si="317"/>
        <v>0</v>
      </c>
      <c r="BM549" s="2934">
        <f t="shared" si="318"/>
        <v>0</v>
      </c>
      <c r="BN549" s="2934">
        <f t="shared" si="319"/>
        <v>0</v>
      </c>
      <c r="BO549" s="2934">
        <f t="shared" si="320"/>
        <v>0</v>
      </c>
      <c r="BP549" s="2934">
        <f t="shared" si="321"/>
        <v>0</v>
      </c>
      <c r="BQ549" s="2934">
        <f t="shared" si="322"/>
        <v>0</v>
      </c>
      <c r="BR549" s="2934">
        <f t="shared" si="323"/>
        <v>0</v>
      </c>
      <c r="BS549" s="2934">
        <f t="shared" si="324"/>
        <v>0</v>
      </c>
      <c r="BT549" s="2982">
        <f t="shared" si="325"/>
        <v>0</v>
      </c>
    </row>
    <row r="550" spans="1:72">
      <c r="A550" s="874"/>
      <c r="B550" s="882"/>
      <c r="C550" s="882"/>
      <c r="D550" s="2933"/>
      <c r="E550" s="2934">
        <f t="shared" si="297"/>
        <v>0</v>
      </c>
      <c r="F550" s="2935"/>
      <c r="G550" s="2936">
        <f t="shared" si="301"/>
        <v>0</v>
      </c>
      <c r="H550" s="2937">
        <f t="shared" si="302"/>
        <v>0</v>
      </c>
      <c r="I550" s="2944"/>
      <c r="J550" s="2944"/>
      <c r="K550" s="2944"/>
      <c r="L550" s="2944"/>
      <c r="M550" s="2944"/>
      <c r="N550" s="2944"/>
      <c r="O550" s="2944"/>
      <c r="P550" s="2944"/>
      <c r="Q550" s="2944"/>
      <c r="R550" s="2944"/>
      <c r="S550" s="2944"/>
      <c r="T550" s="2944"/>
      <c r="U550" s="2944"/>
      <c r="V550" s="2944"/>
      <c r="W550" s="2944"/>
      <c r="X550" s="2944"/>
      <c r="Y550" s="2944"/>
      <c r="Z550" s="2944"/>
      <c r="AA550" s="2944"/>
      <c r="AB550" s="2944"/>
      <c r="AC550" s="2934">
        <f t="shared" si="303"/>
        <v>0</v>
      </c>
      <c r="AD550" s="2954"/>
      <c r="AE550" s="2954"/>
      <c r="AF550" s="2954"/>
      <c r="AG550" s="2954"/>
      <c r="AH550" s="2954"/>
      <c r="AI550" s="2954"/>
      <c r="AJ550" s="2954"/>
      <c r="AK550" s="2954"/>
      <c r="AL550" s="2954"/>
      <c r="AM550" s="2954"/>
      <c r="AN550" s="2954"/>
      <c r="AO550" s="2954"/>
      <c r="AP550" s="2954"/>
      <c r="AQ550" s="2954"/>
      <c r="AR550" s="2954"/>
      <c r="AS550" s="2954"/>
      <c r="AT550" s="2935"/>
      <c r="AU550" s="2964"/>
      <c r="AV550" s="857">
        <f t="shared" si="298"/>
        <v>0</v>
      </c>
      <c r="AW550" s="857">
        <f t="shared" si="299"/>
        <v>0</v>
      </c>
      <c r="AX550" s="857">
        <f t="shared" si="300"/>
        <v>0</v>
      </c>
      <c r="AY550" s="807">
        <f t="shared" si="304"/>
        <v>0</v>
      </c>
      <c r="AZ550" s="2934">
        <f t="shared" si="305"/>
        <v>0</v>
      </c>
      <c r="BA550" s="2934">
        <f t="shared" si="306"/>
        <v>0</v>
      </c>
      <c r="BB550" s="2934">
        <f t="shared" si="307"/>
        <v>0</v>
      </c>
      <c r="BC550" s="2934">
        <f t="shared" si="308"/>
        <v>0</v>
      </c>
      <c r="BD550" s="2934">
        <f t="shared" si="309"/>
        <v>0</v>
      </c>
      <c r="BE550" s="2934">
        <f t="shared" si="310"/>
        <v>0</v>
      </c>
      <c r="BF550" s="2934">
        <f t="shared" si="311"/>
        <v>0</v>
      </c>
      <c r="BG550" s="2934">
        <f t="shared" si="312"/>
        <v>0</v>
      </c>
      <c r="BH550" s="2934">
        <f t="shared" si="313"/>
        <v>0</v>
      </c>
      <c r="BI550" s="2934">
        <f t="shared" si="314"/>
        <v>0</v>
      </c>
      <c r="BJ550" s="2934">
        <f t="shared" si="315"/>
        <v>0</v>
      </c>
      <c r="BK550" s="2934">
        <f t="shared" si="316"/>
        <v>0</v>
      </c>
      <c r="BL550" s="2934">
        <f t="shared" si="317"/>
        <v>0</v>
      </c>
      <c r="BM550" s="2934">
        <f t="shared" si="318"/>
        <v>0</v>
      </c>
      <c r="BN550" s="2934">
        <f t="shared" si="319"/>
        <v>0</v>
      </c>
      <c r="BO550" s="2934">
        <f t="shared" si="320"/>
        <v>0</v>
      </c>
      <c r="BP550" s="2934">
        <f t="shared" si="321"/>
        <v>0</v>
      </c>
      <c r="BQ550" s="2934">
        <f t="shared" si="322"/>
        <v>0</v>
      </c>
      <c r="BR550" s="2934">
        <f t="shared" si="323"/>
        <v>0</v>
      </c>
      <c r="BS550" s="2934">
        <f t="shared" si="324"/>
        <v>0</v>
      </c>
      <c r="BT550" s="2982">
        <f t="shared" si="325"/>
        <v>0</v>
      </c>
    </row>
    <row r="551" spans="1:72">
      <c r="A551" s="874"/>
      <c r="B551" s="882"/>
      <c r="C551" s="882"/>
      <c r="D551" s="2933"/>
      <c r="E551" s="2934">
        <f t="shared" si="297"/>
        <v>0</v>
      </c>
      <c r="F551" s="2935"/>
      <c r="G551" s="2936">
        <f t="shared" si="301"/>
        <v>0</v>
      </c>
      <c r="H551" s="2937">
        <f t="shared" si="302"/>
        <v>0</v>
      </c>
      <c r="I551" s="2944"/>
      <c r="J551" s="2944"/>
      <c r="K551" s="2944"/>
      <c r="L551" s="2944"/>
      <c r="M551" s="2944"/>
      <c r="N551" s="2944"/>
      <c r="O551" s="2944"/>
      <c r="P551" s="2944"/>
      <c r="Q551" s="2944"/>
      <c r="R551" s="2944"/>
      <c r="S551" s="2944"/>
      <c r="T551" s="2944"/>
      <c r="U551" s="2944"/>
      <c r="V551" s="2944"/>
      <c r="W551" s="2944"/>
      <c r="X551" s="2944"/>
      <c r="Y551" s="2944"/>
      <c r="Z551" s="2944"/>
      <c r="AA551" s="2944"/>
      <c r="AB551" s="2944"/>
      <c r="AC551" s="2934">
        <f t="shared" si="303"/>
        <v>0</v>
      </c>
      <c r="AD551" s="2954"/>
      <c r="AE551" s="2954"/>
      <c r="AF551" s="2954"/>
      <c r="AG551" s="2954"/>
      <c r="AH551" s="2954"/>
      <c r="AI551" s="2954"/>
      <c r="AJ551" s="2954"/>
      <c r="AK551" s="2954"/>
      <c r="AL551" s="2954"/>
      <c r="AM551" s="2954"/>
      <c r="AN551" s="2954"/>
      <c r="AO551" s="2954"/>
      <c r="AP551" s="2954"/>
      <c r="AQ551" s="2954"/>
      <c r="AR551" s="2954"/>
      <c r="AS551" s="2954"/>
      <c r="AT551" s="2935"/>
      <c r="AU551" s="2964"/>
      <c r="AV551" s="857">
        <f t="shared" si="298"/>
        <v>0</v>
      </c>
      <c r="AW551" s="857">
        <f t="shared" si="299"/>
        <v>0</v>
      </c>
      <c r="AX551" s="857">
        <f t="shared" si="300"/>
        <v>0</v>
      </c>
      <c r="AY551" s="807">
        <f t="shared" si="304"/>
        <v>0</v>
      </c>
      <c r="AZ551" s="2934">
        <f t="shared" si="305"/>
        <v>0</v>
      </c>
      <c r="BA551" s="2934">
        <f t="shared" si="306"/>
        <v>0</v>
      </c>
      <c r="BB551" s="2934">
        <f t="shared" si="307"/>
        <v>0</v>
      </c>
      <c r="BC551" s="2934">
        <f t="shared" si="308"/>
        <v>0</v>
      </c>
      <c r="BD551" s="2934">
        <f t="shared" si="309"/>
        <v>0</v>
      </c>
      <c r="BE551" s="2934">
        <f t="shared" si="310"/>
        <v>0</v>
      </c>
      <c r="BF551" s="2934">
        <f t="shared" si="311"/>
        <v>0</v>
      </c>
      <c r="BG551" s="2934">
        <f t="shared" si="312"/>
        <v>0</v>
      </c>
      <c r="BH551" s="2934">
        <f t="shared" si="313"/>
        <v>0</v>
      </c>
      <c r="BI551" s="2934">
        <f t="shared" si="314"/>
        <v>0</v>
      </c>
      <c r="BJ551" s="2934">
        <f t="shared" si="315"/>
        <v>0</v>
      </c>
      <c r="BK551" s="2934">
        <f t="shared" si="316"/>
        <v>0</v>
      </c>
      <c r="BL551" s="2934">
        <f t="shared" si="317"/>
        <v>0</v>
      </c>
      <c r="BM551" s="2934">
        <f t="shared" si="318"/>
        <v>0</v>
      </c>
      <c r="BN551" s="2934">
        <f t="shared" si="319"/>
        <v>0</v>
      </c>
      <c r="BO551" s="2934">
        <f t="shared" si="320"/>
        <v>0</v>
      </c>
      <c r="BP551" s="2934">
        <f t="shared" si="321"/>
        <v>0</v>
      </c>
      <c r="BQ551" s="2934">
        <f t="shared" si="322"/>
        <v>0</v>
      </c>
      <c r="BR551" s="2934">
        <f t="shared" si="323"/>
        <v>0</v>
      </c>
      <c r="BS551" s="2934">
        <f t="shared" si="324"/>
        <v>0</v>
      </c>
      <c r="BT551" s="2982">
        <f t="shared" si="325"/>
        <v>0</v>
      </c>
    </row>
    <row r="552" spans="1:72">
      <c r="A552" s="874"/>
      <c r="B552" s="882"/>
      <c r="C552" s="882"/>
      <c r="D552" s="2933"/>
      <c r="E552" s="2934">
        <f t="shared" ref="E552:E587" si="326">IF($C$3="是",ROUND($A$3*G552/$B$3,2),ROUND($A$3*(G552-AT552)/$B$3,2))</f>
        <v>0</v>
      </c>
      <c r="F552" s="2935"/>
      <c r="G552" s="2936">
        <f t="shared" si="301"/>
        <v>0</v>
      </c>
      <c r="H552" s="2937">
        <f t="shared" si="302"/>
        <v>0</v>
      </c>
      <c r="I552" s="2944"/>
      <c r="J552" s="2944"/>
      <c r="K552" s="2944"/>
      <c r="L552" s="2944"/>
      <c r="M552" s="2944"/>
      <c r="N552" s="2944"/>
      <c r="O552" s="2944"/>
      <c r="P552" s="2944"/>
      <c r="Q552" s="2944"/>
      <c r="R552" s="2944"/>
      <c r="S552" s="2944"/>
      <c r="T552" s="2944"/>
      <c r="U552" s="2944"/>
      <c r="V552" s="2944"/>
      <c r="W552" s="2944"/>
      <c r="X552" s="2944"/>
      <c r="Y552" s="2944"/>
      <c r="Z552" s="2944"/>
      <c r="AA552" s="2944"/>
      <c r="AB552" s="2944"/>
      <c r="AC552" s="2934">
        <f t="shared" si="303"/>
        <v>0</v>
      </c>
      <c r="AD552" s="2954"/>
      <c r="AE552" s="2954"/>
      <c r="AF552" s="2954"/>
      <c r="AG552" s="2954"/>
      <c r="AH552" s="2954"/>
      <c r="AI552" s="2954"/>
      <c r="AJ552" s="2954"/>
      <c r="AK552" s="2954"/>
      <c r="AL552" s="2954"/>
      <c r="AM552" s="2954"/>
      <c r="AN552" s="2954"/>
      <c r="AO552" s="2954"/>
      <c r="AP552" s="2954"/>
      <c r="AQ552" s="2954"/>
      <c r="AR552" s="2954"/>
      <c r="AS552" s="2954"/>
      <c r="AT552" s="2935"/>
      <c r="AU552" s="2964"/>
      <c r="AV552" s="857">
        <f t="shared" si="298"/>
        <v>0</v>
      </c>
      <c r="AW552" s="857">
        <f t="shared" si="299"/>
        <v>0</v>
      </c>
      <c r="AX552" s="857">
        <f t="shared" si="300"/>
        <v>0</v>
      </c>
      <c r="AY552" s="807">
        <f t="shared" si="304"/>
        <v>0</v>
      </c>
      <c r="AZ552" s="2934">
        <f t="shared" si="305"/>
        <v>0</v>
      </c>
      <c r="BA552" s="2934">
        <f t="shared" si="306"/>
        <v>0</v>
      </c>
      <c r="BB552" s="2934">
        <f t="shared" si="307"/>
        <v>0</v>
      </c>
      <c r="BC552" s="2934">
        <f t="shared" si="308"/>
        <v>0</v>
      </c>
      <c r="BD552" s="2934">
        <f t="shared" si="309"/>
        <v>0</v>
      </c>
      <c r="BE552" s="2934">
        <f t="shared" si="310"/>
        <v>0</v>
      </c>
      <c r="BF552" s="2934">
        <f t="shared" si="311"/>
        <v>0</v>
      </c>
      <c r="BG552" s="2934">
        <f t="shared" si="312"/>
        <v>0</v>
      </c>
      <c r="BH552" s="2934">
        <f t="shared" si="313"/>
        <v>0</v>
      </c>
      <c r="BI552" s="2934">
        <f t="shared" si="314"/>
        <v>0</v>
      </c>
      <c r="BJ552" s="2934">
        <f t="shared" si="315"/>
        <v>0</v>
      </c>
      <c r="BK552" s="2934">
        <f t="shared" si="316"/>
        <v>0</v>
      </c>
      <c r="BL552" s="2934">
        <f t="shared" si="317"/>
        <v>0</v>
      </c>
      <c r="BM552" s="2934">
        <f t="shared" si="318"/>
        <v>0</v>
      </c>
      <c r="BN552" s="2934">
        <f t="shared" si="319"/>
        <v>0</v>
      </c>
      <c r="BO552" s="2934">
        <f t="shared" si="320"/>
        <v>0</v>
      </c>
      <c r="BP552" s="2934">
        <f t="shared" si="321"/>
        <v>0</v>
      </c>
      <c r="BQ552" s="2934">
        <f t="shared" si="322"/>
        <v>0</v>
      </c>
      <c r="BR552" s="2934">
        <f t="shared" si="323"/>
        <v>0</v>
      </c>
      <c r="BS552" s="2934">
        <f t="shared" si="324"/>
        <v>0</v>
      </c>
      <c r="BT552" s="2982">
        <f t="shared" si="325"/>
        <v>0</v>
      </c>
    </row>
    <row r="553" spans="1:72">
      <c r="A553" s="874"/>
      <c r="B553" s="882"/>
      <c r="C553" s="882"/>
      <c r="D553" s="2933"/>
      <c r="E553" s="2934">
        <f t="shared" si="326"/>
        <v>0</v>
      </c>
      <c r="F553" s="2935"/>
      <c r="G553" s="2936">
        <f t="shared" ref="G553:G587" si="327">H553+AC553+AT553</f>
        <v>0</v>
      </c>
      <c r="H553" s="2937">
        <f t="shared" ref="H553:H587" si="328">SUMIF(I$12:AB$12,"总值",I553:AB553)</f>
        <v>0</v>
      </c>
      <c r="I553" s="2944"/>
      <c r="J553" s="2944"/>
      <c r="K553" s="2944"/>
      <c r="L553" s="2944"/>
      <c r="M553" s="2944"/>
      <c r="N553" s="2944"/>
      <c r="O553" s="2944"/>
      <c r="P553" s="2944"/>
      <c r="Q553" s="2944"/>
      <c r="R553" s="2944"/>
      <c r="S553" s="2944"/>
      <c r="T553" s="2944"/>
      <c r="U553" s="2944"/>
      <c r="V553" s="2944"/>
      <c r="W553" s="2944"/>
      <c r="X553" s="2944"/>
      <c r="Y553" s="2944"/>
      <c r="Z553" s="2944"/>
      <c r="AA553" s="2944"/>
      <c r="AB553" s="2944"/>
      <c r="AC553" s="2934">
        <f t="shared" ref="AC553:AC587" si="329">SUMIF(AD$12:AS$12,"总值",AD553:AS553)</f>
        <v>0</v>
      </c>
      <c r="AD553" s="2954"/>
      <c r="AE553" s="2954"/>
      <c r="AF553" s="2954"/>
      <c r="AG553" s="2954"/>
      <c r="AH553" s="2954"/>
      <c r="AI553" s="2954"/>
      <c r="AJ553" s="2954"/>
      <c r="AK553" s="2954"/>
      <c r="AL553" s="2954"/>
      <c r="AM553" s="2954"/>
      <c r="AN553" s="2954"/>
      <c r="AO553" s="2954"/>
      <c r="AP553" s="2954"/>
      <c r="AQ553" s="2954"/>
      <c r="AR553" s="2954"/>
      <c r="AS553" s="2954"/>
      <c r="AT553" s="2935"/>
      <c r="AU553" s="2964"/>
      <c r="AV553" s="857">
        <f t="shared" ref="AV553:AV587" si="330">A553</f>
        <v>0</v>
      </c>
      <c r="AW553" s="857">
        <f t="shared" ref="AW553:AW587" si="331">B553</f>
        <v>0</v>
      </c>
      <c r="AX553" s="857">
        <f t="shared" ref="AX553:AX587" si="332">C553</f>
        <v>0</v>
      </c>
      <c r="AY553" s="807">
        <f t="shared" ref="AY553:AY587" si="333">ROUND($AY$6*AZ553/$AZ$5,2)</f>
        <v>0</v>
      </c>
      <c r="AZ553" s="2934">
        <f t="shared" ref="AZ553:AZ587" si="334">BA553+BL553</f>
        <v>0</v>
      </c>
      <c r="BA553" s="2934">
        <f t="shared" ref="BA553:BA587" si="335">SUM(BB553:BK553)</f>
        <v>0</v>
      </c>
      <c r="BB553" s="2934">
        <f t="shared" ref="BB553:BB587" si="336">IF($D553="是",I553-J553,0)</f>
        <v>0</v>
      </c>
      <c r="BC553" s="2934">
        <f t="shared" ref="BC553:BC587" si="337">IF($D553="是",K553-L553,0)</f>
        <v>0</v>
      </c>
      <c r="BD553" s="2934">
        <f t="shared" ref="BD553:BD587" si="338">IF($D553="是",M553-N553,0)</f>
        <v>0</v>
      </c>
      <c r="BE553" s="2934">
        <f t="shared" ref="BE553:BE587" si="339">IF($D553="是",O553-P553,0)</f>
        <v>0</v>
      </c>
      <c r="BF553" s="2934">
        <f t="shared" ref="BF553:BF587" si="340">IF($D553="是",Q553-R553,0)</f>
        <v>0</v>
      </c>
      <c r="BG553" s="2934">
        <f t="shared" ref="BG553:BG587" si="341">IF($D553="是",S553-T553,0)</f>
        <v>0</v>
      </c>
      <c r="BH553" s="2934">
        <f t="shared" ref="BH553:BH587" si="342">IF($D553="是",U553-V553,0)</f>
        <v>0</v>
      </c>
      <c r="BI553" s="2934">
        <f t="shared" ref="BI553:BI587" si="343">IF($D553="是",W553-X553,0)</f>
        <v>0</v>
      </c>
      <c r="BJ553" s="2934">
        <f t="shared" ref="BJ553:BJ587" si="344">IF($D553="是",Y553-Z553,0)</f>
        <v>0</v>
      </c>
      <c r="BK553" s="2934">
        <f t="shared" ref="BK553:BK587" si="345">IF($D553="是",AA553-AB553,0)</f>
        <v>0</v>
      </c>
      <c r="BL553" s="2934">
        <f t="shared" ref="BL553:BL587" si="346">SUM(BM553:BT553)</f>
        <v>0</v>
      </c>
      <c r="BM553" s="2934">
        <f t="shared" ref="BM553:BM587" si="347">IF($D553="是",AD553-AE553,0)</f>
        <v>0</v>
      </c>
      <c r="BN553" s="2934">
        <f t="shared" ref="BN553:BN587" si="348">IF($D553="是",AF553-AG553,0)</f>
        <v>0</v>
      </c>
      <c r="BO553" s="2934">
        <f t="shared" ref="BO553:BO587" si="349">IF($D553="是",AH553-AI553,0)</f>
        <v>0</v>
      </c>
      <c r="BP553" s="2934">
        <f t="shared" ref="BP553:BP587" si="350">IF($D553="是",AJ553-AK553,0)</f>
        <v>0</v>
      </c>
      <c r="BQ553" s="2934">
        <f t="shared" ref="BQ553:BQ587" si="351">IF($D553="是",AL553-AM553,0)</f>
        <v>0</v>
      </c>
      <c r="BR553" s="2934">
        <f t="shared" ref="BR553:BR587" si="352">IF($D553="是",AN553-AO553,0)</f>
        <v>0</v>
      </c>
      <c r="BS553" s="2934">
        <f t="shared" ref="BS553:BS587" si="353">IF($D553="是",AP553-AQ553,0)</f>
        <v>0</v>
      </c>
      <c r="BT553" s="2982">
        <f t="shared" ref="BT553:BT587" si="354">IF($D553="是",AR553-AS553,0)</f>
        <v>0</v>
      </c>
    </row>
    <row r="554" spans="1:72">
      <c r="A554" s="874"/>
      <c r="B554" s="882"/>
      <c r="C554" s="882"/>
      <c r="D554" s="2933"/>
      <c r="E554" s="2934">
        <f t="shared" si="326"/>
        <v>0</v>
      </c>
      <c r="F554" s="2935"/>
      <c r="G554" s="2936">
        <f t="shared" si="327"/>
        <v>0</v>
      </c>
      <c r="H554" s="2937">
        <f t="shared" si="328"/>
        <v>0</v>
      </c>
      <c r="I554" s="2944"/>
      <c r="J554" s="2944"/>
      <c r="K554" s="2944"/>
      <c r="L554" s="2944"/>
      <c r="M554" s="2944"/>
      <c r="N554" s="2944"/>
      <c r="O554" s="2944"/>
      <c r="P554" s="2944"/>
      <c r="Q554" s="2944"/>
      <c r="R554" s="2944"/>
      <c r="S554" s="2944"/>
      <c r="T554" s="2944"/>
      <c r="U554" s="2944"/>
      <c r="V554" s="2944"/>
      <c r="W554" s="2944"/>
      <c r="X554" s="2944"/>
      <c r="Y554" s="2944"/>
      <c r="Z554" s="2944"/>
      <c r="AA554" s="2944"/>
      <c r="AB554" s="2944"/>
      <c r="AC554" s="2934">
        <f t="shared" si="329"/>
        <v>0</v>
      </c>
      <c r="AD554" s="2954"/>
      <c r="AE554" s="2954"/>
      <c r="AF554" s="2954"/>
      <c r="AG554" s="2954"/>
      <c r="AH554" s="2954"/>
      <c r="AI554" s="2954"/>
      <c r="AJ554" s="2954"/>
      <c r="AK554" s="2954"/>
      <c r="AL554" s="2954"/>
      <c r="AM554" s="2954"/>
      <c r="AN554" s="2954"/>
      <c r="AO554" s="2954"/>
      <c r="AP554" s="2954"/>
      <c r="AQ554" s="2954"/>
      <c r="AR554" s="2954"/>
      <c r="AS554" s="2954"/>
      <c r="AT554" s="2935"/>
      <c r="AU554" s="2964"/>
      <c r="AV554" s="857">
        <f t="shared" si="330"/>
        <v>0</v>
      </c>
      <c r="AW554" s="857">
        <f t="shared" si="331"/>
        <v>0</v>
      </c>
      <c r="AX554" s="857">
        <f t="shared" si="332"/>
        <v>0</v>
      </c>
      <c r="AY554" s="807">
        <f t="shared" si="333"/>
        <v>0</v>
      </c>
      <c r="AZ554" s="2934">
        <f t="shared" si="334"/>
        <v>0</v>
      </c>
      <c r="BA554" s="2934">
        <f t="shared" si="335"/>
        <v>0</v>
      </c>
      <c r="BB554" s="2934">
        <f t="shared" si="336"/>
        <v>0</v>
      </c>
      <c r="BC554" s="2934">
        <f t="shared" si="337"/>
        <v>0</v>
      </c>
      <c r="BD554" s="2934">
        <f t="shared" si="338"/>
        <v>0</v>
      </c>
      <c r="BE554" s="2934">
        <f t="shared" si="339"/>
        <v>0</v>
      </c>
      <c r="BF554" s="2934">
        <f t="shared" si="340"/>
        <v>0</v>
      </c>
      <c r="BG554" s="2934">
        <f t="shared" si="341"/>
        <v>0</v>
      </c>
      <c r="BH554" s="2934">
        <f t="shared" si="342"/>
        <v>0</v>
      </c>
      <c r="BI554" s="2934">
        <f t="shared" si="343"/>
        <v>0</v>
      </c>
      <c r="BJ554" s="2934">
        <f t="shared" si="344"/>
        <v>0</v>
      </c>
      <c r="BK554" s="2934">
        <f t="shared" si="345"/>
        <v>0</v>
      </c>
      <c r="BL554" s="2934">
        <f t="shared" si="346"/>
        <v>0</v>
      </c>
      <c r="BM554" s="2934">
        <f t="shared" si="347"/>
        <v>0</v>
      </c>
      <c r="BN554" s="2934">
        <f t="shared" si="348"/>
        <v>0</v>
      </c>
      <c r="BO554" s="2934">
        <f t="shared" si="349"/>
        <v>0</v>
      </c>
      <c r="BP554" s="2934">
        <f t="shared" si="350"/>
        <v>0</v>
      </c>
      <c r="BQ554" s="2934">
        <f t="shared" si="351"/>
        <v>0</v>
      </c>
      <c r="BR554" s="2934">
        <f t="shared" si="352"/>
        <v>0</v>
      </c>
      <c r="BS554" s="2934">
        <f t="shared" si="353"/>
        <v>0</v>
      </c>
      <c r="BT554" s="2982">
        <f t="shared" si="354"/>
        <v>0</v>
      </c>
    </row>
    <row r="555" spans="1:72">
      <c r="A555" s="874"/>
      <c r="B555" s="882"/>
      <c r="C555" s="882"/>
      <c r="D555" s="2933"/>
      <c r="E555" s="2934">
        <f t="shared" si="326"/>
        <v>0</v>
      </c>
      <c r="F555" s="2935"/>
      <c r="G555" s="2936">
        <f t="shared" si="327"/>
        <v>0</v>
      </c>
      <c r="H555" s="2937">
        <f t="shared" si="328"/>
        <v>0</v>
      </c>
      <c r="I555" s="2944"/>
      <c r="J555" s="2944"/>
      <c r="K555" s="2944"/>
      <c r="L555" s="2944"/>
      <c r="M555" s="2944"/>
      <c r="N555" s="2944"/>
      <c r="O555" s="2944"/>
      <c r="P555" s="2944"/>
      <c r="Q555" s="2944"/>
      <c r="R555" s="2944"/>
      <c r="S555" s="2944"/>
      <c r="T555" s="2944"/>
      <c r="U555" s="2944"/>
      <c r="V555" s="2944"/>
      <c r="W555" s="2944"/>
      <c r="X555" s="2944"/>
      <c r="Y555" s="2944"/>
      <c r="Z555" s="2944"/>
      <c r="AA555" s="2944"/>
      <c r="AB555" s="2944"/>
      <c r="AC555" s="2934">
        <f t="shared" si="329"/>
        <v>0</v>
      </c>
      <c r="AD555" s="2954"/>
      <c r="AE555" s="2954"/>
      <c r="AF555" s="2954"/>
      <c r="AG555" s="2954"/>
      <c r="AH555" s="2954"/>
      <c r="AI555" s="2954"/>
      <c r="AJ555" s="2954"/>
      <c r="AK555" s="2954"/>
      <c r="AL555" s="2954"/>
      <c r="AM555" s="2954"/>
      <c r="AN555" s="2954"/>
      <c r="AO555" s="2954"/>
      <c r="AP555" s="2954"/>
      <c r="AQ555" s="2954"/>
      <c r="AR555" s="2954"/>
      <c r="AS555" s="2954"/>
      <c r="AT555" s="2935"/>
      <c r="AU555" s="2964"/>
      <c r="AV555" s="857">
        <f t="shared" si="330"/>
        <v>0</v>
      </c>
      <c r="AW555" s="857">
        <f t="shared" si="331"/>
        <v>0</v>
      </c>
      <c r="AX555" s="857">
        <f t="shared" si="332"/>
        <v>0</v>
      </c>
      <c r="AY555" s="807">
        <f t="shared" si="333"/>
        <v>0</v>
      </c>
      <c r="AZ555" s="2934">
        <f t="shared" si="334"/>
        <v>0</v>
      </c>
      <c r="BA555" s="2934">
        <f t="shared" si="335"/>
        <v>0</v>
      </c>
      <c r="BB555" s="2934">
        <f t="shared" si="336"/>
        <v>0</v>
      </c>
      <c r="BC555" s="2934">
        <f t="shared" si="337"/>
        <v>0</v>
      </c>
      <c r="BD555" s="2934">
        <f t="shared" si="338"/>
        <v>0</v>
      </c>
      <c r="BE555" s="2934">
        <f t="shared" si="339"/>
        <v>0</v>
      </c>
      <c r="BF555" s="2934">
        <f t="shared" si="340"/>
        <v>0</v>
      </c>
      <c r="BG555" s="2934">
        <f t="shared" si="341"/>
        <v>0</v>
      </c>
      <c r="BH555" s="2934">
        <f t="shared" si="342"/>
        <v>0</v>
      </c>
      <c r="BI555" s="2934">
        <f t="shared" si="343"/>
        <v>0</v>
      </c>
      <c r="BJ555" s="2934">
        <f t="shared" si="344"/>
        <v>0</v>
      </c>
      <c r="BK555" s="2934">
        <f t="shared" si="345"/>
        <v>0</v>
      </c>
      <c r="BL555" s="2934">
        <f t="shared" si="346"/>
        <v>0</v>
      </c>
      <c r="BM555" s="2934">
        <f t="shared" si="347"/>
        <v>0</v>
      </c>
      <c r="BN555" s="2934">
        <f t="shared" si="348"/>
        <v>0</v>
      </c>
      <c r="BO555" s="2934">
        <f t="shared" si="349"/>
        <v>0</v>
      </c>
      <c r="BP555" s="2934">
        <f t="shared" si="350"/>
        <v>0</v>
      </c>
      <c r="BQ555" s="2934">
        <f t="shared" si="351"/>
        <v>0</v>
      </c>
      <c r="BR555" s="2934">
        <f t="shared" si="352"/>
        <v>0</v>
      </c>
      <c r="BS555" s="2934">
        <f t="shared" si="353"/>
        <v>0</v>
      </c>
      <c r="BT555" s="2982">
        <f t="shared" si="354"/>
        <v>0</v>
      </c>
    </row>
    <row r="556" spans="1:72">
      <c r="A556" s="874"/>
      <c r="B556" s="882"/>
      <c r="C556" s="882"/>
      <c r="D556" s="2933"/>
      <c r="E556" s="2934">
        <f t="shared" si="326"/>
        <v>0</v>
      </c>
      <c r="F556" s="2935"/>
      <c r="G556" s="2936">
        <f t="shared" si="327"/>
        <v>0</v>
      </c>
      <c r="H556" s="2937">
        <f t="shared" si="328"/>
        <v>0</v>
      </c>
      <c r="I556" s="2944"/>
      <c r="J556" s="2944"/>
      <c r="K556" s="2944"/>
      <c r="L556" s="2944"/>
      <c r="M556" s="2944"/>
      <c r="N556" s="2944"/>
      <c r="O556" s="2944"/>
      <c r="P556" s="2944"/>
      <c r="Q556" s="2944"/>
      <c r="R556" s="2944"/>
      <c r="S556" s="2944"/>
      <c r="T556" s="2944"/>
      <c r="U556" s="2944"/>
      <c r="V556" s="2944"/>
      <c r="W556" s="2944"/>
      <c r="X556" s="2944"/>
      <c r="Y556" s="2944"/>
      <c r="Z556" s="2944"/>
      <c r="AA556" s="2944"/>
      <c r="AB556" s="2944"/>
      <c r="AC556" s="2934">
        <f t="shared" si="329"/>
        <v>0</v>
      </c>
      <c r="AD556" s="2954"/>
      <c r="AE556" s="2954"/>
      <c r="AF556" s="2954"/>
      <c r="AG556" s="2954"/>
      <c r="AH556" s="2954"/>
      <c r="AI556" s="2954"/>
      <c r="AJ556" s="2954"/>
      <c r="AK556" s="2954"/>
      <c r="AL556" s="2954"/>
      <c r="AM556" s="2954"/>
      <c r="AN556" s="2954"/>
      <c r="AO556" s="2954"/>
      <c r="AP556" s="2954"/>
      <c r="AQ556" s="2954"/>
      <c r="AR556" s="2954"/>
      <c r="AS556" s="2954"/>
      <c r="AT556" s="2935"/>
      <c r="AU556" s="2964"/>
      <c r="AV556" s="857">
        <f t="shared" si="330"/>
        <v>0</v>
      </c>
      <c r="AW556" s="857">
        <f t="shared" si="331"/>
        <v>0</v>
      </c>
      <c r="AX556" s="857">
        <f t="shared" si="332"/>
        <v>0</v>
      </c>
      <c r="AY556" s="807">
        <f t="shared" si="333"/>
        <v>0</v>
      </c>
      <c r="AZ556" s="2934">
        <f t="shared" si="334"/>
        <v>0</v>
      </c>
      <c r="BA556" s="2934">
        <f t="shared" si="335"/>
        <v>0</v>
      </c>
      <c r="BB556" s="2934">
        <f t="shared" si="336"/>
        <v>0</v>
      </c>
      <c r="BC556" s="2934">
        <f t="shared" si="337"/>
        <v>0</v>
      </c>
      <c r="BD556" s="2934">
        <f t="shared" si="338"/>
        <v>0</v>
      </c>
      <c r="BE556" s="2934">
        <f t="shared" si="339"/>
        <v>0</v>
      </c>
      <c r="BF556" s="2934">
        <f t="shared" si="340"/>
        <v>0</v>
      </c>
      <c r="BG556" s="2934">
        <f t="shared" si="341"/>
        <v>0</v>
      </c>
      <c r="BH556" s="2934">
        <f t="shared" si="342"/>
        <v>0</v>
      </c>
      <c r="BI556" s="2934">
        <f t="shared" si="343"/>
        <v>0</v>
      </c>
      <c r="BJ556" s="2934">
        <f t="shared" si="344"/>
        <v>0</v>
      </c>
      <c r="BK556" s="2934">
        <f t="shared" si="345"/>
        <v>0</v>
      </c>
      <c r="BL556" s="2934">
        <f t="shared" si="346"/>
        <v>0</v>
      </c>
      <c r="BM556" s="2934">
        <f t="shared" si="347"/>
        <v>0</v>
      </c>
      <c r="BN556" s="2934">
        <f t="shared" si="348"/>
        <v>0</v>
      </c>
      <c r="BO556" s="2934">
        <f t="shared" si="349"/>
        <v>0</v>
      </c>
      <c r="BP556" s="2934">
        <f t="shared" si="350"/>
        <v>0</v>
      </c>
      <c r="BQ556" s="2934">
        <f t="shared" si="351"/>
        <v>0</v>
      </c>
      <c r="BR556" s="2934">
        <f t="shared" si="352"/>
        <v>0</v>
      </c>
      <c r="BS556" s="2934">
        <f t="shared" si="353"/>
        <v>0</v>
      </c>
      <c r="BT556" s="2982">
        <f t="shared" si="354"/>
        <v>0</v>
      </c>
    </row>
    <row r="557" spans="1:72">
      <c r="A557" s="874"/>
      <c r="B557" s="882"/>
      <c r="C557" s="882"/>
      <c r="D557" s="2933"/>
      <c r="E557" s="2934">
        <f t="shared" si="326"/>
        <v>0</v>
      </c>
      <c r="F557" s="2935"/>
      <c r="G557" s="2936">
        <f t="shared" si="327"/>
        <v>0</v>
      </c>
      <c r="H557" s="2937">
        <f t="shared" si="328"/>
        <v>0</v>
      </c>
      <c r="I557" s="2944"/>
      <c r="J557" s="2944"/>
      <c r="K557" s="2944"/>
      <c r="L557" s="2944"/>
      <c r="M557" s="2944"/>
      <c r="N557" s="2944"/>
      <c r="O557" s="2944"/>
      <c r="P557" s="2944"/>
      <c r="Q557" s="2944"/>
      <c r="R557" s="2944"/>
      <c r="S557" s="2944"/>
      <c r="T557" s="2944"/>
      <c r="U557" s="2944"/>
      <c r="V557" s="2944"/>
      <c r="W557" s="2944"/>
      <c r="X557" s="2944"/>
      <c r="Y557" s="2944"/>
      <c r="Z557" s="2944"/>
      <c r="AA557" s="2944"/>
      <c r="AB557" s="2944"/>
      <c r="AC557" s="2934">
        <f t="shared" si="329"/>
        <v>0</v>
      </c>
      <c r="AD557" s="2954"/>
      <c r="AE557" s="2954"/>
      <c r="AF557" s="2954"/>
      <c r="AG557" s="2954"/>
      <c r="AH557" s="2954"/>
      <c r="AI557" s="2954"/>
      <c r="AJ557" s="2954"/>
      <c r="AK557" s="2954"/>
      <c r="AL557" s="2954"/>
      <c r="AM557" s="2954"/>
      <c r="AN557" s="2954"/>
      <c r="AO557" s="2954"/>
      <c r="AP557" s="2954"/>
      <c r="AQ557" s="2954"/>
      <c r="AR557" s="2954"/>
      <c r="AS557" s="2954"/>
      <c r="AT557" s="2935"/>
      <c r="AU557" s="2964"/>
      <c r="AV557" s="857">
        <f t="shared" si="330"/>
        <v>0</v>
      </c>
      <c r="AW557" s="857">
        <f t="shared" si="331"/>
        <v>0</v>
      </c>
      <c r="AX557" s="857">
        <f t="shared" si="332"/>
        <v>0</v>
      </c>
      <c r="AY557" s="807">
        <f t="shared" si="333"/>
        <v>0</v>
      </c>
      <c r="AZ557" s="2934">
        <f t="shared" si="334"/>
        <v>0</v>
      </c>
      <c r="BA557" s="2934">
        <f t="shared" si="335"/>
        <v>0</v>
      </c>
      <c r="BB557" s="2934">
        <f t="shared" si="336"/>
        <v>0</v>
      </c>
      <c r="BC557" s="2934">
        <f t="shared" si="337"/>
        <v>0</v>
      </c>
      <c r="BD557" s="2934">
        <f t="shared" si="338"/>
        <v>0</v>
      </c>
      <c r="BE557" s="2934">
        <f t="shared" si="339"/>
        <v>0</v>
      </c>
      <c r="BF557" s="2934">
        <f t="shared" si="340"/>
        <v>0</v>
      </c>
      <c r="BG557" s="2934">
        <f t="shared" si="341"/>
        <v>0</v>
      </c>
      <c r="BH557" s="2934">
        <f t="shared" si="342"/>
        <v>0</v>
      </c>
      <c r="BI557" s="2934">
        <f t="shared" si="343"/>
        <v>0</v>
      </c>
      <c r="BJ557" s="2934">
        <f t="shared" si="344"/>
        <v>0</v>
      </c>
      <c r="BK557" s="2934">
        <f t="shared" si="345"/>
        <v>0</v>
      </c>
      <c r="BL557" s="2934">
        <f t="shared" si="346"/>
        <v>0</v>
      </c>
      <c r="BM557" s="2934">
        <f t="shared" si="347"/>
        <v>0</v>
      </c>
      <c r="BN557" s="2934">
        <f t="shared" si="348"/>
        <v>0</v>
      </c>
      <c r="BO557" s="2934">
        <f t="shared" si="349"/>
        <v>0</v>
      </c>
      <c r="BP557" s="2934">
        <f t="shared" si="350"/>
        <v>0</v>
      </c>
      <c r="BQ557" s="2934">
        <f t="shared" si="351"/>
        <v>0</v>
      </c>
      <c r="BR557" s="2934">
        <f t="shared" si="352"/>
        <v>0</v>
      </c>
      <c r="BS557" s="2934">
        <f t="shared" si="353"/>
        <v>0</v>
      </c>
      <c r="BT557" s="2982">
        <f t="shared" si="354"/>
        <v>0</v>
      </c>
    </row>
    <row r="558" spans="1:72">
      <c r="A558" s="874"/>
      <c r="B558" s="882"/>
      <c r="C558" s="882"/>
      <c r="D558" s="2933"/>
      <c r="E558" s="2934">
        <f t="shared" si="326"/>
        <v>0</v>
      </c>
      <c r="F558" s="2935"/>
      <c r="G558" s="2936">
        <f t="shared" si="327"/>
        <v>0</v>
      </c>
      <c r="H558" s="2937">
        <f t="shared" si="328"/>
        <v>0</v>
      </c>
      <c r="I558" s="2944"/>
      <c r="J558" s="2944"/>
      <c r="K558" s="2944"/>
      <c r="L558" s="2944"/>
      <c r="M558" s="2944"/>
      <c r="N558" s="2944"/>
      <c r="O558" s="2944"/>
      <c r="P558" s="2944"/>
      <c r="Q558" s="2944"/>
      <c r="R558" s="2944"/>
      <c r="S558" s="2944"/>
      <c r="T558" s="2944"/>
      <c r="U558" s="2944"/>
      <c r="V558" s="2944"/>
      <c r="W558" s="2944"/>
      <c r="X558" s="2944"/>
      <c r="Y558" s="2944"/>
      <c r="Z558" s="2944"/>
      <c r="AA558" s="2944"/>
      <c r="AB558" s="2944"/>
      <c r="AC558" s="2934">
        <f t="shared" si="329"/>
        <v>0</v>
      </c>
      <c r="AD558" s="2954"/>
      <c r="AE558" s="2954"/>
      <c r="AF558" s="2954"/>
      <c r="AG558" s="2954"/>
      <c r="AH558" s="2954"/>
      <c r="AI558" s="2954"/>
      <c r="AJ558" s="2954"/>
      <c r="AK558" s="2954"/>
      <c r="AL558" s="2954"/>
      <c r="AM558" s="2954"/>
      <c r="AN558" s="2954"/>
      <c r="AO558" s="2954"/>
      <c r="AP558" s="2954"/>
      <c r="AQ558" s="2954"/>
      <c r="AR558" s="2954"/>
      <c r="AS558" s="2954"/>
      <c r="AT558" s="2935"/>
      <c r="AU558" s="2964"/>
      <c r="AV558" s="857">
        <f t="shared" si="330"/>
        <v>0</v>
      </c>
      <c r="AW558" s="857">
        <f t="shared" si="331"/>
        <v>0</v>
      </c>
      <c r="AX558" s="857">
        <f t="shared" si="332"/>
        <v>0</v>
      </c>
      <c r="AY558" s="807">
        <f t="shared" si="333"/>
        <v>0</v>
      </c>
      <c r="AZ558" s="2934">
        <f t="shared" si="334"/>
        <v>0</v>
      </c>
      <c r="BA558" s="2934">
        <f t="shared" si="335"/>
        <v>0</v>
      </c>
      <c r="BB558" s="2934">
        <f t="shared" si="336"/>
        <v>0</v>
      </c>
      <c r="BC558" s="2934">
        <f t="shared" si="337"/>
        <v>0</v>
      </c>
      <c r="BD558" s="2934">
        <f t="shared" si="338"/>
        <v>0</v>
      </c>
      <c r="BE558" s="2934">
        <f t="shared" si="339"/>
        <v>0</v>
      </c>
      <c r="BF558" s="2934">
        <f t="shared" si="340"/>
        <v>0</v>
      </c>
      <c r="BG558" s="2934">
        <f t="shared" si="341"/>
        <v>0</v>
      </c>
      <c r="BH558" s="2934">
        <f t="shared" si="342"/>
        <v>0</v>
      </c>
      <c r="BI558" s="2934">
        <f t="shared" si="343"/>
        <v>0</v>
      </c>
      <c r="BJ558" s="2934">
        <f t="shared" si="344"/>
        <v>0</v>
      </c>
      <c r="BK558" s="2934">
        <f t="shared" si="345"/>
        <v>0</v>
      </c>
      <c r="BL558" s="2934">
        <f t="shared" si="346"/>
        <v>0</v>
      </c>
      <c r="BM558" s="2934">
        <f t="shared" si="347"/>
        <v>0</v>
      </c>
      <c r="BN558" s="2934">
        <f t="shared" si="348"/>
        <v>0</v>
      </c>
      <c r="BO558" s="2934">
        <f t="shared" si="349"/>
        <v>0</v>
      </c>
      <c r="BP558" s="2934">
        <f t="shared" si="350"/>
        <v>0</v>
      </c>
      <c r="BQ558" s="2934">
        <f t="shared" si="351"/>
        <v>0</v>
      </c>
      <c r="BR558" s="2934">
        <f t="shared" si="352"/>
        <v>0</v>
      </c>
      <c r="BS558" s="2934">
        <f t="shared" si="353"/>
        <v>0</v>
      </c>
      <c r="BT558" s="2982">
        <f t="shared" si="354"/>
        <v>0</v>
      </c>
    </row>
    <row r="559" spans="1:72">
      <c r="A559" s="874"/>
      <c r="B559" s="882"/>
      <c r="C559" s="882"/>
      <c r="D559" s="2933"/>
      <c r="E559" s="2934">
        <f t="shared" si="326"/>
        <v>0</v>
      </c>
      <c r="F559" s="2935"/>
      <c r="G559" s="2936">
        <f t="shared" si="327"/>
        <v>0</v>
      </c>
      <c r="H559" s="2937">
        <f t="shared" si="328"/>
        <v>0</v>
      </c>
      <c r="I559" s="2944"/>
      <c r="J559" s="2944"/>
      <c r="K559" s="2944"/>
      <c r="L559" s="2944"/>
      <c r="M559" s="2944"/>
      <c r="N559" s="2944"/>
      <c r="O559" s="2944"/>
      <c r="P559" s="2944"/>
      <c r="Q559" s="2944"/>
      <c r="R559" s="2944"/>
      <c r="S559" s="2944"/>
      <c r="T559" s="2944"/>
      <c r="U559" s="2944"/>
      <c r="V559" s="2944"/>
      <c r="W559" s="2944"/>
      <c r="X559" s="2944"/>
      <c r="Y559" s="2944"/>
      <c r="Z559" s="2944"/>
      <c r="AA559" s="2944"/>
      <c r="AB559" s="2944"/>
      <c r="AC559" s="2934">
        <f t="shared" si="329"/>
        <v>0</v>
      </c>
      <c r="AD559" s="2954"/>
      <c r="AE559" s="2954"/>
      <c r="AF559" s="2954"/>
      <c r="AG559" s="2954"/>
      <c r="AH559" s="2954"/>
      <c r="AI559" s="2954"/>
      <c r="AJ559" s="2954"/>
      <c r="AK559" s="2954"/>
      <c r="AL559" s="2954"/>
      <c r="AM559" s="2954"/>
      <c r="AN559" s="2954"/>
      <c r="AO559" s="2954"/>
      <c r="AP559" s="2954"/>
      <c r="AQ559" s="2954"/>
      <c r="AR559" s="2954"/>
      <c r="AS559" s="2954"/>
      <c r="AT559" s="2935"/>
      <c r="AU559" s="2964"/>
      <c r="AV559" s="857">
        <f t="shared" si="330"/>
        <v>0</v>
      </c>
      <c r="AW559" s="857">
        <f t="shared" si="331"/>
        <v>0</v>
      </c>
      <c r="AX559" s="857">
        <f t="shared" si="332"/>
        <v>0</v>
      </c>
      <c r="AY559" s="807">
        <f t="shared" si="333"/>
        <v>0</v>
      </c>
      <c r="AZ559" s="2934">
        <f t="shared" si="334"/>
        <v>0</v>
      </c>
      <c r="BA559" s="2934">
        <f t="shared" si="335"/>
        <v>0</v>
      </c>
      <c r="BB559" s="2934">
        <f t="shared" si="336"/>
        <v>0</v>
      </c>
      <c r="BC559" s="2934">
        <f t="shared" si="337"/>
        <v>0</v>
      </c>
      <c r="BD559" s="2934">
        <f t="shared" si="338"/>
        <v>0</v>
      </c>
      <c r="BE559" s="2934">
        <f t="shared" si="339"/>
        <v>0</v>
      </c>
      <c r="BF559" s="2934">
        <f t="shared" si="340"/>
        <v>0</v>
      </c>
      <c r="BG559" s="2934">
        <f t="shared" si="341"/>
        <v>0</v>
      </c>
      <c r="BH559" s="2934">
        <f t="shared" si="342"/>
        <v>0</v>
      </c>
      <c r="BI559" s="2934">
        <f t="shared" si="343"/>
        <v>0</v>
      </c>
      <c r="BJ559" s="2934">
        <f t="shared" si="344"/>
        <v>0</v>
      </c>
      <c r="BK559" s="2934">
        <f t="shared" si="345"/>
        <v>0</v>
      </c>
      <c r="BL559" s="2934">
        <f t="shared" si="346"/>
        <v>0</v>
      </c>
      <c r="BM559" s="2934">
        <f t="shared" si="347"/>
        <v>0</v>
      </c>
      <c r="BN559" s="2934">
        <f t="shared" si="348"/>
        <v>0</v>
      </c>
      <c r="BO559" s="2934">
        <f t="shared" si="349"/>
        <v>0</v>
      </c>
      <c r="BP559" s="2934">
        <f t="shared" si="350"/>
        <v>0</v>
      </c>
      <c r="BQ559" s="2934">
        <f t="shared" si="351"/>
        <v>0</v>
      </c>
      <c r="BR559" s="2934">
        <f t="shared" si="352"/>
        <v>0</v>
      </c>
      <c r="BS559" s="2934">
        <f t="shared" si="353"/>
        <v>0</v>
      </c>
      <c r="BT559" s="2982">
        <f t="shared" si="354"/>
        <v>0</v>
      </c>
    </row>
    <row r="560" spans="1:72">
      <c r="A560" s="874"/>
      <c r="B560" s="882"/>
      <c r="C560" s="882"/>
      <c r="D560" s="2933"/>
      <c r="E560" s="2934">
        <f t="shared" si="326"/>
        <v>0</v>
      </c>
      <c r="F560" s="2935"/>
      <c r="G560" s="2936">
        <f t="shared" si="327"/>
        <v>0</v>
      </c>
      <c r="H560" s="2937">
        <f t="shared" si="328"/>
        <v>0</v>
      </c>
      <c r="I560" s="2944"/>
      <c r="J560" s="2944"/>
      <c r="K560" s="2944"/>
      <c r="L560" s="2944"/>
      <c r="M560" s="2944"/>
      <c r="N560" s="2944"/>
      <c r="O560" s="2944"/>
      <c r="P560" s="2944"/>
      <c r="Q560" s="2944"/>
      <c r="R560" s="2944"/>
      <c r="S560" s="2944"/>
      <c r="T560" s="2944"/>
      <c r="U560" s="2944"/>
      <c r="V560" s="2944"/>
      <c r="W560" s="2944"/>
      <c r="X560" s="2944"/>
      <c r="Y560" s="2944"/>
      <c r="Z560" s="2944"/>
      <c r="AA560" s="2944"/>
      <c r="AB560" s="2944"/>
      <c r="AC560" s="2934">
        <f t="shared" si="329"/>
        <v>0</v>
      </c>
      <c r="AD560" s="2954"/>
      <c r="AE560" s="2954"/>
      <c r="AF560" s="2954"/>
      <c r="AG560" s="2954"/>
      <c r="AH560" s="2954"/>
      <c r="AI560" s="2954"/>
      <c r="AJ560" s="2954"/>
      <c r="AK560" s="2954"/>
      <c r="AL560" s="2954"/>
      <c r="AM560" s="2954"/>
      <c r="AN560" s="2954"/>
      <c r="AO560" s="2954"/>
      <c r="AP560" s="2954"/>
      <c r="AQ560" s="2954"/>
      <c r="AR560" s="2954"/>
      <c r="AS560" s="2954"/>
      <c r="AT560" s="2935"/>
      <c r="AU560" s="2964"/>
      <c r="AV560" s="857">
        <f t="shared" si="330"/>
        <v>0</v>
      </c>
      <c r="AW560" s="857">
        <f t="shared" si="331"/>
        <v>0</v>
      </c>
      <c r="AX560" s="857">
        <f t="shared" si="332"/>
        <v>0</v>
      </c>
      <c r="AY560" s="807">
        <f t="shared" si="333"/>
        <v>0</v>
      </c>
      <c r="AZ560" s="2934">
        <f t="shared" si="334"/>
        <v>0</v>
      </c>
      <c r="BA560" s="2934">
        <f t="shared" si="335"/>
        <v>0</v>
      </c>
      <c r="BB560" s="2934">
        <f t="shared" si="336"/>
        <v>0</v>
      </c>
      <c r="BC560" s="2934">
        <f t="shared" si="337"/>
        <v>0</v>
      </c>
      <c r="BD560" s="2934">
        <f t="shared" si="338"/>
        <v>0</v>
      </c>
      <c r="BE560" s="2934">
        <f t="shared" si="339"/>
        <v>0</v>
      </c>
      <c r="BF560" s="2934">
        <f t="shared" si="340"/>
        <v>0</v>
      </c>
      <c r="BG560" s="2934">
        <f t="shared" si="341"/>
        <v>0</v>
      </c>
      <c r="BH560" s="2934">
        <f t="shared" si="342"/>
        <v>0</v>
      </c>
      <c r="BI560" s="2934">
        <f t="shared" si="343"/>
        <v>0</v>
      </c>
      <c r="BJ560" s="2934">
        <f t="shared" si="344"/>
        <v>0</v>
      </c>
      <c r="BK560" s="2934">
        <f t="shared" si="345"/>
        <v>0</v>
      </c>
      <c r="BL560" s="2934">
        <f t="shared" si="346"/>
        <v>0</v>
      </c>
      <c r="BM560" s="2934">
        <f t="shared" si="347"/>
        <v>0</v>
      </c>
      <c r="BN560" s="2934">
        <f t="shared" si="348"/>
        <v>0</v>
      </c>
      <c r="BO560" s="2934">
        <f t="shared" si="349"/>
        <v>0</v>
      </c>
      <c r="BP560" s="2934">
        <f t="shared" si="350"/>
        <v>0</v>
      </c>
      <c r="BQ560" s="2934">
        <f t="shared" si="351"/>
        <v>0</v>
      </c>
      <c r="BR560" s="2934">
        <f t="shared" si="352"/>
        <v>0</v>
      </c>
      <c r="BS560" s="2934">
        <f t="shared" si="353"/>
        <v>0</v>
      </c>
      <c r="BT560" s="2982">
        <f t="shared" si="354"/>
        <v>0</v>
      </c>
    </row>
    <row r="561" spans="1:72">
      <c r="A561" s="874"/>
      <c r="B561" s="882"/>
      <c r="C561" s="882"/>
      <c r="D561" s="2933"/>
      <c r="E561" s="2934">
        <f t="shared" si="326"/>
        <v>0</v>
      </c>
      <c r="F561" s="2935"/>
      <c r="G561" s="2936">
        <f t="shared" si="327"/>
        <v>0</v>
      </c>
      <c r="H561" s="2937">
        <f t="shared" si="328"/>
        <v>0</v>
      </c>
      <c r="I561" s="2944"/>
      <c r="J561" s="2944"/>
      <c r="K561" s="2944"/>
      <c r="L561" s="2944"/>
      <c r="M561" s="2944"/>
      <c r="N561" s="2944"/>
      <c r="O561" s="2944"/>
      <c r="P561" s="2944"/>
      <c r="Q561" s="2944"/>
      <c r="R561" s="2944"/>
      <c r="S561" s="2944"/>
      <c r="T561" s="2944"/>
      <c r="U561" s="2944"/>
      <c r="V561" s="2944"/>
      <c r="W561" s="2944"/>
      <c r="X561" s="2944"/>
      <c r="Y561" s="2944"/>
      <c r="Z561" s="2944"/>
      <c r="AA561" s="2944"/>
      <c r="AB561" s="2944"/>
      <c r="AC561" s="2934">
        <f t="shared" si="329"/>
        <v>0</v>
      </c>
      <c r="AD561" s="2954"/>
      <c r="AE561" s="2954"/>
      <c r="AF561" s="2954"/>
      <c r="AG561" s="2954"/>
      <c r="AH561" s="2954"/>
      <c r="AI561" s="2954"/>
      <c r="AJ561" s="2954"/>
      <c r="AK561" s="2954"/>
      <c r="AL561" s="2954"/>
      <c r="AM561" s="2954"/>
      <c r="AN561" s="2954"/>
      <c r="AO561" s="2954"/>
      <c r="AP561" s="2954"/>
      <c r="AQ561" s="2954"/>
      <c r="AR561" s="2954"/>
      <c r="AS561" s="2954"/>
      <c r="AT561" s="2935"/>
      <c r="AU561" s="2964"/>
      <c r="AV561" s="857">
        <f t="shared" si="330"/>
        <v>0</v>
      </c>
      <c r="AW561" s="857">
        <f t="shared" si="331"/>
        <v>0</v>
      </c>
      <c r="AX561" s="857">
        <f t="shared" si="332"/>
        <v>0</v>
      </c>
      <c r="AY561" s="807">
        <f t="shared" si="333"/>
        <v>0</v>
      </c>
      <c r="AZ561" s="2934">
        <f t="shared" si="334"/>
        <v>0</v>
      </c>
      <c r="BA561" s="2934">
        <f t="shared" si="335"/>
        <v>0</v>
      </c>
      <c r="BB561" s="2934">
        <f t="shared" si="336"/>
        <v>0</v>
      </c>
      <c r="BC561" s="2934">
        <f t="shared" si="337"/>
        <v>0</v>
      </c>
      <c r="BD561" s="2934">
        <f t="shared" si="338"/>
        <v>0</v>
      </c>
      <c r="BE561" s="2934">
        <f t="shared" si="339"/>
        <v>0</v>
      </c>
      <c r="BF561" s="2934">
        <f t="shared" si="340"/>
        <v>0</v>
      </c>
      <c r="BG561" s="2934">
        <f t="shared" si="341"/>
        <v>0</v>
      </c>
      <c r="BH561" s="2934">
        <f t="shared" si="342"/>
        <v>0</v>
      </c>
      <c r="BI561" s="2934">
        <f t="shared" si="343"/>
        <v>0</v>
      </c>
      <c r="BJ561" s="2934">
        <f t="shared" si="344"/>
        <v>0</v>
      </c>
      <c r="BK561" s="2934">
        <f t="shared" si="345"/>
        <v>0</v>
      </c>
      <c r="BL561" s="2934">
        <f t="shared" si="346"/>
        <v>0</v>
      </c>
      <c r="BM561" s="2934">
        <f t="shared" si="347"/>
        <v>0</v>
      </c>
      <c r="BN561" s="2934">
        <f t="shared" si="348"/>
        <v>0</v>
      </c>
      <c r="BO561" s="2934">
        <f t="shared" si="349"/>
        <v>0</v>
      </c>
      <c r="BP561" s="2934">
        <f t="shared" si="350"/>
        <v>0</v>
      </c>
      <c r="BQ561" s="2934">
        <f t="shared" si="351"/>
        <v>0</v>
      </c>
      <c r="BR561" s="2934">
        <f t="shared" si="352"/>
        <v>0</v>
      </c>
      <c r="BS561" s="2934">
        <f t="shared" si="353"/>
        <v>0</v>
      </c>
      <c r="BT561" s="2982">
        <f t="shared" si="354"/>
        <v>0</v>
      </c>
    </row>
    <row r="562" spans="1:72">
      <c r="A562" s="874"/>
      <c r="B562" s="882"/>
      <c r="C562" s="882"/>
      <c r="D562" s="2933"/>
      <c r="E562" s="2934">
        <f t="shared" si="326"/>
        <v>0</v>
      </c>
      <c r="F562" s="2935"/>
      <c r="G562" s="2936">
        <f t="shared" si="327"/>
        <v>0</v>
      </c>
      <c r="H562" s="2937">
        <f t="shared" si="328"/>
        <v>0</v>
      </c>
      <c r="I562" s="2944"/>
      <c r="J562" s="2944"/>
      <c r="K562" s="2944"/>
      <c r="L562" s="2944"/>
      <c r="M562" s="2944"/>
      <c r="N562" s="2944"/>
      <c r="O562" s="2944"/>
      <c r="P562" s="2944"/>
      <c r="Q562" s="2944"/>
      <c r="R562" s="2944"/>
      <c r="S562" s="2944"/>
      <c r="T562" s="2944"/>
      <c r="U562" s="2944"/>
      <c r="V562" s="2944"/>
      <c r="W562" s="2944"/>
      <c r="X562" s="2944"/>
      <c r="Y562" s="2944"/>
      <c r="Z562" s="2944"/>
      <c r="AA562" s="2944"/>
      <c r="AB562" s="2944"/>
      <c r="AC562" s="2934">
        <f t="shared" si="329"/>
        <v>0</v>
      </c>
      <c r="AD562" s="2954"/>
      <c r="AE562" s="2954"/>
      <c r="AF562" s="2954"/>
      <c r="AG562" s="2954"/>
      <c r="AH562" s="2954"/>
      <c r="AI562" s="2954"/>
      <c r="AJ562" s="2954"/>
      <c r="AK562" s="2954"/>
      <c r="AL562" s="2954"/>
      <c r="AM562" s="2954"/>
      <c r="AN562" s="2954"/>
      <c r="AO562" s="2954"/>
      <c r="AP562" s="2954"/>
      <c r="AQ562" s="2954"/>
      <c r="AR562" s="2954"/>
      <c r="AS562" s="2954"/>
      <c r="AT562" s="2935"/>
      <c r="AU562" s="2964"/>
      <c r="AV562" s="857">
        <f t="shared" si="330"/>
        <v>0</v>
      </c>
      <c r="AW562" s="857">
        <f t="shared" si="331"/>
        <v>0</v>
      </c>
      <c r="AX562" s="857">
        <f t="shared" si="332"/>
        <v>0</v>
      </c>
      <c r="AY562" s="807">
        <f t="shared" si="333"/>
        <v>0</v>
      </c>
      <c r="AZ562" s="2934">
        <f t="shared" si="334"/>
        <v>0</v>
      </c>
      <c r="BA562" s="2934">
        <f t="shared" si="335"/>
        <v>0</v>
      </c>
      <c r="BB562" s="2934">
        <f t="shared" si="336"/>
        <v>0</v>
      </c>
      <c r="BC562" s="2934">
        <f t="shared" si="337"/>
        <v>0</v>
      </c>
      <c r="BD562" s="2934">
        <f t="shared" si="338"/>
        <v>0</v>
      </c>
      <c r="BE562" s="2934">
        <f t="shared" si="339"/>
        <v>0</v>
      </c>
      <c r="BF562" s="2934">
        <f t="shared" si="340"/>
        <v>0</v>
      </c>
      <c r="BG562" s="2934">
        <f t="shared" si="341"/>
        <v>0</v>
      </c>
      <c r="BH562" s="2934">
        <f t="shared" si="342"/>
        <v>0</v>
      </c>
      <c r="BI562" s="2934">
        <f t="shared" si="343"/>
        <v>0</v>
      </c>
      <c r="BJ562" s="2934">
        <f t="shared" si="344"/>
        <v>0</v>
      </c>
      <c r="BK562" s="2934">
        <f t="shared" si="345"/>
        <v>0</v>
      </c>
      <c r="BL562" s="2934">
        <f t="shared" si="346"/>
        <v>0</v>
      </c>
      <c r="BM562" s="2934">
        <f t="shared" si="347"/>
        <v>0</v>
      </c>
      <c r="BN562" s="2934">
        <f t="shared" si="348"/>
        <v>0</v>
      </c>
      <c r="BO562" s="2934">
        <f t="shared" si="349"/>
        <v>0</v>
      </c>
      <c r="BP562" s="2934">
        <f t="shared" si="350"/>
        <v>0</v>
      </c>
      <c r="BQ562" s="2934">
        <f t="shared" si="351"/>
        <v>0</v>
      </c>
      <c r="BR562" s="2934">
        <f t="shared" si="352"/>
        <v>0</v>
      </c>
      <c r="BS562" s="2934">
        <f t="shared" si="353"/>
        <v>0</v>
      </c>
      <c r="BT562" s="2982">
        <f t="shared" si="354"/>
        <v>0</v>
      </c>
    </row>
    <row r="563" spans="1:72">
      <c r="A563" s="874"/>
      <c r="B563" s="882"/>
      <c r="C563" s="882"/>
      <c r="D563" s="2933"/>
      <c r="E563" s="2934">
        <f t="shared" si="326"/>
        <v>0</v>
      </c>
      <c r="F563" s="2935"/>
      <c r="G563" s="2936">
        <f t="shared" si="327"/>
        <v>0</v>
      </c>
      <c r="H563" s="2937">
        <f t="shared" si="328"/>
        <v>0</v>
      </c>
      <c r="I563" s="2944"/>
      <c r="J563" s="2944"/>
      <c r="K563" s="2944"/>
      <c r="L563" s="2944"/>
      <c r="M563" s="2944"/>
      <c r="N563" s="2944"/>
      <c r="O563" s="2944"/>
      <c r="P563" s="2944"/>
      <c r="Q563" s="2944"/>
      <c r="R563" s="2944"/>
      <c r="S563" s="2944"/>
      <c r="T563" s="2944"/>
      <c r="U563" s="2944"/>
      <c r="V563" s="2944"/>
      <c r="W563" s="2944"/>
      <c r="X563" s="2944"/>
      <c r="Y563" s="2944"/>
      <c r="Z563" s="2944"/>
      <c r="AA563" s="2944"/>
      <c r="AB563" s="2944"/>
      <c r="AC563" s="2934">
        <f t="shared" si="329"/>
        <v>0</v>
      </c>
      <c r="AD563" s="2954"/>
      <c r="AE563" s="2954"/>
      <c r="AF563" s="2954"/>
      <c r="AG563" s="2954"/>
      <c r="AH563" s="2954"/>
      <c r="AI563" s="2954"/>
      <c r="AJ563" s="2954"/>
      <c r="AK563" s="2954"/>
      <c r="AL563" s="2954"/>
      <c r="AM563" s="2954"/>
      <c r="AN563" s="2954"/>
      <c r="AO563" s="2954"/>
      <c r="AP563" s="2954"/>
      <c r="AQ563" s="2954"/>
      <c r="AR563" s="2954"/>
      <c r="AS563" s="2954"/>
      <c r="AT563" s="2935"/>
      <c r="AU563" s="2964"/>
      <c r="AV563" s="857">
        <f t="shared" si="330"/>
        <v>0</v>
      </c>
      <c r="AW563" s="857">
        <f t="shared" si="331"/>
        <v>0</v>
      </c>
      <c r="AX563" s="857">
        <f t="shared" si="332"/>
        <v>0</v>
      </c>
      <c r="AY563" s="807">
        <f t="shared" si="333"/>
        <v>0</v>
      </c>
      <c r="AZ563" s="2934">
        <f t="shared" si="334"/>
        <v>0</v>
      </c>
      <c r="BA563" s="2934">
        <f t="shared" si="335"/>
        <v>0</v>
      </c>
      <c r="BB563" s="2934">
        <f t="shared" si="336"/>
        <v>0</v>
      </c>
      <c r="BC563" s="2934">
        <f t="shared" si="337"/>
        <v>0</v>
      </c>
      <c r="BD563" s="2934">
        <f t="shared" si="338"/>
        <v>0</v>
      </c>
      <c r="BE563" s="2934">
        <f t="shared" si="339"/>
        <v>0</v>
      </c>
      <c r="BF563" s="2934">
        <f t="shared" si="340"/>
        <v>0</v>
      </c>
      <c r="BG563" s="2934">
        <f t="shared" si="341"/>
        <v>0</v>
      </c>
      <c r="BH563" s="2934">
        <f t="shared" si="342"/>
        <v>0</v>
      </c>
      <c r="BI563" s="2934">
        <f t="shared" si="343"/>
        <v>0</v>
      </c>
      <c r="BJ563" s="2934">
        <f t="shared" si="344"/>
        <v>0</v>
      </c>
      <c r="BK563" s="2934">
        <f t="shared" si="345"/>
        <v>0</v>
      </c>
      <c r="BL563" s="2934">
        <f t="shared" si="346"/>
        <v>0</v>
      </c>
      <c r="BM563" s="2934">
        <f t="shared" si="347"/>
        <v>0</v>
      </c>
      <c r="BN563" s="2934">
        <f t="shared" si="348"/>
        <v>0</v>
      </c>
      <c r="BO563" s="2934">
        <f t="shared" si="349"/>
        <v>0</v>
      </c>
      <c r="BP563" s="2934">
        <f t="shared" si="350"/>
        <v>0</v>
      </c>
      <c r="BQ563" s="2934">
        <f t="shared" si="351"/>
        <v>0</v>
      </c>
      <c r="BR563" s="2934">
        <f t="shared" si="352"/>
        <v>0</v>
      </c>
      <c r="BS563" s="2934">
        <f t="shared" si="353"/>
        <v>0</v>
      </c>
      <c r="BT563" s="2982">
        <f t="shared" si="354"/>
        <v>0</v>
      </c>
    </row>
    <row r="564" spans="1:72">
      <c r="A564" s="874"/>
      <c r="B564" s="882"/>
      <c r="C564" s="882"/>
      <c r="D564" s="2933"/>
      <c r="E564" s="2934">
        <f t="shared" si="326"/>
        <v>0</v>
      </c>
      <c r="F564" s="2935"/>
      <c r="G564" s="2936">
        <f t="shared" si="327"/>
        <v>0</v>
      </c>
      <c r="H564" s="2937">
        <f t="shared" si="328"/>
        <v>0</v>
      </c>
      <c r="I564" s="2944"/>
      <c r="J564" s="2944"/>
      <c r="K564" s="2944"/>
      <c r="L564" s="2944"/>
      <c r="M564" s="2944"/>
      <c r="N564" s="2944"/>
      <c r="O564" s="2944"/>
      <c r="P564" s="2944"/>
      <c r="Q564" s="2944"/>
      <c r="R564" s="2944"/>
      <c r="S564" s="2944"/>
      <c r="T564" s="2944"/>
      <c r="U564" s="2944"/>
      <c r="V564" s="2944"/>
      <c r="W564" s="2944"/>
      <c r="X564" s="2944"/>
      <c r="Y564" s="2944"/>
      <c r="Z564" s="2944"/>
      <c r="AA564" s="2944"/>
      <c r="AB564" s="2944"/>
      <c r="AC564" s="2934">
        <f t="shared" si="329"/>
        <v>0</v>
      </c>
      <c r="AD564" s="2954"/>
      <c r="AE564" s="2954"/>
      <c r="AF564" s="2954"/>
      <c r="AG564" s="2954"/>
      <c r="AH564" s="2954"/>
      <c r="AI564" s="2954"/>
      <c r="AJ564" s="2954"/>
      <c r="AK564" s="2954"/>
      <c r="AL564" s="2954"/>
      <c r="AM564" s="2954"/>
      <c r="AN564" s="2954"/>
      <c r="AO564" s="2954"/>
      <c r="AP564" s="2954"/>
      <c r="AQ564" s="2954"/>
      <c r="AR564" s="2954"/>
      <c r="AS564" s="2954"/>
      <c r="AT564" s="2935"/>
      <c r="AU564" s="2964"/>
      <c r="AV564" s="857">
        <f t="shared" si="330"/>
        <v>0</v>
      </c>
      <c r="AW564" s="857">
        <f t="shared" si="331"/>
        <v>0</v>
      </c>
      <c r="AX564" s="857">
        <f t="shared" si="332"/>
        <v>0</v>
      </c>
      <c r="AY564" s="807">
        <f t="shared" si="333"/>
        <v>0</v>
      </c>
      <c r="AZ564" s="2934">
        <f t="shared" si="334"/>
        <v>0</v>
      </c>
      <c r="BA564" s="2934">
        <f t="shared" si="335"/>
        <v>0</v>
      </c>
      <c r="BB564" s="2934">
        <f t="shared" si="336"/>
        <v>0</v>
      </c>
      <c r="BC564" s="2934">
        <f t="shared" si="337"/>
        <v>0</v>
      </c>
      <c r="BD564" s="2934">
        <f t="shared" si="338"/>
        <v>0</v>
      </c>
      <c r="BE564" s="2934">
        <f t="shared" si="339"/>
        <v>0</v>
      </c>
      <c r="BF564" s="2934">
        <f t="shared" si="340"/>
        <v>0</v>
      </c>
      <c r="BG564" s="2934">
        <f t="shared" si="341"/>
        <v>0</v>
      </c>
      <c r="BH564" s="2934">
        <f t="shared" si="342"/>
        <v>0</v>
      </c>
      <c r="BI564" s="2934">
        <f t="shared" si="343"/>
        <v>0</v>
      </c>
      <c r="BJ564" s="2934">
        <f t="shared" si="344"/>
        <v>0</v>
      </c>
      <c r="BK564" s="2934">
        <f t="shared" si="345"/>
        <v>0</v>
      </c>
      <c r="BL564" s="2934">
        <f t="shared" si="346"/>
        <v>0</v>
      </c>
      <c r="BM564" s="2934">
        <f t="shared" si="347"/>
        <v>0</v>
      </c>
      <c r="BN564" s="2934">
        <f t="shared" si="348"/>
        <v>0</v>
      </c>
      <c r="BO564" s="2934">
        <f t="shared" si="349"/>
        <v>0</v>
      </c>
      <c r="BP564" s="2934">
        <f t="shared" si="350"/>
        <v>0</v>
      </c>
      <c r="BQ564" s="2934">
        <f t="shared" si="351"/>
        <v>0</v>
      </c>
      <c r="BR564" s="2934">
        <f t="shared" si="352"/>
        <v>0</v>
      </c>
      <c r="BS564" s="2934">
        <f t="shared" si="353"/>
        <v>0</v>
      </c>
      <c r="BT564" s="2982">
        <f t="shared" si="354"/>
        <v>0</v>
      </c>
    </row>
    <row r="565" spans="1:72">
      <c r="A565" s="874"/>
      <c r="B565" s="882"/>
      <c r="C565" s="882"/>
      <c r="D565" s="2933"/>
      <c r="E565" s="2934">
        <f t="shared" si="326"/>
        <v>0</v>
      </c>
      <c r="F565" s="2935"/>
      <c r="G565" s="2936">
        <f t="shared" si="327"/>
        <v>0</v>
      </c>
      <c r="H565" s="2937">
        <f t="shared" si="328"/>
        <v>0</v>
      </c>
      <c r="I565" s="2944"/>
      <c r="J565" s="2944"/>
      <c r="K565" s="2944"/>
      <c r="L565" s="2944"/>
      <c r="M565" s="2944"/>
      <c r="N565" s="2944"/>
      <c r="O565" s="2944"/>
      <c r="P565" s="2944"/>
      <c r="Q565" s="2944"/>
      <c r="R565" s="2944"/>
      <c r="S565" s="2944"/>
      <c r="T565" s="2944"/>
      <c r="U565" s="2944"/>
      <c r="V565" s="2944"/>
      <c r="W565" s="2944"/>
      <c r="X565" s="2944"/>
      <c r="Y565" s="2944"/>
      <c r="Z565" s="2944"/>
      <c r="AA565" s="2944"/>
      <c r="AB565" s="2944"/>
      <c r="AC565" s="2934">
        <f t="shared" si="329"/>
        <v>0</v>
      </c>
      <c r="AD565" s="2954"/>
      <c r="AE565" s="2954"/>
      <c r="AF565" s="2954"/>
      <c r="AG565" s="2954"/>
      <c r="AH565" s="2954"/>
      <c r="AI565" s="2954"/>
      <c r="AJ565" s="2954"/>
      <c r="AK565" s="2954"/>
      <c r="AL565" s="2954"/>
      <c r="AM565" s="2954"/>
      <c r="AN565" s="2954"/>
      <c r="AO565" s="2954"/>
      <c r="AP565" s="2954"/>
      <c r="AQ565" s="2954"/>
      <c r="AR565" s="2954"/>
      <c r="AS565" s="2954"/>
      <c r="AT565" s="2935"/>
      <c r="AU565" s="2964"/>
      <c r="AV565" s="857">
        <f t="shared" si="330"/>
        <v>0</v>
      </c>
      <c r="AW565" s="857">
        <f t="shared" si="331"/>
        <v>0</v>
      </c>
      <c r="AX565" s="857">
        <f t="shared" si="332"/>
        <v>0</v>
      </c>
      <c r="AY565" s="807">
        <f t="shared" si="333"/>
        <v>0</v>
      </c>
      <c r="AZ565" s="2934">
        <f t="shared" si="334"/>
        <v>0</v>
      </c>
      <c r="BA565" s="2934">
        <f t="shared" si="335"/>
        <v>0</v>
      </c>
      <c r="BB565" s="2934">
        <f t="shared" si="336"/>
        <v>0</v>
      </c>
      <c r="BC565" s="2934">
        <f t="shared" si="337"/>
        <v>0</v>
      </c>
      <c r="BD565" s="2934">
        <f t="shared" si="338"/>
        <v>0</v>
      </c>
      <c r="BE565" s="2934">
        <f t="shared" si="339"/>
        <v>0</v>
      </c>
      <c r="BF565" s="2934">
        <f t="shared" si="340"/>
        <v>0</v>
      </c>
      <c r="BG565" s="2934">
        <f t="shared" si="341"/>
        <v>0</v>
      </c>
      <c r="BH565" s="2934">
        <f t="shared" si="342"/>
        <v>0</v>
      </c>
      <c r="BI565" s="2934">
        <f t="shared" si="343"/>
        <v>0</v>
      </c>
      <c r="BJ565" s="2934">
        <f t="shared" si="344"/>
        <v>0</v>
      </c>
      <c r="BK565" s="2934">
        <f t="shared" si="345"/>
        <v>0</v>
      </c>
      <c r="BL565" s="2934">
        <f t="shared" si="346"/>
        <v>0</v>
      </c>
      <c r="BM565" s="2934">
        <f t="shared" si="347"/>
        <v>0</v>
      </c>
      <c r="BN565" s="2934">
        <f t="shared" si="348"/>
        <v>0</v>
      </c>
      <c r="BO565" s="2934">
        <f t="shared" si="349"/>
        <v>0</v>
      </c>
      <c r="BP565" s="2934">
        <f t="shared" si="350"/>
        <v>0</v>
      </c>
      <c r="BQ565" s="2934">
        <f t="shared" si="351"/>
        <v>0</v>
      </c>
      <c r="BR565" s="2934">
        <f t="shared" si="352"/>
        <v>0</v>
      </c>
      <c r="BS565" s="2934">
        <f t="shared" si="353"/>
        <v>0</v>
      </c>
      <c r="BT565" s="2982">
        <f t="shared" si="354"/>
        <v>0</v>
      </c>
    </row>
    <row r="566" spans="1:72">
      <c r="A566" s="874"/>
      <c r="B566" s="882"/>
      <c r="C566" s="882"/>
      <c r="D566" s="2933"/>
      <c r="E566" s="2934">
        <f t="shared" si="326"/>
        <v>0</v>
      </c>
      <c r="F566" s="2935"/>
      <c r="G566" s="2936">
        <f t="shared" si="327"/>
        <v>0</v>
      </c>
      <c r="H566" s="2937">
        <f t="shared" si="328"/>
        <v>0</v>
      </c>
      <c r="I566" s="2944"/>
      <c r="J566" s="2944"/>
      <c r="K566" s="2944"/>
      <c r="L566" s="2944"/>
      <c r="M566" s="2944"/>
      <c r="N566" s="2944"/>
      <c r="O566" s="2944"/>
      <c r="P566" s="2944"/>
      <c r="Q566" s="2944"/>
      <c r="R566" s="2944"/>
      <c r="S566" s="2944"/>
      <c r="T566" s="2944"/>
      <c r="U566" s="2944"/>
      <c r="V566" s="2944"/>
      <c r="W566" s="2944"/>
      <c r="X566" s="2944"/>
      <c r="Y566" s="2944"/>
      <c r="Z566" s="2944"/>
      <c r="AA566" s="2944"/>
      <c r="AB566" s="2944"/>
      <c r="AC566" s="2934">
        <f t="shared" si="329"/>
        <v>0</v>
      </c>
      <c r="AD566" s="2954"/>
      <c r="AE566" s="2954"/>
      <c r="AF566" s="2954"/>
      <c r="AG566" s="2954"/>
      <c r="AH566" s="2954"/>
      <c r="AI566" s="2954"/>
      <c r="AJ566" s="2954"/>
      <c r="AK566" s="2954"/>
      <c r="AL566" s="2954"/>
      <c r="AM566" s="2954"/>
      <c r="AN566" s="2954"/>
      <c r="AO566" s="2954"/>
      <c r="AP566" s="2954"/>
      <c r="AQ566" s="2954"/>
      <c r="AR566" s="2954"/>
      <c r="AS566" s="2954"/>
      <c r="AT566" s="2935"/>
      <c r="AU566" s="2964"/>
      <c r="AV566" s="857">
        <f t="shared" si="330"/>
        <v>0</v>
      </c>
      <c r="AW566" s="857">
        <f t="shared" si="331"/>
        <v>0</v>
      </c>
      <c r="AX566" s="857">
        <f t="shared" si="332"/>
        <v>0</v>
      </c>
      <c r="AY566" s="807">
        <f t="shared" si="333"/>
        <v>0</v>
      </c>
      <c r="AZ566" s="2934">
        <f t="shared" si="334"/>
        <v>0</v>
      </c>
      <c r="BA566" s="2934">
        <f t="shared" si="335"/>
        <v>0</v>
      </c>
      <c r="BB566" s="2934">
        <f t="shared" si="336"/>
        <v>0</v>
      </c>
      <c r="BC566" s="2934">
        <f t="shared" si="337"/>
        <v>0</v>
      </c>
      <c r="BD566" s="2934">
        <f t="shared" si="338"/>
        <v>0</v>
      </c>
      <c r="BE566" s="2934">
        <f t="shared" si="339"/>
        <v>0</v>
      </c>
      <c r="BF566" s="2934">
        <f t="shared" si="340"/>
        <v>0</v>
      </c>
      <c r="BG566" s="2934">
        <f t="shared" si="341"/>
        <v>0</v>
      </c>
      <c r="BH566" s="2934">
        <f t="shared" si="342"/>
        <v>0</v>
      </c>
      <c r="BI566" s="2934">
        <f t="shared" si="343"/>
        <v>0</v>
      </c>
      <c r="BJ566" s="2934">
        <f t="shared" si="344"/>
        <v>0</v>
      </c>
      <c r="BK566" s="2934">
        <f t="shared" si="345"/>
        <v>0</v>
      </c>
      <c r="BL566" s="2934">
        <f t="shared" si="346"/>
        <v>0</v>
      </c>
      <c r="BM566" s="2934">
        <f t="shared" si="347"/>
        <v>0</v>
      </c>
      <c r="BN566" s="2934">
        <f t="shared" si="348"/>
        <v>0</v>
      </c>
      <c r="BO566" s="2934">
        <f t="shared" si="349"/>
        <v>0</v>
      </c>
      <c r="BP566" s="2934">
        <f t="shared" si="350"/>
        <v>0</v>
      </c>
      <c r="BQ566" s="2934">
        <f t="shared" si="351"/>
        <v>0</v>
      </c>
      <c r="BR566" s="2934">
        <f t="shared" si="352"/>
        <v>0</v>
      </c>
      <c r="BS566" s="2934">
        <f t="shared" si="353"/>
        <v>0</v>
      </c>
      <c r="BT566" s="2982">
        <f t="shared" si="354"/>
        <v>0</v>
      </c>
    </row>
    <row r="567" spans="1:72">
      <c r="A567" s="874"/>
      <c r="B567" s="882"/>
      <c r="C567" s="882"/>
      <c r="D567" s="2933"/>
      <c r="E567" s="2934">
        <f t="shared" si="326"/>
        <v>0</v>
      </c>
      <c r="F567" s="2935"/>
      <c r="G567" s="2936">
        <f t="shared" si="327"/>
        <v>0</v>
      </c>
      <c r="H567" s="2937">
        <f t="shared" si="328"/>
        <v>0</v>
      </c>
      <c r="I567" s="2944"/>
      <c r="J567" s="2944"/>
      <c r="K567" s="2944"/>
      <c r="L567" s="2944"/>
      <c r="M567" s="2944"/>
      <c r="N567" s="2944"/>
      <c r="O567" s="2944"/>
      <c r="P567" s="2944"/>
      <c r="Q567" s="2944"/>
      <c r="R567" s="2944"/>
      <c r="S567" s="2944"/>
      <c r="T567" s="2944"/>
      <c r="U567" s="2944"/>
      <c r="V567" s="2944"/>
      <c r="W567" s="2944"/>
      <c r="X567" s="2944"/>
      <c r="Y567" s="2944"/>
      <c r="Z567" s="2944"/>
      <c r="AA567" s="2944"/>
      <c r="AB567" s="2944"/>
      <c r="AC567" s="2934">
        <f t="shared" si="329"/>
        <v>0</v>
      </c>
      <c r="AD567" s="2954"/>
      <c r="AE567" s="2954"/>
      <c r="AF567" s="2954"/>
      <c r="AG567" s="2954"/>
      <c r="AH567" s="2954"/>
      <c r="AI567" s="2954"/>
      <c r="AJ567" s="2954"/>
      <c r="AK567" s="2954"/>
      <c r="AL567" s="2954"/>
      <c r="AM567" s="2954"/>
      <c r="AN567" s="2954"/>
      <c r="AO567" s="2954"/>
      <c r="AP567" s="2954"/>
      <c r="AQ567" s="2954"/>
      <c r="AR567" s="2954"/>
      <c r="AS567" s="2954"/>
      <c r="AT567" s="2935"/>
      <c r="AU567" s="2964"/>
      <c r="AV567" s="857">
        <f t="shared" si="330"/>
        <v>0</v>
      </c>
      <c r="AW567" s="857">
        <f t="shared" si="331"/>
        <v>0</v>
      </c>
      <c r="AX567" s="857">
        <f t="shared" si="332"/>
        <v>0</v>
      </c>
      <c r="AY567" s="807">
        <f t="shared" si="333"/>
        <v>0</v>
      </c>
      <c r="AZ567" s="2934">
        <f t="shared" si="334"/>
        <v>0</v>
      </c>
      <c r="BA567" s="2934">
        <f t="shared" si="335"/>
        <v>0</v>
      </c>
      <c r="BB567" s="2934">
        <f t="shared" si="336"/>
        <v>0</v>
      </c>
      <c r="BC567" s="2934">
        <f t="shared" si="337"/>
        <v>0</v>
      </c>
      <c r="BD567" s="2934">
        <f t="shared" si="338"/>
        <v>0</v>
      </c>
      <c r="BE567" s="2934">
        <f t="shared" si="339"/>
        <v>0</v>
      </c>
      <c r="BF567" s="2934">
        <f t="shared" si="340"/>
        <v>0</v>
      </c>
      <c r="BG567" s="2934">
        <f t="shared" si="341"/>
        <v>0</v>
      </c>
      <c r="BH567" s="2934">
        <f t="shared" si="342"/>
        <v>0</v>
      </c>
      <c r="BI567" s="2934">
        <f t="shared" si="343"/>
        <v>0</v>
      </c>
      <c r="BJ567" s="2934">
        <f t="shared" si="344"/>
        <v>0</v>
      </c>
      <c r="BK567" s="2934">
        <f t="shared" si="345"/>
        <v>0</v>
      </c>
      <c r="BL567" s="2934">
        <f t="shared" si="346"/>
        <v>0</v>
      </c>
      <c r="BM567" s="2934">
        <f t="shared" si="347"/>
        <v>0</v>
      </c>
      <c r="BN567" s="2934">
        <f t="shared" si="348"/>
        <v>0</v>
      </c>
      <c r="BO567" s="2934">
        <f t="shared" si="349"/>
        <v>0</v>
      </c>
      <c r="BP567" s="2934">
        <f t="shared" si="350"/>
        <v>0</v>
      </c>
      <c r="BQ567" s="2934">
        <f t="shared" si="351"/>
        <v>0</v>
      </c>
      <c r="BR567" s="2934">
        <f t="shared" si="352"/>
        <v>0</v>
      </c>
      <c r="BS567" s="2934">
        <f t="shared" si="353"/>
        <v>0</v>
      </c>
      <c r="BT567" s="2982">
        <f t="shared" si="354"/>
        <v>0</v>
      </c>
    </row>
    <row r="568" spans="1:72">
      <c r="A568" s="874"/>
      <c r="B568" s="882"/>
      <c r="C568" s="882"/>
      <c r="D568" s="2933"/>
      <c r="E568" s="2934">
        <f t="shared" si="326"/>
        <v>0</v>
      </c>
      <c r="F568" s="2935"/>
      <c r="G568" s="2936">
        <f t="shared" si="327"/>
        <v>0</v>
      </c>
      <c r="H568" s="2937">
        <f t="shared" si="328"/>
        <v>0</v>
      </c>
      <c r="I568" s="2944"/>
      <c r="J568" s="2944"/>
      <c r="K568" s="2944"/>
      <c r="L568" s="2944"/>
      <c r="M568" s="2944"/>
      <c r="N568" s="2944"/>
      <c r="O568" s="2944"/>
      <c r="P568" s="2944"/>
      <c r="Q568" s="2944"/>
      <c r="R568" s="2944"/>
      <c r="S568" s="2944"/>
      <c r="T568" s="2944"/>
      <c r="U568" s="2944"/>
      <c r="V568" s="2944"/>
      <c r="W568" s="2944"/>
      <c r="X568" s="2944"/>
      <c r="Y568" s="2944"/>
      <c r="Z568" s="2944"/>
      <c r="AA568" s="2944"/>
      <c r="AB568" s="2944"/>
      <c r="AC568" s="2934">
        <f t="shared" si="329"/>
        <v>0</v>
      </c>
      <c r="AD568" s="2954"/>
      <c r="AE568" s="2954"/>
      <c r="AF568" s="2954"/>
      <c r="AG568" s="2954"/>
      <c r="AH568" s="2954"/>
      <c r="AI568" s="2954"/>
      <c r="AJ568" s="2954"/>
      <c r="AK568" s="2954"/>
      <c r="AL568" s="2954"/>
      <c r="AM568" s="2954"/>
      <c r="AN568" s="2954"/>
      <c r="AO568" s="2954"/>
      <c r="AP568" s="2954"/>
      <c r="AQ568" s="2954"/>
      <c r="AR568" s="2954"/>
      <c r="AS568" s="2954"/>
      <c r="AT568" s="2935"/>
      <c r="AU568" s="2964"/>
      <c r="AV568" s="857">
        <f t="shared" si="330"/>
        <v>0</v>
      </c>
      <c r="AW568" s="857">
        <f t="shared" si="331"/>
        <v>0</v>
      </c>
      <c r="AX568" s="857">
        <f t="shared" si="332"/>
        <v>0</v>
      </c>
      <c r="AY568" s="807">
        <f t="shared" si="333"/>
        <v>0</v>
      </c>
      <c r="AZ568" s="2934">
        <f t="shared" si="334"/>
        <v>0</v>
      </c>
      <c r="BA568" s="2934">
        <f t="shared" si="335"/>
        <v>0</v>
      </c>
      <c r="BB568" s="2934">
        <f t="shared" si="336"/>
        <v>0</v>
      </c>
      <c r="BC568" s="2934">
        <f t="shared" si="337"/>
        <v>0</v>
      </c>
      <c r="BD568" s="2934">
        <f t="shared" si="338"/>
        <v>0</v>
      </c>
      <c r="BE568" s="2934">
        <f t="shared" si="339"/>
        <v>0</v>
      </c>
      <c r="BF568" s="2934">
        <f t="shared" si="340"/>
        <v>0</v>
      </c>
      <c r="BG568" s="2934">
        <f t="shared" si="341"/>
        <v>0</v>
      </c>
      <c r="BH568" s="2934">
        <f t="shared" si="342"/>
        <v>0</v>
      </c>
      <c r="BI568" s="2934">
        <f t="shared" si="343"/>
        <v>0</v>
      </c>
      <c r="BJ568" s="2934">
        <f t="shared" si="344"/>
        <v>0</v>
      </c>
      <c r="BK568" s="2934">
        <f t="shared" si="345"/>
        <v>0</v>
      </c>
      <c r="BL568" s="2934">
        <f t="shared" si="346"/>
        <v>0</v>
      </c>
      <c r="BM568" s="2934">
        <f t="shared" si="347"/>
        <v>0</v>
      </c>
      <c r="BN568" s="2934">
        <f t="shared" si="348"/>
        <v>0</v>
      </c>
      <c r="BO568" s="2934">
        <f t="shared" si="349"/>
        <v>0</v>
      </c>
      <c r="BP568" s="2934">
        <f t="shared" si="350"/>
        <v>0</v>
      </c>
      <c r="BQ568" s="2934">
        <f t="shared" si="351"/>
        <v>0</v>
      </c>
      <c r="BR568" s="2934">
        <f t="shared" si="352"/>
        <v>0</v>
      </c>
      <c r="BS568" s="2934">
        <f t="shared" si="353"/>
        <v>0</v>
      </c>
      <c r="BT568" s="2982">
        <f t="shared" si="354"/>
        <v>0</v>
      </c>
    </row>
    <row r="569" spans="1:72">
      <c r="A569" s="874"/>
      <c r="B569" s="882"/>
      <c r="C569" s="882"/>
      <c r="D569" s="2933"/>
      <c r="E569" s="2934">
        <f t="shared" si="326"/>
        <v>0</v>
      </c>
      <c r="F569" s="2935"/>
      <c r="G569" s="2936">
        <f t="shared" si="327"/>
        <v>0</v>
      </c>
      <c r="H569" s="2937">
        <f t="shared" si="328"/>
        <v>0</v>
      </c>
      <c r="I569" s="2944"/>
      <c r="J569" s="2944"/>
      <c r="K569" s="2944"/>
      <c r="L569" s="2944"/>
      <c r="M569" s="2944"/>
      <c r="N569" s="2944"/>
      <c r="O569" s="2944"/>
      <c r="P569" s="2944"/>
      <c r="Q569" s="2944"/>
      <c r="R569" s="2944"/>
      <c r="S569" s="2944"/>
      <c r="T569" s="2944"/>
      <c r="U569" s="2944"/>
      <c r="V569" s="2944"/>
      <c r="W569" s="2944"/>
      <c r="X569" s="2944"/>
      <c r="Y569" s="2944"/>
      <c r="Z569" s="2944"/>
      <c r="AA569" s="2944"/>
      <c r="AB569" s="2944"/>
      <c r="AC569" s="2934">
        <f t="shared" si="329"/>
        <v>0</v>
      </c>
      <c r="AD569" s="2954"/>
      <c r="AE569" s="2954"/>
      <c r="AF569" s="2954"/>
      <c r="AG569" s="2954"/>
      <c r="AH569" s="2954"/>
      <c r="AI569" s="2954"/>
      <c r="AJ569" s="2954"/>
      <c r="AK569" s="2954"/>
      <c r="AL569" s="2954"/>
      <c r="AM569" s="2954"/>
      <c r="AN569" s="2954"/>
      <c r="AO569" s="2954"/>
      <c r="AP569" s="2954"/>
      <c r="AQ569" s="2954"/>
      <c r="AR569" s="2954"/>
      <c r="AS569" s="2954"/>
      <c r="AT569" s="2935"/>
      <c r="AU569" s="2964"/>
      <c r="AV569" s="857">
        <f t="shared" si="330"/>
        <v>0</v>
      </c>
      <c r="AW569" s="857">
        <f t="shared" si="331"/>
        <v>0</v>
      </c>
      <c r="AX569" s="857">
        <f t="shared" si="332"/>
        <v>0</v>
      </c>
      <c r="AY569" s="807">
        <f t="shared" si="333"/>
        <v>0</v>
      </c>
      <c r="AZ569" s="2934">
        <f t="shared" si="334"/>
        <v>0</v>
      </c>
      <c r="BA569" s="2934">
        <f t="shared" si="335"/>
        <v>0</v>
      </c>
      <c r="BB569" s="2934">
        <f t="shared" si="336"/>
        <v>0</v>
      </c>
      <c r="BC569" s="2934">
        <f t="shared" si="337"/>
        <v>0</v>
      </c>
      <c r="BD569" s="2934">
        <f t="shared" si="338"/>
        <v>0</v>
      </c>
      <c r="BE569" s="2934">
        <f t="shared" si="339"/>
        <v>0</v>
      </c>
      <c r="BF569" s="2934">
        <f t="shared" si="340"/>
        <v>0</v>
      </c>
      <c r="BG569" s="2934">
        <f t="shared" si="341"/>
        <v>0</v>
      </c>
      <c r="BH569" s="2934">
        <f t="shared" si="342"/>
        <v>0</v>
      </c>
      <c r="BI569" s="2934">
        <f t="shared" si="343"/>
        <v>0</v>
      </c>
      <c r="BJ569" s="2934">
        <f t="shared" si="344"/>
        <v>0</v>
      </c>
      <c r="BK569" s="2934">
        <f t="shared" si="345"/>
        <v>0</v>
      </c>
      <c r="BL569" s="2934">
        <f t="shared" si="346"/>
        <v>0</v>
      </c>
      <c r="BM569" s="2934">
        <f t="shared" si="347"/>
        <v>0</v>
      </c>
      <c r="BN569" s="2934">
        <f t="shared" si="348"/>
        <v>0</v>
      </c>
      <c r="BO569" s="2934">
        <f t="shared" si="349"/>
        <v>0</v>
      </c>
      <c r="BP569" s="2934">
        <f t="shared" si="350"/>
        <v>0</v>
      </c>
      <c r="BQ569" s="2934">
        <f t="shared" si="351"/>
        <v>0</v>
      </c>
      <c r="BR569" s="2934">
        <f t="shared" si="352"/>
        <v>0</v>
      </c>
      <c r="BS569" s="2934">
        <f t="shared" si="353"/>
        <v>0</v>
      </c>
      <c r="BT569" s="2982">
        <f t="shared" si="354"/>
        <v>0</v>
      </c>
    </row>
    <row r="570" spans="1:72">
      <c r="A570" s="874"/>
      <c r="B570" s="882"/>
      <c r="C570" s="882"/>
      <c r="D570" s="2933"/>
      <c r="E570" s="2934">
        <f t="shared" si="326"/>
        <v>0</v>
      </c>
      <c r="F570" s="2935"/>
      <c r="G570" s="2936">
        <f t="shared" si="327"/>
        <v>0</v>
      </c>
      <c r="H570" s="2937">
        <f t="shared" si="328"/>
        <v>0</v>
      </c>
      <c r="I570" s="2944"/>
      <c r="J570" s="2944"/>
      <c r="K570" s="2944"/>
      <c r="L570" s="2944"/>
      <c r="M570" s="2944"/>
      <c r="N570" s="2944"/>
      <c r="O570" s="2944"/>
      <c r="P570" s="2944"/>
      <c r="Q570" s="2944"/>
      <c r="R570" s="2944"/>
      <c r="S570" s="2944"/>
      <c r="T570" s="2944"/>
      <c r="U570" s="2944"/>
      <c r="V570" s="2944"/>
      <c r="W570" s="2944"/>
      <c r="X570" s="2944"/>
      <c r="Y570" s="2944"/>
      <c r="Z570" s="2944"/>
      <c r="AA570" s="2944"/>
      <c r="AB570" s="2944"/>
      <c r="AC570" s="2934">
        <f t="shared" si="329"/>
        <v>0</v>
      </c>
      <c r="AD570" s="2954"/>
      <c r="AE570" s="2954"/>
      <c r="AF570" s="2954"/>
      <c r="AG570" s="2954"/>
      <c r="AH570" s="2954"/>
      <c r="AI570" s="2954"/>
      <c r="AJ570" s="2954"/>
      <c r="AK570" s="2954"/>
      <c r="AL570" s="2954"/>
      <c r="AM570" s="2954"/>
      <c r="AN570" s="2954"/>
      <c r="AO570" s="2954"/>
      <c r="AP570" s="2954"/>
      <c r="AQ570" s="2954"/>
      <c r="AR570" s="2954"/>
      <c r="AS570" s="2954"/>
      <c r="AT570" s="2935"/>
      <c r="AU570" s="2964"/>
      <c r="AV570" s="857">
        <f t="shared" si="330"/>
        <v>0</v>
      </c>
      <c r="AW570" s="857">
        <f t="shared" si="331"/>
        <v>0</v>
      </c>
      <c r="AX570" s="857">
        <f t="shared" si="332"/>
        <v>0</v>
      </c>
      <c r="AY570" s="807">
        <f t="shared" si="333"/>
        <v>0</v>
      </c>
      <c r="AZ570" s="2934">
        <f t="shared" si="334"/>
        <v>0</v>
      </c>
      <c r="BA570" s="2934">
        <f t="shared" si="335"/>
        <v>0</v>
      </c>
      <c r="BB570" s="2934">
        <f t="shared" si="336"/>
        <v>0</v>
      </c>
      <c r="BC570" s="2934">
        <f t="shared" si="337"/>
        <v>0</v>
      </c>
      <c r="BD570" s="2934">
        <f t="shared" si="338"/>
        <v>0</v>
      </c>
      <c r="BE570" s="2934">
        <f t="shared" si="339"/>
        <v>0</v>
      </c>
      <c r="BF570" s="2934">
        <f t="shared" si="340"/>
        <v>0</v>
      </c>
      <c r="BG570" s="2934">
        <f t="shared" si="341"/>
        <v>0</v>
      </c>
      <c r="BH570" s="2934">
        <f t="shared" si="342"/>
        <v>0</v>
      </c>
      <c r="BI570" s="2934">
        <f t="shared" si="343"/>
        <v>0</v>
      </c>
      <c r="BJ570" s="2934">
        <f t="shared" si="344"/>
        <v>0</v>
      </c>
      <c r="BK570" s="2934">
        <f t="shared" si="345"/>
        <v>0</v>
      </c>
      <c r="BL570" s="2934">
        <f t="shared" si="346"/>
        <v>0</v>
      </c>
      <c r="BM570" s="2934">
        <f t="shared" si="347"/>
        <v>0</v>
      </c>
      <c r="BN570" s="2934">
        <f t="shared" si="348"/>
        <v>0</v>
      </c>
      <c r="BO570" s="2934">
        <f t="shared" si="349"/>
        <v>0</v>
      </c>
      <c r="BP570" s="2934">
        <f t="shared" si="350"/>
        <v>0</v>
      </c>
      <c r="BQ570" s="2934">
        <f t="shared" si="351"/>
        <v>0</v>
      </c>
      <c r="BR570" s="2934">
        <f t="shared" si="352"/>
        <v>0</v>
      </c>
      <c r="BS570" s="2934">
        <f t="shared" si="353"/>
        <v>0</v>
      </c>
      <c r="BT570" s="2982">
        <f t="shared" si="354"/>
        <v>0</v>
      </c>
    </row>
    <row r="571" spans="1:72">
      <c r="A571" s="874"/>
      <c r="B571" s="882"/>
      <c r="C571" s="882"/>
      <c r="D571" s="2933"/>
      <c r="E571" s="2934">
        <f t="shared" si="326"/>
        <v>0</v>
      </c>
      <c r="F571" s="2935"/>
      <c r="G571" s="2936">
        <f t="shared" si="327"/>
        <v>0</v>
      </c>
      <c r="H571" s="2937">
        <f t="shared" si="328"/>
        <v>0</v>
      </c>
      <c r="I571" s="2944"/>
      <c r="J571" s="2944"/>
      <c r="K571" s="2944"/>
      <c r="L571" s="2944"/>
      <c r="M571" s="2944"/>
      <c r="N571" s="2944"/>
      <c r="O571" s="2944"/>
      <c r="P571" s="2944"/>
      <c r="Q571" s="2944"/>
      <c r="R571" s="2944"/>
      <c r="S571" s="2944"/>
      <c r="T571" s="2944"/>
      <c r="U571" s="2944"/>
      <c r="V571" s="2944"/>
      <c r="W571" s="2944"/>
      <c r="X571" s="2944"/>
      <c r="Y571" s="2944"/>
      <c r="Z571" s="2944"/>
      <c r="AA571" s="2944"/>
      <c r="AB571" s="2944"/>
      <c r="AC571" s="2934">
        <f t="shared" si="329"/>
        <v>0</v>
      </c>
      <c r="AD571" s="2954"/>
      <c r="AE571" s="2954"/>
      <c r="AF571" s="2954"/>
      <c r="AG571" s="2954"/>
      <c r="AH571" s="2954"/>
      <c r="AI571" s="2954"/>
      <c r="AJ571" s="2954"/>
      <c r="AK571" s="2954"/>
      <c r="AL571" s="2954"/>
      <c r="AM571" s="2954"/>
      <c r="AN571" s="2954"/>
      <c r="AO571" s="2954"/>
      <c r="AP571" s="2954"/>
      <c r="AQ571" s="2954"/>
      <c r="AR571" s="2954"/>
      <c r="AS571" s="2954"/>
      <c r="AT571" s="2935"/>
      <c r="AU571" s="2964"/>
      <c r="AV571" s="857">
        <f t="shared" si="330"/>
        <v>0</v>
      </c>
      <c r="AW571" s="857">
        <f t="shared" si="331"/>
        <v>0</v>
      </c>
      <c r="AX571" s="857">
        <f t="shared" si="332"/>
        <v>0</v>
      </c>
      <c r="AY571" s="807">
        <f t="shared" si="333"/>
        <v>0</v>
      </c>
      <c r="AZ571" s="2934">
        <f t="shared" si="334"/>
        <v>0</v>
      </c>
      <c r="BA571" s="2934">
        <f t="shared" si="335"/>
        <v>0</v>
      </c>
      <c r="BB571" s="2934">
        <f t="shared" si="336"/>
        <v>0</v>
      </c>
      <c r="BC571" s="2934">
        <f t="shared" si="337"/>
        <v>0</v>
      </c>
      <c r="BD571" s="2934">
        <f t="shared" si="338"/>
        <v>0</v>
      </c>
      <c r="BE571" s="2934">
        <f t="shared" si="339"/>
        <v>0</v>
      </c>
      <c r="BF571" s="2934">
        <f t="shared" si="340"/>
        <v>0</v>
      </c>
      <c r="BG571" s="2934">
        <f t="shared" si="341"/>
        <v>0</v>
      </c>
      <c r="BH571" s="2934">
        <f t="shared" si="342"/>
        <v>0</v>
      </c>
      <c r="BI571" s="2934">
        <f t="shared" si="343"/>
        <v>0</v>
      </c>
      <c r="BJ571" s="2934">
        <f t="shared" si="344"/>
        <v>0</v>
      </c>
      <c r="BK571" s="2934">
        <f t="shared" si="345"/>
        <v>0</v>
      </c>
      <c r="BL571" s="2934">
        <f t="shared" si="346"/>
        <v>0</v>
      </c>
      <c r="BM571" s="2934">
        <f t="shared" si="347"/>
        <v>0</v>
      </c>
      <c r="BN571" s="2934">
        <f t="shared" si="348"/>
        <v>0</v>
      </c>
      <c r="BO571" s="2934">
        <f t="shared" si="349"/>
        <v>0</v>
      </c>
      <c r="BP571" s="2934">
        <f t="shared" si="350"/>
        <v>0</v>
      </c>
      <c r="BQ571" s="2934">
        <f t="shared" si="351"/>
        <v>0</v>
      </c>
      <c r="BR571" s="2934">
        <f t="shared" si="352"/>
        <v>0</v>
      </c>
      <c r="BS571" s="2934">
        <f t="shared" si="353"/>
        <v>0</v>
      </c>
      <c r="BT571" s="2982">
        <f t="shared" si="354"/>
        <v>0</v>
      </c>
    </row>
    <row r="572" spans="1:72">
      <c r="A572" s="874"/>
      <c r="B572" s="882"/>
      <c r="C572" s="882"/>
      <c r="D572" s="2933"/>
      <c r="E572" s="2934">
        <f t="shared" si="326"/>
        <v>0</v>
      </c>
      <c r="F572" s="2935"/>
      <c r="G572" s="2936">
        <f t="shared" si="327"/>
        <v>0</v>
      </c>
      <c r="H572" s="2937">
        <f t="shared" si="328"/>
        <v>0</v>
      </c>
      <c r="I572" s="2944"/>
      <c r="J572" s="2944"/>
      <c r="K572" s="2944"/>
      <c r="L572" s="2944"/>
      <c r="M572" s="2944"/>
      <c r="N572" s="2944"/>
      <c r="O572" s="2944"/>
      <c r="P572" s="2944"/>
      <c r="Q572" s="2944"/>
      <c r="R572" s="2944"/>
      <c r="S572" s="2944"/>
      <c r="T572" s="2944"/>
      <c r="U572" s="2944"/>
      <c r="V572" s="2944"/>
      <c r="W572" s="2944"/>
      <c r="X572" s="2944"/>
      <c r="Y572" s="2944"/>
      <c r="Z572" s="2944"/>
      <c r="AA572" s="2944"/>
      <c r="AB572" s="2944"/>
      <c r="AC572" s="2934">
        <f t="shared" si="329"/>
        <v>0</v>
      </c>
      <c r="AD572" s="2954"/>
      <c r="AE572" s="2954"/>
      <c r="AF572" s="2954"/>
      <c r="AG572" s="2954"/>
      <c r="AH572" s="2954"/>
      <c r="AI572" s="2954"/>
      <c r="AJ572" s="2954"/>
      <c r="AK572" s="2954"/>
      <c r="AL572" s="2954"/>
      <c r="AM572" s="2954"/>
      <c r="AN572" s="2954"/>
      <c r="AO572" s="2954"/>
      <c r="AP572" s="2954"/>
      <c r="AQ572" s="2954"/>
      <c r="AR572" s="2954"/>
      <c r="AS572" s="2954"/>
      <c r="AT572" s="2935"/>
      <c r="AU572" s="2964"/>
      <c r="AV572" s="857">
        <f t="shared" si="330"/>
        <v>0</v>
      </c>
      <c r="AW572" s="857">
        <f t="shared" si="331"/>
        <v>0</v>
      </c>
      <c r="AX572" s="857">
        <f t="shared" si="332"/>
        <v>0</v>
      </c>
      <c r="AY572" s="807">
        <f t="shared" si="333"/>
        <v>0</v>
      </c>
      <c r="AZ572" s="2934">
        <f t="shared" si="334"/>
        <v>0</v>
      </c>
      <c r="BA572" s="2934">
        <f t="shared" si="335"/>
        <v>0</v>
      </c>
      <c r="BB572" s="2934">
        <f t="shared" si="336"/>
        <v>0</v>
      </c>
      <c r="BC572" s="2934">
        <f t="shared" si="337"/>
        <v>0</v>
      </c>
      <c r="BD572" s="2934">
        <f t="shared" si="338"/>
        <v>0</v>
      </c>
      <c r="BE572" s="2934">
        <f t="shared" si="339"/>
        <v>0</v>
      </c>
      <c r="BF572" s="2934">
        <f t="shared" si="340"/>
        <v>0</v>
      </c>
      <c r="BG572" s="2934">
        <f t="shared" si="341"/>
        <v>0</v>
      </c>
      <c r="BH572" s="2934">
        <f t="shared" si="342"/>
        <v>0</v>
      </c>
      <c r="BI572" s="2934">
        <f t="shared" si="343"/>
        <v>0</v>
      </c>
      <c r="BJ572" s="2934">
        <f t="shared" si="344"/>
        <v>0</v>
      </c>
      <c r="BK572" s="2934">
        <f t="shared" si="345"/>
        <v>0</v>
      </c>
      <c r="BL572" s="2934">
        <f t="shared" si="346"/>
        <v>0</v>
      </c>
      <c r="BM572" s="2934">
        <f t="shared" si="347"/>
        <v>0</v>
      </c>
      <c r="BN572" s="2934">
        <f t="shared" si="348"/>
        <v>0</v>
      </c>
      <c r="BO572" s="2934">
        <f t="shared" si="349"/>
        <v>0</v>
      </c>
      <c r="BP572" s="2934">
        <f t="shared" si="350"/>
        <v>0</v>
      </c>
      <c r="BQ572" s="2934">
        <f t="shared" si="351"/>
        <v>0</v>
      </c>
      <c r="BR572" s="2934">
        <f t="shared" si="352"/>
        <v>0</v>
      </c>
      <c r="BS572" s="2934">
        <f t="shared" si="353"/>
        <v>0</v>
      </c>
      <c r="BT572" s="2982">
        <f t="shared" si="354"/>
        <v>0</v>
      </c>
    </row>
    <row r="573" spans="1:72">
      <c r="A573" s="874"/>
      <c r="B573" s="882"/>
      <c r="C573" s="882"/>
      <c r="D573" s="2933"/>
      <c r="E573" s="2934">
        <f t="shared" si="326"/>
        <v>0</v>
      </c>
      <c r="F573" s="2935"/>
      <c r="G573" s="2936">
        <f t="shared" si="327"/>
        <v>0</v>
      </c>
      <c r="H573" s="2937">
        <f t="shared" si="328"/>
        <v>0</v>
      </c>
      <c r="I573" s="2944"/>
      <c r="J573" s="2944"/>
      <c r="K573" s="2944"/>
      <c r="L573" s="2944"/>
      <c r="M573" s="2944"/>
      <c r="N573" s="2944"/>
      <c r="O573" s="2944"/>
      <c r="P573" s="2944"/>
      <c r="Q573" s="2944"/>
      <c r="R573" s="2944"/>
      <c r="S573" s="2944"/>
      <c r="T573" s="2944"/>
      <c r="U573" s="2944"/>
      <c r="V573" s="2944"/>
      <c r="W573" s="2944"/>
      <c r="X573" s="2944"/>
      <c r="Y573" s="2944"/>
      <c r="Z573" s="2944"/>
      <c r="AA573" s="2944"/>
      <c r="AB573" s="2944"/>
      <c r="AC573" s="2934">
        <f t="shared" si="329"/>
        <v>0</v>
      </c>
      <c r="AD573" s="2954"/>
      <c r="AE573" s="2954"/>
      <c r="AF573" s="2954"/>
      <c r="AG573" s="2954"/>
      <c r="AH573" s="2954"/>
      <c r="AI573" s="2954"/>
      <c r="AJ573" s="2954"/>
      <c r="AK573" s="2954"/>
      <c r="AL573" s="2954"/>
      <c r="AM573" s="2954"/>
      <c r="AN573" s="2954"/>
      <c r="AO573" s="2954"/>
      <c r="AP573" s="2954"/>
      <c r="AQ573" s="2954"/>
      <c r="AR573" s="2954"/>
      <c r="AS573" s="2954"/>
      <c r="AT573" s="2935"/>
      <c r="AU573" s="2964"/>
      <c r="AV573" s="857">
        <f t="shared" si="330"/>
        <v>0</v>
      </c>
      <c r="AW573" s="857">
        <f t="shared" si="331"/>
        <v>0</v>
      </c>
      <c r="AX573" s="857">
        <f t="shared" si="332"/>
        <v>0</v>
      </c>
      <c r="AY573" s="807">
        <f t="shared" si="333"/>
        <v>0</v>
      </c>
      <c r="AZ573" s="2934">
        <f t="shared" si="334"/>
        <v>0</v>
      </c>
      <c r="BA573" s="2934">
        <f t="shared" si="335"/>
        <v>0</v>
      </c>
      <c r="BB573" s="2934">
        <f t="shared" si="336"/>
        <v>0</v>
      </c>
      <c r="BC573" s="2934">
        <f t="shared" si="337"/>
        <v>0</v>
      </c>
      <c r="BD573" s="2934">
        <f t="shared" si="338"/>
        <v>0</v>
      </c>
      <c r="BE573" s="2934">
        <f t="shared" si="339"/>
        <v>0</v>
      </c>
      <c r="BF573" s="2934">
        <f t="shared" si="340"/>
        <v>0</v>
      </c>
      <c r="BG573" s="2934">
        <f t="shared" si="341"/>
        <v>0</v>
      </c>
      <c r="BH573" s="2934">
        <f t="shared" si="342"/>
        <v>0</v>
      </c>
      <c r="BI573" s="2934">
        <f t="shared" si="343"/>
        <v>0</v>
      </c>
      <c r="BJ573" s="2934">
        <f t="shared" si="344"/>
        <v>0</v>
      </c>
      <c r="BK573" s="2934">
        <f t="shared" si="345"/>
        <v>0</v>
      </c>
      <c r="BL573" s="2934">
        <f t="shared" si="346"/>
        <v>0</v>
      </c>
      <c r="BM573" s="2934">
        <f t="shared" si="347"/>
        <v>0</v>
      </c>
      <c r="BN573" s="2934">
        <f t="shared" si="348"/>
        <v>0</v>
      </c>
      <c r="BO573" s="2934">
        <f t="shared" si="349"/>
        <v>0</v>
      </c>
      <c r="BP573" s="2934">
        <f t="shared" si="350"/>
        <v>0</v>
      </c>
      <c r="BQ573" s="2934">
        <f t="shared" si="351"/>
        <v>0</v>
      </c>
      <c r="BR573" s="2934">
        <f t="shared" si="352"/>
        <v>0</v>
      </c>
      <c r="BS573" s="2934">
        <f t="shared" si="353"/>
        <v>0</v>
      </c>
      <c r="BT573" s="2982">
        <f t="shared" si="354"/>
        <v>0</v>
      </c>
    </row>
    <row r="574" spans="1:72">
      <c r="A574" s="874"/>
      <c r="B574" s="882"/>
      <c r="C574" s="882"/>
      <c r="D574" s="2933"/>
      <c r="E574" s="2934">
        <f t="shared" si="326"/>
        <v>0</v>
      </c>
      <c r="F574" s="2935"/>
      <c r="G574" s="2936">
        <f t="shared" si="327"/>
        <v>0</v>
      </c>
      <c r="H574" s="2937">
        <f t="shared" si="328"/>
        <v>0</v>
      </c>
      <c r="I574" s="2944"/>
      <c r="J574" s="2944"/>
      <c r="K574" s="2944"/>
      <c r="L574" s="2944"/>
      <c r="M574" s="2944"/>
      <c r="N574" s="2944"/>
      <c r="O574" s="2944"/>
      <c r="P574" s="2944"/>
      <c r="Q574" s="2944"/>
      <c r="R574" s="2944"/>
      <c r="S574" s="2944"/>
      <c r="T574" s="2944"/>
      <c r="U574" s="2944"/>
      <c r="V574" s="2944"/>
      <c r="W574" s="2944"/>
      <c r="X574" s="2944"/>
      <c r="Y574" s="2944"/>
      <c r="Z574" s="2944"/>
      <c r="AA574" s="2944"/>
      <c r="AB574" s="2944"/>
      <c r="AC574" s="2934">
        <f t="shared" si="329"/>
        <v>0</v>
      </c>
      <c r="AD574" s="2954"/>
      <c r="AE574" s="2954"/>
      <c r="AF574" s="2954"/>
      <c r="AG574" s="2954"/>
      <c r="AH574" s="2954"/>
      <c r="AI574" s="2954"/>
      <c r="AJ574" s="2954"/>
      <c r="AK574" s="2954"/>
      <c r="AL574" s="2954"/>
      <c r="AM574" s="2954"/>
      <c r="AN574" s="2954"/>
      <c r="AO574" s="2954"/>
      <c r="AP574" s="2954"/>
      <c r="AQ574" s="2954"/>
      <c r="AR574" s="2954"/>
      <c r="AS574" s="2954"/>
      <c r="AT574" s="2935"/>
      <c r="AU574" s="2964"/>
      <c r="AV574" s="857">
        <f t="shared" si="330"/>
        <v>0</v>
      </c>
      <c r="AW574" s="857">
        <f t="shared" si="331"/>
        <v>0</v>
      </c>
      <c r="AX574" s="857">
        <f t="shared" si="332"/>
        <v>0</v>
      </c>
      <c r="AY574" s="807">
        <f t="shared" si="333"/>
        <v>0</v>
      </c>
      <c r="AZ574" s="2934">
        <f t="shared" si="334"/>
        <v>0</v>
      </c>
      <c r="BA574" s="2934">
        <f t="shared" si="335"/>
        <v>0</v>
      </c>
      <c r="BB574" s="2934">
        <f t="shared" si="336"/>
        <v>0</v>
      </c>
      <c r="BC574" s="2934">
        <f t="shared" si="337"/>
        <v>0</v>
      </c>
      <c r="BD574" s="2934">
        <f t="shared" si="338"/>
        <v>0</v>
      </c>
      <c r="BE574" s="2934">
        <f t="shared" si="339"/>
        <v>0</v>
      </c>
      <c r="BF574" s="2934">
        <f t="shared" si="340"/>
        <v>0</v>
      </c>
      <c r="BG574" s="2934">
        <f t="shared" si="341"/>
        <v>0</v>
      </c>
      <c r="BH574" s="2934">
        <f t="shared" si="342"/>
        <v>0</v>
      </c>
      <c r="BI574" s="2934">
        <f t="shared" si="343"/>
        <v>0</v>
      </c>
      <c r="BJ574" s="2934">
        <f t="shared" si="344"/>
        <v>0</v>
      </c>
      <c r="BK574" s="2934">
        <f t="shared" si="345"/>
        <v>0</v>
      </c>
      <c r="BL574" s="2934">
        <f t="shared" si="346"/>
        <v>0</v>
      </c>
      <c r="BM574" s="2934">
        <f t="shared" si="347"/>
        <v>0</v>
      </c>
      <c r="BN574" s="2934">
        <f t="shared" si="348"/>
        <v>0</v>
      </c>
      <c r="BO574" s="2934">
        <f t="shared" si="349"/>
        <v>0</v>
      </c>
      <c r="BP574" s="2934">
        <f t="shared" si="350"/>
        <v>0</v>
      </c>
      <c r="BQ574" s="2934">
        <f t="shared" si="351"/>
        <v>0</v>
      </c>
      <c r="BR574" s="2934">
        <f t="shared" si="352"/>
        <v>0</v>
      </c>
      <c r="BS574" s="2934">
        <f t="shared" si="353"/>
        <v>0</v>
      </c>
      <c r="BT574" s="2982">
        <f t="shared" si="354"/>
        <v>0</v>
      </c>
    </row>
    <row r="575" spans="1:72">
      <c r="A575" s="874"/>
      <c r="B575" s="882"/>
      <c r="C575" s="882"/>
      <c r="D575" s="2933"/>
      <c r="E575" s="2934">
        <f t="shared" si="326"/>
        <v>0</v>
      </c>
      <c r="F575" s="2935"/>
      <c r="G575" s="2936">
        <f t="shared" si="327"/>
        <v>0</v>
      </c>
      <c r="H575" s="2937">
        <f t="shared" si="328"/>
        <v>0</v>
      </c>
      <c r="I575" s="2944"/>
      <c r="J575" s="2944"/>
      <c r="K575" s="2944"/>
      <c r="L575" s="2944"/>
      <c r="M575" s="2944"/>
      <c r="N575" s="2944"/>
      <c r="O575" s="2944"/>
      <c r="P575" s="2944"/>
      <c r="Q575" s="2944"/>
      <c r="R575" s="2944"/>
      <c r="S575" s="2944"/>
      <c r="T575" s="2944"/>
      <c r="U575" s="2944"/>
      <c r="V575" s="2944"/>
      <c r="W575" s="2944"/>
      <c r="X575" s="2944"/>
      <c r="Y575" s="2944"/>
      <c r="Z575" s="2944"/>
      <c r="AA575" s="2944"/>
      <c r="AB575" s="2944"/>
      <c r="AC575" s="2934">
        <f t="shared" si="329"/>
        <v>0</v>
      </c>
      <c r="AD575" s="2954"/>
      <c r="AE575" s="2954"/>
      <c r="AF575" s="2954"/>
      <c r="AG575" s="2954"/>
      <c r="AH575" s="2954"/>
      <c r="AI575" s="2954"/>
      <c r="AJ575" s="2954"/>
      <c r="AK575" s="2954"/>
      <c r="AL575" s="2954"/>
      <c r="AM575" s="2954"/>
      <c r="AN575" s="2954"/>
      <c r="AO575" s="2954"/>
      <c r="AP575" s="2954"/>
      <c r="AQ575" s="2954"/>
      <c r="AR575" s="2954"/>
      <c r="AS575" s="2954"/>
      <c r="AT575" s="2935"/>
      <c r="AU575" s="2964"/>
      <c r="AV575" s="857">
        <f t="shared" si="330"/>
        <v>0</v>
      </c>
      <c r="AW575" s="857">
        <f t="shared" si="331"/>
        <v>0</v>
      </c>
      <c r="AX575" s="857">
        <f t="shared" si="332"/>
        <v>0</v>
      </c>
      <c r="AY575" s="807">
        <f t="shared" si="333"/>
        <v>0</v>
      </c>
      <c r="AZ575" s="2934">
        <f t="shared" si="334"/>
        <v>0</v>
      </c>
      <c r="BA575" s="2934">
        <f t="shared" si="335"/>
        <v>0</v>
      </c>
      <c r="BB575" s="2934">
        <f t="shared" si="336"/>
        <v>0</v>
      </c>
      <c r="BC575" s="2934">
        <f t="shared" si="337"/>
        <v>0</v>
      </c>
      <c r="BD575" s="2934">
        <f t="shared" si="338"/>
        <v>0</v>
      </c>
      <c r="BE575" s="2934">
        <f t="shared" si="339"/>
        <v>0</v>
      </c>
      <c r="BF575" s="2934">
        <f t="shared" si="340"/>
        <v>0</v>
      </c>
      <c r="BG575" s="2934">
        <f t="shared" si="341"/>
        <v>0</v>
      </c>
      <c r="BH575" s="2934">
        <f t="shared" si="342"/>
        <v>0</v>
      </c>
      <c r="BI575" s="2934">
        <f t="shared" si="343"/>
        <v>0</v>
      </c>
      <c r="BJ575" s="2934">
        <f t="shared" si="344"/>
        <v>0</v>
      </c>
      <c r="BK575" s="2934">
        <f t="shared" si="345"/>
        <v>0</v>
      </c>
      <c r="BL575" s="2934">
        <f t="shared" si="346"/>
        <v>0</v>
      </c>
      <c r="BM575" s="2934">
        <f t="shared" si="347"/>
        <v>0</v>
      </c>
      <c r="BN575" s="2934">
        <f t="shared" si="348"/>
        <v>0</v>
      </c>
      <c r="BO575" s="2934">
        <f t="shared" si="349"/>
        <v>0</v>
      </c>
      <c r="BP575" s="2934">
        <f t="shared" si="350"/>
        <v>0</v>
      </c>
      <c r="BQ575" s="2934">
        <f t="shared" si="351"/>
        <v>0</v>
      </c>
      <c r="BR575" s="2934">
        <f t="shared" si="352"/>
        <v>0</v>
      </c>
      <c r="BS575" s="2934">
        <f t="shared" si="353"/>
        <v>0</v>
      </c>
      <c r="BT575" s="2982">
        <f t="shared" si="354"/>
        <v>0</v>
      </c>
    </row>
    <row r="576" spans="1:72">
      <c r="A576" s="874"/>
      <c r="B576" s="882"/>
      <c r="C576" s="882"/>
      <c r="D576" s="2933"/>
      <c r="E576" s="2934">
        <f t="shared" si="326"/>
        <v>0</v>
      </c>
      <c r="F576" s="2935"/>
      <c r="G576" s="2936">
        <f t="shared" si="327"/>
        <v>0</v>
      </c>
      <c r="H576" s="2937">
        <f t="shared" si="328"/>
        <v>0</v>
      </c>
      <c r="I576" s="2944"/>
      <c r="J576" s="2944"/>
      <c r="K576" s="2944"/>
      <c r="L576" s="2944"/>
      <c r="M576" s="2944"/>
      <c r="N576" s="2944"/>
      <c r="O576" s="2944"/>
      <c r="P576" s="2944"/>
      <c r="Q576" s="2944"/>
      <c r="R576" s="2944"/>
      <c r="S576" s="2944"/>
      <c r="T576" s="2944"/>
      <c r="U576" s="2944"/>
      <c r="V576" s="2944"/>
      <c r="W576" s="2944"/>
      <c r="X576" s="2944"/>
      <c r="Y576" s="2944"/>
      <c r="Z576" s="2944"/>
      <c r="AA576" s="2944"/>
      <c r="AB576" s="2944"/>
      <c r="AC576" s="2934">
        <f t="shared" si="329"/>
        <v>0</v>
      </c>
      <c r="AD576" s="2954"/>
      <c r="AE576" s="2954"/>
      <c r="AF576" s="2954"/>
      <c r="AG576" s="2954"/>
      <c r="AH576" s="2954"/>
      <c r="AI576" s="2954"/>
      <c r="AJ576" s="2954"/>
      <c r="AK576" s="2954"/>
      <c r="AL576" s="2954"/>
      <c r="AM576" s="2954"/>
      <c r="AN576" s="2954"/>
      <c r="AO576" s="2954"/>
      <c r="AP576" s="2954"/>
      <c r="AQ576" s="2954"/>
      <c r="AR576" s="2954"/>
      <c r="AS576" s="2954"/>
      <c r="AT576" s="2935"/>
      <c r="AU576" s="2964"/>
      <c r="AV576" s="857">
        <f t="shared" si="330"/>
        <v>0</v>
      </c>
      <c r="AW576" s="857">
        <f t="shared" si="331"/>
        <v>0</v>
      </c>
      <c r="AX576" s="857">
        <f t="shared" si="332"/>
        <v>0</v>
      </c>
      <c r="AY576" s="807">
        <f t="shared" si="333"/>
        <v>0</v>
      </c>
      <c r="AZ576" s="2934">
        <f t="shared" si="334"/>
        <v>0</v>
      </c>
      <c r="BA576" s="2934">
        <f t="shared" si="335"/>
        <v>0</v>
      </c>
      <c r="BB576" s="2934">
        <f t="shared" si="336"/>
        <v>0</v>
      </c>
      <c r="BC576" s="2934">
        <f t="shared" si="337"/>
        <v>0</v>
      </c>
      <c r="BD576" s="2934">
        <f t="shared" si="338"/>
        <v>0</v>
      </c>
      <c r="BE576" s="2934">
        <f t="shared" si="339"/>
        <v>0</v>
      </c>
      <c r="BF576" s="2934">
        <f t="shared" si="340"/>
        <v>0</v>
      </c>
      <c r="BG576" s="2934">
        <f t="shared" si="341"/>
        <v>0</v>
      </c>
      <c r="BH576" s="2934">
        <f t="shared" si="342"/>
        <v>0</v>
      </c>
      <c r="BI576" s="2934">
        <f t="shared" si="343"/>
        <v>0</v>
      </c>
      <c r="BJ576" s="2934">
        <f t="shared" si="344"/>
        <v>0</v>
      </c>
      <c r="BK576" s="2934">
        <f t="shared" si="345"/>
        <v>0</v>
      </c>
      <c r="BL576" s="2934">
        <f t="shared" si="346"/>
        <v>0</v>
      </c>
      <c r="BM576" s="2934">
        <f t="shared" si="347"/>
        <v>0</v>
      </c>
      <c r="BN576" s="2934">
        <f t="shared" si="348"/>
        <v>0</v>
      </c>
      <c r="BO576" s="2934">
        <f t="shared" si="349"/>
        <v>0</v>
      </c>
      <c r="BP576" s="2934">
        <f t="shared" si="350"/>
        <v>0</v>
      </c>
      <c r="BQ576" s="2934">
        <f t="shared" si="351"/>
        <v>0</v>
      </c>
      <c r="BR576" s="2934">
        <f t="shared" si="352"/>
        <v>0</v>
      </c>
      <c r="BS576" s="2934">
        <f t="shared" si="353"/>
        <v>0</v>
      </c>
      <c r="BT576" s="2982">
        <f t="shared" si="354"/>
        <v>0</v>
      </c>
    </row>
    <row r="577" spans="1:72">
      <c r="A577" s="874"/>
      <c r="B577" s="882"/>
      <c r="C577" s="882"/>
      <c r="D577" s="2933"/>
      <c r="E577" s="2934">
        <f t="shared" si="326"/>
        <v>0</v>
      </c>
      <c r="F577" s="2935"/>
      <c r="G577" s="2936">
        <f t="shared" si="327"/>
        <v>0</v>
      </c>
      <c r="H577" s="2937">
        <f t="shared" si="328"/>
        <v>0</v>
      </c>
      <c r="I577" s="2944"/>
      <c r="J577" s="2944"/>
      <c r="K577" s="2944"/>
      <c r="L577" s="2944"/>
      <c r="M577" s="2944"/>
      <c r="N577" s="2944"/>
      <c r="O577" s="2944"/>
      <c r="P577" s="2944"/>
      <c r="Q577" s="2944"/>
      <c r="R577" s="2944"/>
      <c r="S577" s="2944"/>
      <c r="T577" s="2944"/>
      <c r="U577" s="2944"/>
      <c r="V577" s="2944"/>
      <c r="W577" s="2944"/>
      <c r="X577" s="2944"/>
      <c r="Y577" s="2944"/>
      <c r="Z577" s="2944"/>
      <c r="AA577" s="2944"/>
      <c r="AB577" s="2944"/>
      <c r="AC577" s="2934">
        <f t="shared" si="329"/>
        <v>0</v>
      </c>
      <c r="AD577" s="2954"/>
      <c r="AE577" s="2954"/>
      <c r="AF577" s="2954"/>
      <c r="AG577" s="2954"/>
      <c r="AH577" s="2954"/>
      <c r="AI577" s="2954"/>
      <c r="AJ577" s="2954"/>
      <c r="AK577" s="2954"/>
      <c r="AL577" s="2954"/>
      <c r="AM577" s="2954"/>
      <c r="AN577" s="2954"/>
      <c r="AO577" s="2954"/>
      <c r="AP577" s="2954"/>
      <c r="AQ577" s="2954"/>
      <c r="AR577" s="2954"/>
      <c r="AS577" s="2954"/>
      <c r="AT577" s="2935"/>
      <c r="AU577" s="2964"/>
      <c r="AV577" s="857">
        <f t="shared" si="330"/>
        <v>0</v>
      </c>
      <c r="AW577" s="857">
        <f t="shared" si="331"/>
        <v>0</v>
      </c>
      <c r="AX577" s="857">
        <f t="shared" si="332"/>
        <v>0</v>
      </c>
      <c r="AY577" s="807">
        <f t="shared" si="333"/>
        <v>0</v>
      </c>
      <c r="AZ577" s="2934">
        <f t="shared" si="334"/>
        <v>0</v>
      </c>
      <c r="BA577" s="2934">
        <f t="shared" si="335"/>
        <v>0</v>
      </c>
      <c r="BB577" s="2934">
        <f t="shared" si="336"/>
        <v>0</v>
      </c>
      <c r="BC577" s="2934">
        <f t="shared" si="337"/>
        <v>0</v>
      </c>
      <c r="BD577" s="2934">
        <f t="shared" si="338"/>
        <v>0</v>
      </c>
      <c r="BE577" s="2934">
        <f t="shared" si="339"/>
        <v>0</v>
      </c>
      <c r="BF577" s="2934">
        <f t="shared" si="340"/>
        <v>0</v>
      </c>
      <c r="BG577" s="2934">
        <f t="shared" si="341"/>
        <v>0</v>
      </c>
      <c r="BH577" s="2934">
        <f t="shared" si="342"/>
        <v>0</v>
      </c>
      <c r="BI577" s="2934">
        <f t="shared" si="343"/>
        <v>0</v>
      </c>
      <c r="BJ577" s="2934">
        <f t="shared" si="344"/>
        <v>0</v>
      </c>
      <c r="BK577" s="2934">
        <f t="shared" si="345"/>
        <v>0</v>
      </c>
      <c r="BL577" s="2934">
        <f t="shared" si="346"/>
        <v>0</v>
      </c>
      <c r="BM577" s="2934">
        <f t="shared" si="347"/>
        <v>0</v>
      </c>
      <c r="BN577" s="2934">
        <f t="shared" si="348"/>
        <v>0</v>
      </c>
      <c r="BO577" s="2934">
        <f t="shared" si="349"/>
        <v>0</v>
      </c>
      <c r="BP577" s="2934">
        <f t="shared" si="350"/>
        <v>0</v>
      </c>
      <c r="BQ577" s="2934">
        <f t="shared" si="351"/>
        <v>0</v>
      </c>
      <c r="BR577" s="2934">
        <f t="shared" si="352"/>
        <v>0</v>
      </c>
      <c r="BS577" s="2934">
        <f t="shared" si="353"/>
        <v>0</v>
      </c>
      <c r="BT577" s="2982">
        <f t="shared" si="354"/>
        <v>0</v>
      </c>
    </row>
    <row r="578" spans="1:72">
      <c r="A578" s="874"/>
      <c r="B578" s="882"/>
      <c r="C578" s="882"/>
      <c r="D578" s="2933"/>
      <c r="E578" s="2934">
        <f t="shared" si="326"/>
        <v>0</v>
      </c>
      <c r="F578" s="2935"/>
      <c r="G578" s="2936">
        <f t="shared" si="327"/>
        <v>0</v>
      </c>
      <c r="H578" s="2937">
        <f t="shared" si="328"/>
        <v>0</v>
      </c>
      <c r="I578" s="2944"/>
      <c r="J578" s="2944"/>
      <c r="K578" s="2944"/>
      <c r="L578" s="2944"/>
      <c r="M578" s="2944"/>
      <c r="N578" s="2944"/>
      <c r="O578" s="2944"/>
      <c r="P578" s="2944"/>
      <c r="Q578" s="2944"/>
      <c r="R578" s="2944"/>
      <c r="S578" s="2944"/>
      <c r="T578" s="2944"/>
      <c r="U578" s="2944"/>
      <c r="V578" s="2944"/>
      <c r="W578" s="2944"/>
      <c r="X578" s="2944"/>
      <c r="Y578" s="2944"/>
      <c r="Z578" s="2944"/>
      <c r="AA578" s="2944"/>
      <c r="AB578" s="2944"/>
      <c r="AC578" s="2934">
        <f t="shared" si="329"/>
        <v>0</v>
      </c>
      <c r="AD578" s="2954"/>
      <c r="AE578" s="2954"/>
      <c r="AF578" s="2954"/>
      <c r="AG578" s="2954"/>
      <c r="AH578" s="2954"/>
      <c r="AI578" s="2954"/>
      <c r="AJ578" s="2954"/>
      <c r="AK578" s="2954"/>
      <c r="AL578" s="2954"/>
      <c r="AM578" s="2954"/>
      <c r="AN578" s="2954"/>
      <c r="AO578" s="2954"/>
      <c r="AP578" s="2954"/>
      <c r="AQ578" s="2954"/>
      <c r="AR578" s="2954"/>
      <c r="AS578" s="2954"/>
      <c r="AT578" s="2935"/>
      <c r="AU578" s="2964"/>
      <c r="AV578" s="857">
        <f t="shared" si="330"/>
        <v>0</v>
      </c>
      <c r="AW578" s="857">
        <f t="shared" si="331"/>
        <v>0</v>
      </c>
      <c r="AX578" s="857">
        <f t="shared" si="332"/>
        <v>0</v>
      </c>
      <c r="AY578" s="807">
        <f t="shared" si="333"/>
        <v>0</v>
      </c>
      <c r="AZ578" s="2934">
        <f t="shared" si="334"/>
        <v>0</v>
      </c>
      <c r="BA578" s="2934">
        <f t="shared" si="335"/>
        <v>0</v>
      </c>
      <c r="BB578" s="2934">
        <f t="shared" si="336"/>
        <v>0</v>
      </c>
      <c r="BC578" s="2934">
        <f t="shared" si="337"/>
        <v>0</v>
      </c>
      <c r="BD578" s="2934">
        <f t="shared" si="338"/>
        <v>0</v>
      </c>
      <c r="BE578" s="2934">
        <f t="shared" si="339"/>
        <v>0</v>
      </c>
      <c r="BF578" s="2934">
        <f t="shared" si="340"/>
        <v>0</v>
      </c>
      <c r="BG578" s="2934">
        <f t="shared" si="341"/>
        <v>0</v>
      </c>
      <c r="BH578" s="2934">
        <f t="shared" si="342"/>
        <v>0</v>
      </c>
      <c r="BI578" s="2934">
        <f t="shared" si="343"/>
        <v>0</v>
      </c>
      <c r="BJ578" s="2934">
        <f t="shared" si="344"/>
        <v>0</v>
      </c>
      <c r="BK578" s="2934">
        <f t="shared" si="345"/>
        <v>0</v>
      </c>
      <c r="BL578" s="2934">
        <f t="shared" si="346"/>
        <v>0</v>
      </c>
      <c r="BM578" s="2934">
        <f t="shared" si="347"/>
        <v>0</v>
      </c>
      <c r="BN578" s="2934">
        <f t="shared" si="348"/>
        <v>0</v>
      </c>
      <c r="BO578" s="2934">
        <f t="shared" si="349"/>
        <v>0</v>
      </c>
      <c r="BP578" s="2934">
        <f t="shared" si="350"/>
        <v>0</v>
      </c>
      <c r="BQ578" s="2934">
        <f t="shared" si="351"/>
        <v>0</v>
      </c>
      <c r="BR578" s="2934">
        <f t="shared" si="352"/>
        <v>0</v>
      </c>
      <c r="BS578" s="2934">
        <f t="shared" si="353"/>
        <v>0</v>
      </c>
      <c r="BT578" s="2982">
        <f t="shared" si="354"/>
        <v>0</v>
      </c>
    </row>
    <row r="579" spans="1:72">
      <c r="A579" s="874"/>
      <c r="B579" s="882"/>
      <c r="C579" s="882"/>
      <c r="D579" s="2933"/>
      <c r="E579" s="2934">
        <f t="shared" si="326"/>
        <v>0</v>
      </c>
      <c r="F579" s="2935"/>
      <c r="G579" s="2936">
        <f t="shared" si="327"/>
        <v>0</v>
      </c>
      <c r="H579" s="2937">
        <f t="shared" si="328"/>
        <v>0</v>
      </c>
      <c r="I579" s="2944"/>
      <c r="J579" s="2944"/>
      <c r="K579" s="2944"/>
      <c r="L579" s="2944"/>
      <c r="M579" s="2944"/>
      <c r="N579" s="2944"/>
      <c r="O579" s="2944"/>
      <c r="P579" s="2944"/>
      <c r="Q579" s="2944"/>
      <c r="R579" s="2944"/>
      <c r="S579" s="2944"/>
      <c r="T579" s="2944"/>
      <c r="U579" s="2944"/>
      <c r="V579" s="2944"/>
      <c r="W579" s="2944"/>
      <c r="X579" s="2944"/>
      <c r="Y579" s="2944"/>
      <c r="Z579" s="2944"/>
      <c r="AA579" s="2944"/>
      <c r="AB579" s="2944"/>
      <c r="AC579" s="2934">
        <f t="shared" si="329"/>
        <v>0</v>
      </c>
      <c r="AD579" s="2954"/>
      <c r="AE579" s="2954"/>
      <c r="AF579" s="2954"/>
      <c r="AG579" s="2954"/>
      <c r="AH579" s="2954"/>
      <c r="AI579" s="2954"/>
      <c r="AJ579" s="2954"/>
      <c r="AK579" s="2954"/>
      <c r="AL579" s="2954"/>
      <c r="AM579" s="2954"/>
      <c r="AN579" s="2954"/>
      <c r="AO579" s="2954"/>
      <c r="AP579" s="2954"/>
      <c r="AQ579" s="2954"/>
      <c r="AR579" s="2954"/>
      <c r="AS579" s="2954"/>
      <c r="AT579" s="2935"/>
      <c r="AU579" s="2964"/>
      <c r="AV579" s="857">
        <f t="shared" si="330"/>
        <v>0</v>
      </c>
      <c r="AW579" s="857">
        <f t="shared" si="331"/>
        <v>0</v>
      </c>
      <c r="AX579" s="857">
        <f t="shared" si="332"/>
        <v>0</v>
      </c>
      <c r="AY579" s="807">
        <f t="shared" si="333"/>
        <v>0</v>
      </c>
      <c r="AZ579" s="2934">
        <f t="shared" si="334"/>
        <v>0</v>
      </c>
      <c r="BA579" s="2934">
        <f t="shared" si="335"/>
        <v>0</v>
      </c>
      <c r="BB579" s="2934">
        <f t="shared" si="336"/>
        <v>0</v>
      </c>
      <c r="BC579" s="2934">
        <f t="shared" si="337"/>
        <v>0</v>
      </c>
      <c r="BD579" s="2934">
        <f t="shared" si="338"/>
        <v>0</v>
      </c>
      <c r="BE579" s="2934">
        <f t="shared" si="339"/>
        <v>0</v>
      </c>
      <c r="BF579" s="2934">
        <f t="shared" si="340"/>
        <v>0</v>
      </c>
      <c r="BG579" s="2934">
        <f t="shared" si="341"/>
        <v>0</v>
      </c>
      <c r="BH579" s="2934">
        <f t="shared" si="342"/>
        <v>0</v>
      </c>
      <c r="BI579" s="2934">
        <f t="shared" si="343"/>
        <v>0</v>
      </c>
      <c r="BJ579" s="2934">
        <f t="shared" si="344"/>
        <v>0</v>
      </c>
      <c r="BK579" s="2934">
        <f t="shared" si="345"/>
        <v>0</v>
      </c>
      <c r="BL579" s="2934">
        <f t="shared" si="346"/>
        <v>0</v>
      </c>
      <c r="BM579" s="2934">
        <f t="shared" si="347"/>
        <v>0</v>
      </c>
      <c r="BN579" s="2934">
        <f t="shared" si="348"/>
        <v>0</v>
      </c>
      <c r="BO579" s="2934">
        <f t="shared" si="349"/>
        <v>0</v>
      </c>
      <c r="BP579" s="2934">
        <f t="shared" si="350"/>
        <v>0</v>
      </c>
      <c r="BQ579" s="2934">
        <f t="shared" si="351"/>
        <v>0</v>
      </c>
      <c r="BR579" s="2934">
        <f t="shared" si="352"/>
        <v>0</v>
      </c>
      <c r="BS579" s="2934">
        <f t="shared" si="353"/>
        <v>0</v>
      </c>
      <c r="BT579" s="2982">
        <f t="shared" si="354"/>
        <v>0</v>
      </c>
    </row>
    <row r="580" spans="1:72">
      <c r="A580" s="874"/>
      <c r="B580" s="882"/>
      <c r="C580" s="882"/>
      <c r="D580" s="2933"/>
      <c r="E580" s="2934">
        <f t="shared" si="326"/>
        <v>0</v>
      </c>
      <c r="F580" s="2935"/>
      <c r="G580" s="2936">
        <f t="shared" si="327"/>
        <v>0</v>
      </c>
      <c r="H580" s="2937">
        <f t="shared" si="328"/>
        <v>0</v>
      </c>
      <c r="I580" s="2944"/>
      <c r="J580" s="2944"/>
      <c r="K580" s="2944"/>
      <c r="L580" s="2944"/>
      <c r="M580" s="2944"/>
      <c r="N580" s="2944"/>
      <c r="O580" s="2944"/>
      <c r="P580" s="2944"/>
      <c r="Q580" s="2944"/>
      <c r="R580" s="2944"/>
      <c r="S580" s="2944"/>
      <c r="T580" s="2944"/>
      <c r="U580" s="2944"/>
      <c r="V580" s="2944"/>
      <c r="W580" s="2944"/>
      <c r="X580" s="2944"/>
      <c r="Y580" s="2944"/>
      <c r="Z580" s="2944"/>
      <c r="AA580" s="2944"/>
      <c r="AB580" s="2944"/>
      <c r="AC580" s="2934">
        <f t="shared" si="329"/>
        <v>0</v>
      </c>
      <c r="AD580" s="2954"/>
      <c r="AE580" s="2954"/>
      <c r="AF580" s="2954"/>
      <c r="AG580" s="2954"/>
      <c r="AH580" s="2954"/>
      <c r="AI580" s="2954"/>
      <c r="AJ580" s="2954"/>
      <c r="AK580" s="2954"/>
      <c r="AL580" s="2954"/>
      <c r="AM580" s="2954"/>
      <c r="AN580" s="2954"/>
      <c r="AO580" s="2954"/>
      <c r="AP580" s="2954"/>
      <c r="AQ580" s="2954"/>
      <c r="AR580" s="2954"/>
      <c r="AS580" s="2954"/>
      <c r="AT580" s="2935"/>
      <c r="AU580" s="2964"/>
      <c r="AV580" s="857">
        <f t="shared" si="330"/>
        <v>0</v>
      </c>
      <c r="AW580" s="857">
        <f t="shared" si="331"/>
        <v>0</v>
      </c>
      <c r="AX580" s="857">
        <f t="shared" si="332"/>
        <v>0</v>
      </c>
      <c r="AY580" s="807">
        <f t="shared" si="333"/>
        <v>0</v>
      </c>
      <c r="AZ580" s="2934">
        <f t="shared" si="334"/>
        <v>0</v>
      </c>
      <c r="BA580" s="2934">
        <f t="shared" si="335"/>
        <v>0</v>
      </c>
      <c r="BB580" s="2934">
        <f t="shared" si="336"/>
        <v>0</v>
      </c>
      <c r="BC580" s="2934">
        <f t="shared" si="337"/>
        <v>0</v>
      </c>
      <c r="BD580" s="2934">
        <f t="shared" si="338"/>
        <v>0</v>
      </c>
      <c r="BE580" s="2934">
        <f t="shared" si="339"/>
        <v>0</v>
      </c>
      <c r="BF580" s="2934">
        <f t="shared" si="340"/>
        <v>0</v>
      </c>
      <c r="BG580" s="2934">
        <f t="shared" si="341"/>
        <v>0</v>
      </c>
      <c r="BH580" s="2934">
        <f t="shared" si="342"/>
        <v>0</v>
      </c>
      <c r="BI580" s="2934">
        <f t="shared" si="343"/>
        <v>0</v>
      </c>
      <c r="BJ580" s="2934">
        <f t="shared" si="344"/>
        <v>0</v>
      </c>
      <c r="BK580" s="2934">
        <f t="shared" si="345"/>
        <v>0</v>
      </c>
      <c r="BL580" s="2934">
        <f t="shared" si="346"/>
        <v>0</v>
      </c>
      <c r="BM580" s="2934">
        <f t="shared" si="347"/>
        <v>0</v>
      </c>
      <c r="BN580" s="2934">
        <f t="shared" si="348"/>
        <v>0</v>
      </c>
      <c r="BO580" s="2934">
        <f t="shared" si="349"/>
        <v>0</v>
      </c>
      <c r="BP580" s="2934">
        <f t="shared" si="350"/>
        <v>0</v>
      </c>
      <c r="BQ580" s="2934">
        <f t="shared" si="351"/>
        <v>0</v>
      </c>
      <c r="BR580" s="2934">
        <f t="shared" si="352"/>
        <v>0</v>
      </c>
      <c r="BS580" s="2934">
        <f t="shared" si="353"/>
        <v>0</v>
      </c>
      <c r="BT580" s="2982">
        <f t="shared" si="354"/>
        <v>0</v>
      </c>
    </row>
    <row r="581" spans="1:72">
      <c r="A581" s="874"/>
      <c r="B581" s="882"/>
      <c r="C581" s="882"/>
      <c r="D581" s="2933"/>
      <c r="E581" s="2934">
        <f t="shared" si="326"/>
        <v>0</v>
      </c>
      <c r="F581" s="2935"/>
      <c r="G581" s="2936">
        <f t="shared" si="327"/>
        <v>0</v>
      </c>
      <c r="H581" s="2937">
        <f t="shared" si="328"/>
        <v>0</v>
      </c>
      <c r="I581" s="2944"/>
      <c r="J581" s="2944"/>
      <c r="K581" s="2944"/>
      <c r="L581" s="2944"/>
      <c r="M581" s="2944"/>
      <c r="N581" s="2944"/>
      <c r="O581" s="2944"/>
      <c r="P581" s="2944"/>
      <c r="Q581" s="2944"/>
      <c r="R581" s="2944"/>
      <c r="S581" s="2944"/>
      <c r="T581" s="2944"/>
      <c r="U581" s="2944"/>
      <c r="V581" s="2944"/>
      <c r="W581" s="2944"/>
      <c r="X581" s="2944"/>
      <c r="Y581" s="2944"/>
      <c r="Z581" s="2944"/>
      <c r="AA581" s="2944"/>
      <c r="AB581" s="2944"/>
      <c r="AC581" s="2934">
        <f t="shared" si="329"/>
        <v>0</v>
      </c>
      <c r="AD581" s="2954"/>
      <c r="AE581" s="2954"/>
      <c r="AF581" s="2954"/>
      <c r="AG581" s="2954"/>
      <c r="AH581" s="2954"/>
      <c r="AI581" s="2954"/>
      <c r="AJ581" s="2954"/>
      <c r="AK581" s="2954"/>
      <c r="AL581" s="2954"/>
      <c r="AM581" s="2954"/>
      <c r="AN581" s="2954"/>
      <c r="AO581" s="2954"/>
      <c r="AP581" s="2954"/>
      <c r="AQ581" s="2954"/>
      <c r="AR581" s="2954"/>
      <c r="AS581" s="2954"/>
      <c r="AT581" s="2935"/>
      <c r="AU581" s="2964"/>
      <c r="AV581" s="857">
        <f t="shared" si="330"/>
        <v>0</v>
      </c>
      <c r="AW581" s="857">
        <f t="shared" si="331"/>
        <v>0</v>
      </c>
      <c r="AX581" s="857">
        <f t="shared" si="332"/>
        <v>0</v>
      </c>
      <c r="AY581" s="807">
        <f t="shared" si="333"/>
        <v>0</v>
      </c>
      <c r="AZ581" s="2934">
        <f t="shared" si="334"/>
        <v>0</v>
      </c>
      <c r="BA581" s="2934">
        <f t="shared" si="335"/>
        <v>0</v>
      </c>
      <c r="BB581" s="2934">
        <f t="shared" si="336"/>
        <v>0</v>
      </c>
      <c r="BC581" s="2934">
        <f t="shared" si="337"/>
        <v>0</v>
      </c>
      <c r="BD581" s="2934">
        <f t="shared" si="338"/>
        <v>0</v>
      </c>
      <c r="BE581" s="2934">
        <f t="shared" si="339"/>
        <v>0</v>
      </c>
      <c r="BF581" s="2934">
        <f t="shared" si="340"/>
        <v>0</v>
      </c>
      <c r="BG581" s="2934">
        <f t="shared" si="341"/>
        <v>0</v>
      </c>
      <c r="BH581" s="2934">
        <f t="shared" si="342"/>
        <v>0</v>
      </c>
      <c r="BI581" s="2934">
        <f t="shared" si="343"/>
        <v>0</v>
      </c>
      <c r="BJ581" s="2934">
        <f t="shared" si="344"/>
        <v>0</v>
      </c>
      <c r="BK581" s="2934">
        <f t="shared" si="345"/>
        <v>0</v>
      </c>
      <c r="BL581" s="2934">
        <f t="shared" si="346"/>
        <v>0</v>
      </c>
      <c r="BM581" s="2934">
        <f t="shared" si="347"/>
        <v>0</v>
      </c>
      <c r="BN581" s="2934">
        <f t="shared" si="348"/>
        <v>0</v>
      </c>
      <c r="BO581" s="2934">
        <f t="shared" si="349"/>
        <v>0</v>
      </c>
      <c r="BP581" s="2934">
        <f t="shared" si="350"/>
        <v>0</v>
      </c>
      <c r="BQ581" s="2934">
        <f t="shared" si="351"/>
        <v>0</v>
      </c>
      <c r="BR581" s="2934">
        <f t="shared" si="352"/>
        <v>0</v>
      </c>
      <c r="BS581" s="2934">
        <f t="shared" si="353"/>
        <v>0</v>
      </c>
      <c r="BT581" s="2982">
        <f t="shared" si="354"/>
        <v>0</v>
      </c>
    </row>
    <row r="582" spans="1:72">
      <c r="A582" s="874"/>
      <c r="B582" s="882"/>
      <c r="C582" s="882"/>
      <c r="D582" s="2933"/>
      <c r="E582" s="2934">
        <f t="shared" si="326"/>
        <v>0</v>
      </c>
      <c r="F582" s="2935"/>
      <c r="G582" s="2936">
        <f t="shared" si="327"/>
        <v>0</v>
      </c>
      <c r="H582" s="2937">
        <f t="shared" si="328"/>
        <v>0</v>
      </c>
      <c r="I582" s="2944"/>
      <c r="J582" s="2944"/>
      <c r="K582" s="2944"/>
      <c r="L582" s="2944"/>
      <c r="M582" s="2944"/>
      <c r="N582" s="2944"/>
      <c r="O582" s="2944"/>
      <c r="P582" s="2944"/>
      <c r="Q582" s="2944"/>
      <c r="R582" s="2944"/>
      <c r="S582" s="2944"/>
      <c r="T582" s="2944"/>
      <c r="U582" s="2944"/>
      <c r="V582" s="2944"/>
      <c r="W582" s="2944"/>
      <c r="X582" s="2944"/>
      <c r="Y582" s="2944"/>
      <c r="Z582" s="2944"/>
      <c r="AA582" s="2944"/>
      <c r="AB582" s="2944"/>
      <c r="AC582" s="2934">
        <f t="shared" si="329"/>
        <v>0</v>
      </c>
      <c r="AD582" s="2954"/>
      <c r="AE582" s="2954"/>
      <c r="AF582" s="2954"/>
      <c r="AG582" s="2954"/>
      <c r="AH582" s="2954"/>
      <c r="AI582" s="2954"/>
      <c r="AJ582" s="2954"/>
      <c r="AK582" s="2954"/>
      <c r="AL582" s="2954"/>
      <c r="AM582" s="2954"/>
      <c r="AN582" s="2954"/>
      <c r="AO582" s="2954"/>
      <c r="AP582" s="2954"/>
      <c r="AQ582" s="2954"/>
      <c r="AR582" s="2954"/>
      <c r="AS582" s="2954"/>
      <c r="AT582" s="2935"/>
      <c r="AU582" s="2964"/>
      <c r="AV582" s="857">
        <f t="shared" si="330"/>
        <v>0</v>
      </c>
      <c r="AW582" s="857">
        <f t="shared" si="331"/>
        <v>0</v>
      </c>
      <c r="AX582" s="857">
        <f t="shared" si="332"/>
        <v>0</v>
      </c>
      <c r="AY582" s="807">
        <f t="shared" si="333"/>
        <v>0</v>
      </c>
      <c r="AZ582" s="2934">
        <f t="shared" si="334"/>
        <v>0</v>
      </c>
      <c r="BA582" s="2934">
        <f t="shared" si="335"/>
        <v>0</v>
      </c>
      <c r="BB582" s="2934">
        <f t="shared" si="336"/>
        <v>0</v>
      </c>
      <c r="BC582" s="2934">
        <f t="shared" si="337"/>
        <v>0</v>
      </c>
      <c r="BD582" s="2934">
        <f t="shared" si="338"/>
        <v>0</v>
      </c>
      <c r="BE582" s="2934">
        <f t="shared" si="339"/>
        <v>0</v>
      </c>
      <c r="BF582" s="2934">
        <f t="shared" si="340"/>
        <v>0</v>
      </c>
      <c r="BG582" s="2934">
        <f t="shared" si="341"/>
        <v>0</v>
      </c>
      <c r="BH582" s="2934">
        <f t="shared" si="342"/>
        <v>0</v>
      </c>
      <c r="BI582" s="2934">
        <f t="shared" si="343"/>
        <v>0</v>
      </c>
      <c r="BJ582" s="2934">
        <f t="shared" si="344"/>
        <v>0</v>
      </c>
      <c r="BK582" s="2934">
        <f t="shared" si="345"/>
        <v>0</v>
      </c>
      <c r="BL582" s="2934">
        <f t="shared" si="346"/>
        <v>0</v>
      </c>
      <c r="BM582" s="2934">
        <f t="shared" si="347"/>
        <v>0</v>
      </c>
      <c r="BN582" s="2934">
        <f t="shared" si="348"/>
        <v>0</v>
      </c>
      <c r="BO582" s="2934">
        <f t="shared" si="349"/>
        <v>0</v>
      </c>
      <c r="BP582" s="2934">
        <f t="shared" si="350"/>
        <v>0</v>
      </c>
      <c r="BQ582" s="2934">
        <f t="shared" si="351"/>
        <v>0</v>
      </c>
      <c r="BR582" s="2934">
        <f t="shared" si="352"/>
        <v>0</v>
      </c>
      <c r="BS582" s="2934">
        <f t="shared" si="353"/>
        <v>0</v>
      </c>
      <c r="BT582" s="2982">
        <f t="shared" si="354"/>
        <v>0</v>
      </c>
    </row>
    <row r="583" spans="1:72">
      <c r="A583" s="874"/>
      <c r="B583" s="882"/>
      <c r="C583" s="882"/>
      <c r="D583" s="2933"/>
      <c r="E583" s="2934">
        <f t="shared" si="326"/>
        <v>0</v>
      </c>
      <c r="F583" s="2935"/>
      <c r="G583" s="2936">
        <f t="shared" si="327"/>
        <v>0</v>
      </c>
      <c r="H583" s="2937">
        <f t="shared" si="328"/>
        <v>0</v>
      </c>
      <c r="I583" s="2944"/>
      <c r="J583" s="2944"/>
      <c r="K583" s="2944"/>
      <c r="L583" s="2944"/>
      <c r="M583" s="2944"/>
      <c r="N583" s="2944"/>
      <c r="O583" s="2944"/>
      <c r="P583" s="2944"/>
      <c r="Q583" s="2944"/>
      <c r="R583" s="2944"/>
      <c r="S583" s="2944"/>
      <c r="T583" s="2944"/>
      <c r="U583" s="2944"/>
      <c r="V583" s="2944"/>
      <c r="W583" s="2944"/>
      <c r="X583" s="2944"/>
      <c r="Y583" s="2944"/>
      <c r="Z583" s="2944"/>
      <c r="AA583" s="2944"/>
      <c r="AB583" s="2944"/>
      <c r="AC583" s="2934">
        <f t="shared" si="329"/>
        <v>0</v>
      </c>
      <c r="AD583" s="2954"/>
      <c r="AE583" s="2954"/>
      <c r="AF583" s="2954"/>
      <c r="AG583" s="2954"/>
      <c r="AH583" s="2954"/>
      <c r="AI583" s="2954"/>
      <c r="AJ583" s="2954"/>
      <c r="AK583" s="2954"/>
      <c r="AL583" s="2954"/>
      <c r="AM583" s="2954"/>
      <c r="AN583" s="2954"/>
      <c r="AO583" s="2954"/>
      <c r="AP583" s="2954"/>
      <c r="AQ583" s="2954"/>
      <c r="AR583" s="2954"/>
      <c r="AS583" s="2954"/>
      <c r="AT583" s="2935"/>
      <c r="AU583" s="2964"/>
      <c r="AV583" s="857">
        <f t="shared" si="330"/>
        <v>0</v>
      </c>
      <c r="AW583" s="857">
        <f t="shared" si="331"/>
        <v>0</v>
      </c>
      <c r="AX583" s="857">
        <f t="shared" si="332"/>
        <v>0</v>
      </c>
      <c r="AY583" s="807">
        <f t="shared" si="333"/>
        <v>0</v>
      </c>
      <c r="AZ583" s="2934">
        <f t="shared" si="334"/>
        <v>0</v>
      </c>
      <c r="BA583" s="2934">
        <f t="shared" si="335"/>
        <v>0</v>
      </c>
      <c r="BB583" s="2934">
        <f t="shared" si="336"/>
        <v>0</v>
      </c>
      <c r="BC583" s="2934">
        <f t="shared" si="337"/>
        <v>0</v>
      </c>
      <c r="BD583" s="2934">
        <f t="shared" si="338"/>
        <v>0</v>
      </c>
      <c r="BE583" s="2934">
        <f t="shared" si="339"/>
        <v>0</v>
      </c>
      <c r="BF583" s="2934">
        <f t="shared" si="340"/>
        <v>0</v>
      </c>
      <c r="BG583" s="2934">
        <f t="shared" si="341"/>
        <v>0</v>
      </c>
      <c r="BH583" s="2934">
        <f t="shared" si="342"/>
        <v>0</v>
      </c>
      <c r="BI583" s="2934">
        <f t="shared" si="343"/>
        <v>0</v>
      </c>
      <c r="BJ583" s="2934">
        <f t="shared" si="344"/>
        <v>0</v>
      </c>
      <c r="BK583" s="2934">
        <f t="shared" si="345"/>
        <v>0</v>
      </c>
      <c r="BL583" s="2934">
        <f t="shared" si="346"/>
        <v>0</v>
      </c>
      <c r="BM583" s="2934">
        <f t="shared" si="347"/>
        <v>0</v>
      </c>
      <c r="BN583" s="2934">
        <f t="shared" si="348"/>
        <v>0</v>
      </c>
      <c r="BO583" s="2934">
        <f t="shared" si="349"/>
        <v>0</v>
      </c>
      <c r="BP583" s="2934">
        <f t="shared" si="350"/>
        <v>0</v>
      </c>
      <c r="BQ583" s="2934">
        <f t="shared" si="351"/>
        <v>0</v>
      </c>
      <c r="BR583" s="2934">
        <f t="shared" si="352"/>
        <v>0</v>
      </c>
      <c r="BS583" s="2934">
        <f t="shared" si="353"/>
        <v>0</v>
      </c>
      <c r="BT583" s="2982">
        <f t="shared" si="354"/>
        <v>0</v>
      </c>
    </row>
    <row r="584" spans="1:72">
      <c r="A584" s="874"/>
      <c r="B584" s="882"/>
      <c r="C584" s="882"/>
      <c r="D584" s="2933"/>
      <c r="E584" s="2934">
        <f t="shared" si="326"/>
        <v>0</v>
      </c>
      <c r="F584" s="2935"/>
      <c r="G584" s="2936">
        <f t="shared" si="327"/>
        <v>0</v>
      </c>
      <c r="H584" s="2937">
        <f t="shared" si="328"/>
        <v>0</v>
      </c>
      <c r="I584" s="2944"/>
      <c r="J584" s="2944"/>
      <c r="K584" s="2944"/>
      <c r="L584" s="2944"/>
      <c r="M584" s="2944"/>
      <c r="N584" s="2944"/>
      <c r="O584" s="2944"/>
      <c r="P584" s="2944"/>
      <c r="Q584" s="2944"/>
      <c r="R584" s="2944"/>
      <c r="S584" s="2944"/>
      <c r="T584" s="2944"/>
      <c r="U584" s="2944"/>
      <c r="V584" s="2944"/>
      <c r="W584" s="2944"/>
      <c r="X584" s="2944"/>
      <c r="Y584" s="2944"/>
      <c r="Z584" s="2944"/>
      <c r="AA584" s="2944"/>
      <c r="AB584" s="2944"/>
      <c r="AC584" s="2934">
        <f t="shared" si="329"/>
        <v>0</v>
      </c>
      <c r="AD584" s="2954"/>
      <c r="AE584" s="2954"/>
      <c r="AF584" s="2954"/>
      <c r="AG584" s="2954"/>
      <c r="AH584" s="2954"/>
      <c r="AI584" s="2954"/>
      <c r="AJ584" s="2954"/>
      <c r="AK584" s="2954"/>
      <c r="AL584" s="2954"/>
      <c r="AM584" s="2954"/>
      <c r="AN584" s="2954"/>
      <c r="AO584" s="2954"/>
      <c r="AP584" s="2954"/>
      <c r="AQ584" s="2954"/>
      <c r="AR584" s="2954"/>
      <c r="AS584" s="2954"/>
      <c r="AT584" s="2935"/>
      <c r="AU584" s="2964"/>
      <c r="AV584" s="857">
        <f t="shared" si="330"/>
        <v>0</v>
      </c>
      <c r="AW584" s="857">
        <f t="shared" si="331"/>
        <v>0</v>
      </c>
      <c r="AX584" s="857">
        <f t="shared" si="332"/>
        <v>0</v>
      </c>
      <c r="AY584" s="807">
        <f t="shared" si="333"/>
        <v>0</v>
      </c>
      <c r="AZ584" s="2934">
        <f t="shared" si="334"/>
        <v>0</v>
      </c>
      <c r="BA584" s="2934">
        <f t="shared" si="335"/>
        <v>0</v>
      </c>
      <c r="BB584" s="2934">
        <f t="shared" si="336"/>
        <v>0</v>
      </c>
      <c r="BC584" s="2934">
        <f t="shared" si="337"/>
        <v>0</v>
      </c>
      <c r="BD584" s="2934">
        <f t="shared" si="338"/>
        <v>0</v>
      </c>
      <c r="BE584" s="2934">
        <f t="shared" si="339"/>
        <v>0</v>
      </c>
      <c r="BF584" s="2934">
        <f t="shared" si="340"/>
        <v>0</v>
      </c>
      <c r="BG584" s="2934">
        <f t="shared" si="341"/>
        <v>0</v>
      </c>
      <c r="BH584" s="2934">
        <f t="shared" si="342"/>
        <v>0</v>
      </c>
      <c r="BI584" s="2934">
        <f t="shared" si="343"/>
        <v>0</v>
      </c>
      <c r="BJ584" s="2934">
        <f t="shared" si="344"/>
        <v>0</v>
      </c>
      <c r="BK584" s="2934">
        <f t="shared" si="345"/>
        <v>0</v>
      </c>
      <c r="BL584" s="2934">
        <f t="shared" si="346"/>
        <v>0</v>
      </c>
      <c r="BM584" s="2934">
        <f t="shared" si="347"/>
        <v>0</v>
      </c>
      <c r="BN584" s="2934">
        <f t="shared" si="348"/>
        <v>0</v>
      </c>
      <c r="BO584" s="2934">
        <f t="shared" si="349"/>
        <v>0</v>
      </c>
      <c r="BP584" s="2934">
        <f t="shared" si="350"/>
        <v>0</v>
      </c>
      <c r="BQ584" s="2934">
        <f t="shared" si="351"/>
        <v>0</v>
      </c>
      <c r="BR584" s="2934">
        <f t="shared" si="352"/>
        <v>0</v>
      </c>
      <c r="BS584" s="2934">
        <f t="shared" si="353"/>
        <v>0</v>
      </c>
      <c r="BT584" s="2982">
        <f t="shared" si="354"/>
        <v>0</v>
      </c>
    </row>
    <row r="585" spans="1:72">
      <c r="A585" s="874"/>
      <c r="B585" s="874"/>
      <c r="C585" s="874"/>
      <c r="D585" s="2933"/>
      <c r="E585" s="2934">
        <f t="shared" si="326"/>
        <v>0</v>
      </c>
      <c r="F585" s="2954"/>
      <c r="G585" s="2936">
        <f t="shared" si="327"/>
        <v>0</v>
      </c>
      <c r="H585" s="2937">
        <f t="shared" si="328"/>
        <v>0</v>
      </c>
      <c r="I585" s="2983"/>
      <c r="J585" s="2983"/>
      <c r="K585" s="2944"/>
      <c r="L585" s="2944"/>
      <c r="M585" s="2944"/>
      <c r="N585" s="2944"/>
      <c r="O585" s="2944"/>
      <c r="P585" s="2944"/>
      <c r="Q585" s="2944"/>
      <c r="R585" s="2944"/>
      <c r="S585" s="2944"/>
      <c r="T585" s="2944"/>
      <c r="U585" s="2944"/>
      <c r="V585" s="2944"/>
      <c r="W585" s="2944"/>
      <c r="X585" s="2944"/>
      <c r="Y585" s="2944"/>
      <c r="Z585" s="2944"/>
      <c r="AA585" s="2944"/>
      <c r="AB585" s="2944"/>
      <c r="AC585" s="2934">
        <f t="shared" si="329"/>
        <v>0</v>
      </c>
      <c r="AD585" s="2954"/>
      <c r="AE585" s="2954"/>
      <c r="AF585" s="2954"/>
      <c r="AG585" s="2954"/>
      <c r="AH585" s="2954"/>
      <c r="AI585" s="2954"/>
      <c r="AJ585" s="2954"/>
      <c r="AK585" s="2954"/>
      <c r="AL585" s="2954"/>
      <c r="AM585" s="2954"/>
      <c r="AN585" s="2954"/>
      <c r="AO585" s="2954"/>
      <c r="AP585" s="2954"/>
      <c r="AQ585" s="2954"/>
      <c r="AR585" s="2954"/>
      <c r="AS585" s="2954"/>
      <c r="AT585" s="2954"/>
      <c r="AU585" s="917"/>
      <c r="AV585" s="857">
        <f t="shared" si="330"/>
        <v>0</v>
      </c>
      <c r="AW585" s="857">
        <f t="shared" si="331"/>
        <v>0</v>
      </c>
      <c r="AX585" s="857">
        <f t="shared" si="332"/>
        <v>0</v>
      </c>
      <c r="AY585" s="807">
        <f t="shared" si="333"/>
        <v>0</v>
      </c>
      <c r="AZ585" s="2934">
        <f t="shared" si="334"/>
        <v>0</v>
      </c>
      <c r="BA585" s="2934">
        <f t="shared" si="335"/>
        <v>0</v>
      </c>
      <c r="BB585" s="2934">
        <f t="shared" si="336"/>
        <v>0</v>
      </c>
      <c r="BC585" s="2934">
        <f t="shared" si="337"/>
        <v>0</v>
      </c>
      <c r="BD585" s="2934">
        <f t="shared" si="338"/>
        <v>0</v>
      </c>
      <c r="BE585" s="2934">
        <f t="shared" si="339"/>
        <v>0</v>
      </c>
      <c r="BF585" s="2934">
        <f t="shared" si="340"/>
        <v>0</v>
      </c>
      <c r="BG585" s="2934">
        <f t="shared" si="341"/>
        <v>0</v>
      </c>
      <c r="BH585" s="2934">
        <f t="shared" si="342"/>
        <v>0</v>
      </c>
      <c r="BI585" s="2934">
        <f t="shared" si="343"/>
        <v>0</v>
      </c>
      <c r="BJ585" s="2934">
        <f t="shared" si="344"/>
        <v>0</v>
      </c>
      <c r="BK585" s="2934">
        <f t="shared" si="345"/>
        <v>0</v>
      </c>
      <c r="BL585" s="2934">
        <f t="shared" si="346"/>
        <v>0</v>
      </c>
      <c r="BM585" s="2934">
        <f t="shared" si="347"/>
        <v>0</v>
      </c>
      <c r="BN585" s="2934">
        <f t="shared" si="348"/>
        <v>0</v>
      </c>
      <c r="BO585" s="2934">
        <f t="shared" si="349"/>
        <v>0</v>
      </c>
      <c r="BP585" s="2934">
        <f t="shared" si="350"/>
        <v>0</v>
      </c>
      <c r="BQ585" s="2934">
        <f t="shared" si="351"/>
        <v>0</v>
      </c>
      <c r="BR585" s="2934">
        <f t="shared" si="352"/>
        <v>0</v>
      </c>
      <c r="BS585" s="2934">
        <f t="shared" si="353"/>
        <v>0</v>
      </c>
      <c r="BT585" s="2982">
        <f t="shared" si="354"/>
        <v>0</v>
      </c>
    </row>
    <row r="586" spans="1:72">
      <c r="A586" s="874"/>
      <c r="B586" s="874"/>
      <c r="C586" s="874"/>
      <c r="D586" s="2933"/>
      <c r="E586" s="2934">
        <f t="shared" si="326"/>
        <v>0</v>
      </c>
      <c r="F586" s="2954"/>
      <c r="G586" s="2936">
        <f t="shared" si="327"/>
        <v>0</v>
      </c>
      <c r="H586" s="2937">
        <f t="shared" si="328"/>
        <v>0</v>
      </c>
      <c r="I586" s="2944"/>
      <c r="J586" s="2944"/>
      <c r="K586" s="2944"/>
      <c r="L586" s="2944"/>
      <c r="M586" s="2944"/>
      <c r="N586" s="2944"/>
      <c r="O586" s="2944"/>
      <c r="P586" s="2944"/>
      <c r="Q586" s="2944"/>
      <c r="R586" s="2944"/>
      <c r="S586" s="2944"/>
      <c r="T586" s="2944"/>
      <c r="U586" s="2944"/>
      <c r="V586" s="2944"/>
      <c r="W586" s="2944"/>
      <c r="X586" s="2944"/>
      <c r="Y586" s="2944"/>
      <c r="Z586" s="2944"/>
      <c r="AA586" s="2944"/>
      <c r="AB586" s="2944"/>
      <c r="AC586" s="2934">
        <f t="shared" si="329"/>
        <v>0</v>
      </c>
      <c r="AD586" s="2954"/>
      <c r="AE586" s="2954"/>
      <c r="AF586" s="2954"/>
      <c r="AG586" s="2954"/>
      <c r="AH586" s="2954"/>
      <c r="AI586" s="2954"/>
      <c r="AJ586" s="2954"/>
      <c r="AK586" s="2954"/>
      <c r="AL586" s="2954"/>
      <c r="AM586" s="2954"/>
      <c r="AN586" s="2954"/>
      <c r="AO586" s="2954"/>
      <c r="AP586" s="2954"/>
      <c r="AQ586" s="2954"/>
      <c r="AR586" s="2954"/>
      <c r="AS586" s="2954"/>
      <c r="AT586" s="2954"/>
      <c r="AU586" s="917"/>
      <c r="AV586" s="857">
        <f t="shared" si="330"/>
        <v>0</v>
      </c>
      <c r="AW586" s="857">
        <f t="shared" si="331"/>
        <v>0</v>
      </c>
      <c r="AX586" s="857">
        <f t="shared" si="332"/>
        <v>0</v>
      </c>
      <c r="AY586" s="807">
        <f t="shared" si="333"/>
        <v>0</v>
      </c>
      <c r="AZ586" s="2934">
        <f t="shared" si="334"/>
        <v>0</v>
      </c>
      <c r="BA586" s="2934">
        <f t="shared" si="335"/>
        <v>0</v>
      </c>
      <c r="BB586" s="2934">
        <f t="shared" si="336"/>
        <v>0</v>
      </c>
      <c r="BC586" s="2934">
        <f t="shared" si="337"/>
        <v>0</v>
      </c>
      <c r="BD586" s="2934">
        <f t="shared" si="338"/>
        <v>0</v>
      </c>
      <c r="BE586" s="2934">
        <f t="shared" si="339"/>
        <v>0</v>
      </c>
      <c r="BF586" s="2934">
        <f t="shared" si="340"/>
        <v>0</v>
      </c>
      <c r="BG586" s="2934">
        <f t="shared" si="341"/>
        <v>0</v>
      </c>
      <c r="BH586" s="2934">
        <f t="shared" si="342"/>
        <v>0</v>
      </c>
      <c r="BI586" s="2934">
        <f t="shared" si="343"/>
        <v>0</v>
      </c>
      <c r="BJ586" s="2934">
        <f t="shared" si="344"/>
        <v>0</v>
      </c>
      <c r="BK586" s="2934">
        <f t="shared" si="345"/>
        <v>0</v>
      </c>
      <c r="BL586" s="2934">
        <f t="shared" si="346"/>
        <v>0</v>
      </c>
      <c r="BM586" s="2934">
        <f t="shared" si="347"/>
        <v>0</v>
      </c>
      <c r="BN586" s="2934">
        <f t="shared" si="348"/>
        <v>0</v>
      </c>
      <c r="BO586" s="2934">
        <f t="shared" si="349"/>
        <v>0</v>
      </c>
      <c r="BP586" s="2934">
        <f t="shared" si="350"/>
        <v>0</v>
      </c>
      <c r="BQ586" s="2934">
        <f t="shared" si="351"/>
        <v>0</v>
      </c>
      <c r="BR586" s="2934">
        <f t="shared" si="352"/>
        <v>0</v>
      </c>
      <c r="BS586" s="2934">
        <f t="shared" si="353"/>
        <v>0</v>
      </c>
      <c r="BT586" s="2982">
        <f t="shared" si="354"/>
        <v>0</v>
      </c>
    </row>
    <row r="587" spans="1:72">
      <c r="A587" s="874"/>
      <c r="B587" s="874"/>
      <c r="C587" s="874"/>
      <c r="D587" s="2933"/>
      <c r="E587" s="2934">
        <f t="shared" si="326"/>
        <v>0</v>
      </c>
      <c r="F587" s="2954"/>
      <c r="G587" s="2936">
        <f t="shared" si="327"/>
        <v>0</v>
      </c>
      <c r="H587" s="2937">
        <f t="shared" si="328"/>
        <v>0</v>
      </c>
      <c r="I587" s="2944"/>
      <c r="J587" s="2944"/>
      <c r="K587" s="2944"/>
      <c r="L587" s="2944"/>
      <c r="M587" s="2944"/>
      <c r="N587" s="2944"/>
      <c r="O587" s="2944"/>
      <c r="P587" s="2944"/>
      <c r="Q587" s="2944"/>
      <c r="R587" s="2944"/>
      <c r="S587" s="2944"/>
      <c r="T587" s="2944"/>
      <c r="U587" s="2944"/>
      <c r="V587" s="2944"/>
      <c r="W587" s="2944"/>
      <c r="X587" s="2944"/>
      <c r="Y587" s="2944"/>
      <c r="Z587" s="2944"/>
      <c r="AA587" s="2944"/>
      <c r="AB587" s="2944"/>
      <c r="AC587" s="2934">
        <f t="shared" si="329"/>
        <v>0</v>
      </c>
      <c r="AD587" s="2954"/>
      <c r="AE587" s="2954"/>
      <c r="AF587" s="2954"/>
      <c r="AG587" s="2954"/>
      <c r="AH587" s="2954"/>
      <c r="AI587" s="2954"/>
      <c r="AJ587" s="2954"/>
      <c r="AK587" s="2954"/>
      <c r="AL587" s="2954"/>
      <c r="AM587" s="2954"/>
      <c r="AN587" s="2954"/>
      <c r="AO587" s="2954"/>
      <c r="AP587" s="2954"/>
      <c r="AQ587" s="2954"/>
      <c r="AR587" s="2954"/>
      <c r="AS587" s="2954"/>
      <c r="AT587" s="2954"/>
      <c r="AU587" s="917"/>
      <c r="AV587" s="857">
        <f t="shared" si="330"/>
        <v>0</v>
      </c>
      <c r="AW587" s="857">
        <f t="shared" si="331"/>
        <v>0</v>
      </c>
      <c r="AX587" s="857">
        <f t="shared" si="332"/>
        <v>0</v>
      </c>
      <c r="AY587" s="807">
        <f t="shared" si="333"/>
        <v>0</v>
      </c>
      <c r="AZ587" s="2934">
        <f t="shared" si="334"/>
        <v>0</v>
      </c>
      <c r="BA587" s="2934">
        <f t="shared" si="335"/>
        <v>0</v>
      </c>
      <c r="BB587" s="2934">
        <f t="shared" si="336"/>
        <v>0</v>
      </c>
      <c r="BC587" s="2934">
        <f t="shared" si="337"/>
        <v>0</v>
      </c>
      <c r="BD587" s="2934">
        <f t="shared" si="338"/>
        <v>0</v>
      </c>
      <c r="BE587" s="2934">
        <f t="shared" si="339"/>
        <v>0</v>
      </c>
      <c r="BF587" s="2934">
        <f t="shared" si="340"/>
        <v>0</v>
      </c>
      <c r="BG587" s="2934">
        <f t="shared" si="341"/>
        <v>0</v>
      </c>
      <c r="BH587" s="2934">
        <f t="shared" si="342"/>
        <v>0</v>
      </c>
      <c r="BI587" s="2934">
        <f t="shared" si="343"/>
        <v>0</v>
      </c>
      <c r="BJ587" s="2934">
        <f t="shared" si="344"/>
        <v>0</v>
      </c>
      <c r="BK587" s="2934">
        <f t="shared" si="345"/>
        <v>0</v>
      </c>
      <c r="BL587" s="2934">
        <f t="shared" si="346"/>
        <v>0</v>
      </c>
      <c r="BM587" s="2934">
        <f t="shared" si="347"/>
        <v>0</v>
      </c>
      <c r="BN587" s="2934">
        <f t="shared" si="348"/>
        <v>0</v>
      </c>
      <c r="BO587" s="2934">
        <f t="shared" si="349"/>
        <v>0</v>
      </c>
      <c r="BP587" s="2934">
        <f t="shared" si="350"/>
        <v>0</v>
      </c>
      <c r="BQ587" s="2934">
        <f t="shared" si="351"/>
        <v>0</v>
      </c>
      <c r="BR587" s="2934">
        <f t="shared" si="352"/>
        <v>0</v>
      </c>
      <c r="BS587" s="2934">
        <f t="shared" si="353"/>
        <v>0</v>
      </c>
      <c r="BT587" s="2982">
        <f t="shared" si="354"/>
        <v>0</v>
      </c>
    </row>
    <row r="588" spans="1:72">
      <c r="E588" s="2984"/>
      <c r="F588" s="2984"/>
      <c r="H588" s="2984"/>
      <c r="I588" s="2984"/>
      <c r="J588" s="2984"/>
      <c r="K588" s="2984"/>
      <c r="L588" s="2984"/>
      <c r="M588" s="2984"/>
      <c r="N588" s="2984"/>
      <c r="O588" s="2984"/>
      <c r="P588" s="2984"/>
      <c r="Q588" s="2984"/>
      <c r="R588" s="2984"/>
      <c r="S588" s="2984"/>
      <c r="T588" s="2984"/>
      <c r="U588" s="2984"/>
      <c r="V588" s="2984"/>
      <c r="W588" s="2984"/>
      <c r="X588" s="2984"/>
      <c r="Y588" s="2984"/>
      <c r="Z588" s="2984"/>
      <c r="AA588" s="2984"/>
      <c r="AB588" s="2984"/>
      <c r="AC588" s="2984"/>
      <c r="AD588" s="2984"/>
      <c r="AE588" s="2984"/>
      <c r="AF588" s="2984"/>
      <c r="AG588" s="2984"/>
      <c r="AH588" s="2984"/>
      <c r="AI588" s="2984"/>
      <c r="AJ588" s="2984"/>
      <c r="AK588" s="2984"/>
      <c r="AL588" s="2984"/>
      <c r="AM588" s="2984"/>
      <c r="AN588" s="2984"/>
      <c r="AO588" s="2984"/>
      <c r="AP588" s="2984"/>
      <c r="AQ588" s="2984"/>
      <c r="AR588" s="2984"/>
      <c r="AS588" s="2984"/>
      <c r="AT588" s="2984"/>
    </row>
    <row r="589" spans="1:72" s="2908" customFormat="1">
      <c r="C589" s="2985"/>
      <c r="D589" s="2985"/>
    </row>
    <row r="590" spans="1:72" s="2908" customFormat="1">
      <c r="C590" s="2985"/>
      <c r="D590" s="2985"/>
    </row>
    <row r="593" spans="2:2">
      <c r="B593" s="2985"/>
    </row>
  </sheetData>
  <sheetProtection password="CEE9" sheet="1" objects="1" scenarios="1" formatCells="0" formatColumns="0" formatRows="0"/>
  <phoneticPr fontId="23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8"/>
  <sheetViews>
    <sheetView view="pageBreakPreview" zoomScaleNormal="100" zoomScaleSheetLayoutView="100" workbookViewId="0">
      <selection activeCell="I38" sqref="I38"/>
    </sheetView>
  </sheetViews>
  <sheetFormatPr defaultColWidth="9.25" defaultRowHeight="14.25"/>
  <cols>
    <col min="1" max="1" width="12.125" style="2604" customWidth="1"/>
    <col min="2" max="2" width="10.25" style="2604" customWidth="1"/>
    <col min="3" max="3" width="18.5" style="2604" customWidth="1"/>
    <col min="4" max="4" width="11.625" style="2604" customWidth="1"/>
    <col min="5" max="5" width="13.375" style="2604" customWidth="1"/>
    <col min="6" max="8" width="11.5" style="2604" customWidth="1"/>
    <col min="9" max="9" width="11.125" style="2604" customWidth="1"/>
    <col min="10" max="10" width="3.125" style="2604" customWidth="1"/>
    <col min="11" max="16" width="10" style="2604" customWidth="1"/>
    <col min="17" max="17" width="2.625" style="2604" customWidth="1"/>
    <col min="18" max="18" width="9.375" style="2604" customWidth="1"/>
    <col min="19" max="19" width="10.5" style="2604" customWidth="1"/>
    <col min="20" max="16384" width="9.25" style="2604"/>
  </cols>
  <sheetData>
    <row r="1" spans="1:16" ht="18.75">
      <c r="A1" s="2324" t="s">
        <v>572</v>
      </c>
      <c r="B1" s="2393"/>
      <c r="C1" s="2393"/>
      <c r="D1" s="2393"/>
      <c r="E1" s="2393"/>
      <c r="F1" s="2393"/>
      <c r="G1" s="2393"/>
      <c r="H1" s="2393"/>
      <c r="I1" s="2393"/>
      <c r="J1" s="2393"/>
      <c r="K1" s="2393"/>
      <c r="L1" s="2393"/>
      <c r="M1" s="2393"/>
      <c r="N1" s="2393"/>
      <c r="O1" s="2393"/>
      <c r="P1" s="2393"/>
    </row>
    <row r="2" spans="1:16" ht="15">
      <c r="A2" s="3369" t="s">
        <v>573</v>
      </c>
      <c r="B2" s="3369"/>
      <c r="C2" s="3369"/>
      <c r="D2" s="2247" t="s">
        <v>574</v>
      </c>
      <c r="E2" s="2844" t="s">
        <v>575</v>
      </c>
      <c r="F2" s="2703"/>
      <c r="G2" s="2845"/>
      <c r="H2" s="2846"/>
      <c r="I2" s="2535" t="s">
        <v>576</v>
      </c>
      <c r="J2" s="2703"/>
      <c r="K2" s="2703"/>
      <c r="L2" s="2703"/>
      <c r="M2" s="2703"/>
      <c r="N2" s="809"/>
      <c r="O2" s="2703"/>
      <c r="P2" s="2703"/>
    </row>
    <row r="3" spans="1:16" ht="15">
      <c r="A3" s="3370" t="s">
        <v>577</v>
      </c>
      <c r="B3" s="3370"/>
      <c r="C3" s="3370"/>
      <c r="D3" s="2847">
        <f>'数据-基础表'!AY6</f>
        <v>175003.3</v>
      </c>
      <c r="E3" s="2847">
        <f>'数据-基础表'!AZ5</f>
        <v>596993.59</v>
      </c>
      <c r="F3" s="2703"/>
      <c r="G3" s="2848"/>
      <c r="H3" s="2346" t="s">
        <v>578</v>
      </c>
      <c r="I3" s="1165">
        <f>ROUND('数据-基础表'!B3/'数据-基础表'!A3,2)</f>
        <v>3.41</v>
      </c>
      <c r="J3" s="2703"/>
      <c r="K3" s="2703"/>
      <c r="L3" s="2703"/>
      <c r="M3" s="2703"/>
      <c r="N3" s="809"/>
      <c r="O3" s="2703"/>
      <c r="P3" s="2703"/>
    </row>
    <row r="4" spans="1:16" ht="15">
      <c r="A4" s="3371"/>
      <c r="B4" s="3372"/>
      <c r="C4" s="3373"/>
      <c r="D4" s="2849" t="s">
        <v>574</v>
      </c>
      <c r="E4" s="2850" t="s">
        <v>575</v>
      </c>
      <c r="F4" s="2703"/>
      <c r="G4" s="2851" t="s">
        <v>579</v>
      </c>
      <c r="H4" s="2346" t="s">
        <v>580</v>
      </c>
      <c r="I4" s="1165">
        <f>ROUND(SUMIF('数据-基础表'!I9:AS9,"地上",'数据-基础表'!I5:AS5)/'数据-基础表'!A3,2)</f>
        <v>1.69</v>
      </c>
      <c r="J4" s="2703"/>
      <c r="K4" s="2703"/>
      <c r="L4" s="2703"/>
      <c r="M4" s="2703"/>
      <c r="N4" s="809"/>
      <c r="O4" s="2703"/>
      <c r="P4" s="2703"/>
    </row>
    <row r="5" spans="1:16">
      <c r="A5" s="2848" t="s">
        <v>581</v>
      </c>
      <c r="B5" s="3374" t="s">
        <v>582</v>
      </c>
      <c r="C5" s="3374"/>
      <c r="D5" s="2346">
        <f>ROUND($D$3*E5/$E$3,2)</f>
        <v>0</v>
      </c>
      <c r="E5" s="2852">
        <f>SUMIF('数据-基础表'!$11:$11,"住宅",'数据-基础表'!$5:$5)</f>
        <v>0</v>
      </c>
      <c r="F5" s="2703"/>
      <c r="G5" s="2848"/>
      <c r="H5" s="2346" t="s">
        <v>578</v>
      </c>
      <c r="I5" s="1165">
        <f>ROUND(E31/D31,2)</f>
        <v>3.41</v>
      </c>
      <c r="J5" s="2703"/>
      <c r="K5" s="2703"/>
      <c r="L5" s="2703"/>
      <c r="M5" s="2703"/>
      <c r="N5" s="2703"/>
      <c r="O5" s="2703"/>
      <c r="P5" s="2703"/>
    </row>
    <row r="6" spans="1:16">
      <c r="A6" s="2853"/>
      <c r="B6" s="3374" t="s">
        <v>583</v>
      </c>
      <c r="C6" s="3374"/>
      <c r="D6" s="2346">
        <f>ROUND($D$3*E6/$E$3,2)</f>
        <v>175003.3</v>
      </c>
      <c r="E6" s="2852">
        <f>E3-E5</f>
        <v>596993.59</v>
      </c>
      <c r="F6" s="2703"/>
      <c r="G6" s="2854" t="s">
        <v>584</v>
      </c>
      <c r="H6" s="2855" t="s">
        <v>580</v>
      </c>
      <c r="I6" s="2894">
        <f>ROUND(F31/D31,2)</f>
        <v>1.69</v>
      </c>
      <c r="J6" s="2703"/>
      <c r="K6" s="2703"/>
      <c r="L6" s="2703"/>
      <c r="M6" s="2703"/>
      <c r="N6" s="2703"/>
      <c r="O6" s="2703"/>
      <c r="P6" s="2703"/>
    </row>
    <row r="7" spans="1:16" ht="15">
      <c r="A7" s="3360"/>
      <c r="B7" s="3361"/>
      <c r="C7" s="3362"/>
      <c r="D7" s="2849" t="s">
        <v>574</v>
      </c>
      <c r="E7" s="2856" t="s">
        <v>585</v>
      </c>
      <c r="F7" s="2703"/>
      <c r="G7" s="2857" t="s">
        <v>586</v>
      </c>
      <c r="H7" s="2822"/>
      <c r="I7" s="2895"/>
      <c r="J7" s="2703"/>
      <c r="K7" s="2703"/>
      <c r="L7" s="2703"/>
      <c r="M7" s="2703"/>
      <c r="N7" s="2703"/>
      <c r="O7" s="2703"/>
      <c r="P7" s="2703"/>
    </row>
    <row r="8" spans="1:16">
      <c r="A8" s="2848" t="s">
        <v>587</v>
      </c>
      <c r="B8" s="2855" t="s">
        <v>588</v>
      </c>
      <c r="C8" s="2346" t="s">
        <v>589</v>
      </c>
      <c r="D8" s="2346">
        <f t="shared" ref="D8:D15" si="0">ROUND($D$3*E8/$E$3,2)</f>
        <v>83931.98</v>
      </c>
      <c r="E8" s="2858">
        <f>SUMIF('数据-基础表'!BB10:BK10,"地上",'数据-基础表'!BB5:BK5)</f>
        <v>286319.48</v>
      </c>
      <c r="F8" s="2703"/>
      <c r="G8" s="2703"/>
      <c r="H8" s="2703"/>
      <c r="I8" s="2703"/>
      <c r="J8" s="2703"/>
      <c r="K8" s="2703"/>
      <c r="L8" s="2703"/>
      <c r="M8" s="2703"/>
      <c r="N8" s="2703"/>
      <c r="O8" s="2703"/>
      <c r="P8" s="2703"/>
    </row>
    <row r="9" spans="1:16">
      <c r="A9" s="2854"/>
      <c r="B9" s="2859"/>
      <c r="C9" s="2346" t="s">
        <v>590</v>
      </c>
      <c r="D9" s="2346">
        <f t="shared" si="0"/>
        <v>0</v>
      </c>
      <c r="E9" s="2860">
        <v>0</v>
      </c>
      <c r="F9" s="2703"/>
      <c r="G9" s="2703"/>
      <c r="H9" s="2703"/>
      <c r="I9" s="2703"/>
      <c r="J9" s="2703"/>
      <c r="K9" s="2703"/>
      <c r="L9" s="2703"/>
      <c r="M9" s="2703"/>
      <c r="N9" s="2703"/>
      <c r="O9" s="2703"/>
      <c r="P9" s="2703"/>
    </row>
    <row r="10" spans="1:16">
      <c r="A10" s="2854"/>
      <c r="B10" s="2859"/>
      <c r="C10" s="2346" t="s">
        <v>591</v>
      </c>
      <c r="D10" s="2346">
        <f t="shared" si="0"/>
        <v>0</v>
      </c>
      <c r="E10" s="2858">
        <f>SUMPRODUCT(('数据-基础表'!BB10:BK10="地下")*('数据-基础表'!BB11:BK11="商业")*('数据-基础表'!BB5:BK5))</f>
        <v>0</v>
      </c>
      <c r="F10" s="2703"/>
      <c r="G10" s="2703"/>
      <c r="H10" s="2703"/>
      <c r="I10" s="2703"/>
      <c r="J10" s="2703"/>
      <c r="K10" s="2703"/>
      <c r="L10" s="2703"/>
      <c r="M10" s="2703"/>
      <c r="N10" s="2703"/>
      <c r="O10" s="2703"/>
      <c r="P10" s="2703"/>
    </row>
    <row r="11" spans="1:16">
      <c r="A11" s="2854"/>
      <c r="B11" s="2859"/>
      <c r="C11" s="2346" t="s">
        <v>592</v>
      </c>
      <c r="D11" s="2346">
        <f t="shared" si="0"/>
        <v>0</v>
      </c>
      <c r="E11" s="2858">
        <f>SUMPRODUCT(('数据-基础表'!BB10:BK10="地下")*('数据-基础表'!BB11:BK11="办公")*('数据-基础表'!BB5:BK5))+'数据-基础表'!BP5</f>
        <v>0</v>
      </c>
      <c r="F11" s="2703"/>
      <c r="G11" s="2703"/>
      <c r="H11" s="2703"/>
      <c r="I11" s="2703"/>
      <c r="J11" s="2703"/>
      <c r="K11" s="2703"/>
      <c r="L11" s="2703"/>
      <c r="M11" s="2703"/>
      <c r="N11" s="2703"/>
      <c r="O11" s="2703"/>
      <c r="P11" s="2703"/>
    </row>
    <row r="12" spans="1:16">
      <c r="A12" s="2854"/>
      <c r="B12" s="2859"/>
      <c r="C12" s="2346" t="s">
        <v>593</v>
      </c>
      <c r="D12" s="2346">
        <f t="shared" si="0"/>
        <v>0</v>
      </c>
      <c r="E12" s="2858">
        <f>SUMPRODUCT(('数据-基础表'!BB10:BK10="地下")*('数据-基础表'!BB11:BK11="仓储")*('数据-基础表'!BB5:BK5))</f>
        <v>0</v>
      </c>
      <c r="F12" s="2703"/>
      <c r="G12" s="2703"/>
      <c r="H12" s="2703"/>
      <c r="I12" s="2703"/>
      <c r="J12" s="2703"/>
      <c r="K12" s="2703"/>
      <c r="L12" s="2703"/>
      <c r="M12" s="2703"/>
      <c r="N12" s="2703"/>
      <c r="O12" s="2703"/>
      <c r="P12" s="2703"/>
    </row>
    <row r="13" spans="1:16">
      <c r="A13" s="2854"/>
      <c r="B13" s="2859"/>
      <c r="C13" s="2346" t="s">
        <v>594</v>
      </c>
      <c r="D13" s="2346">
        <f t="shared" si="0"/>
        <v>0</v>
      </c>
      <c r="E13" s="2858">
        <f>SUMPRODUCT(('数据-基础表'!BB10:BK10="地下")*('数据-基础表'!BB11:BK11="车库")*('数据-基础表'!BB5:BK5))</f>
        <v>0</v>
      </c>
      <c r="F13" s="2703"/>
      <c r="G13" s="2703"/>
      <c r="H13" s="2703"/>
      <c r="I13" s="2703"/>
      <c r="J13" s="2703"/>
      <c r="K13" s="2703"/>
      <c r="L13" s="2703"/>
      <c r="M13" s="2703"/>
      <c r="N13" s="2703"/>
      <c r="O13" s="2703"/>
      <c r="P13" s="2703"/>
    </row>
    <row r="14" spans="1:16">
      <c r="A14" s="2854"/>
      <c r="B14" s="2859"/>
      <c r="C14" s="2346" t="s">
        <v>595</v>
      </c>
      <c r="D14" s="2346">
        <f t="shared" si="0"/>
        <v>88339.79</v>
      </c>
      <c r="E14" s="2858">
        <f>SUMPRODUCT(('数据-基础表'!BB10:BK10="地下")*('数据-基础表'!BB11:BK11="车库—商业")*('数据-基础表'!BB5:BK5))</f>
        <v>301355.98</v>
      </c>
      <c r="F14" s="2703"/>
      <c r="G14" s="2703"/>
      <c r="H14" s="2703"/>
      <c r="I14" s="2703"/>
      <c r="J14" s="2703"/>
      <c r="K14" s="2703"/>
      <c r="L14" s="2703"/>
      <c r="M14" s="2703"/>
      <c r="N14" s="2703"/>
      <c r="O14" s="2703"/>
      <c r="P14" s="2703"/>
    </row>
    <row r="15" spans="1:16">
      <c r="A15" s="2854"/>
      <c r="B15" s="2859"/>
      <c r="C15" s="2346" t="s">
        <v>596</v>
      </c>
      <c r="D15" s="2346">
        <f t="shared" si="0"/>
        <v>0</v>
      </c>
      <c r="E15" s="2858">
        <f>SUMPRODUCT(('数据-基础表'!BB10:BK10="地下")*('数据-基础表'!BB11:BK11="车库—办公")*('数据-基础表'!BB5:BK5))</f>
        <v>0</v>
      </c>
      <c r="F15" s="2703"/>
      <c r="G15" s="2703"/>
      <c r="H15" s="2703"/>
      <c r="I15" s="2703"/>
      <c r="J15" s="2703"/>
      <c r="K15" s="2703"/>
      <c r="L15" s="2703"/>
      <c r="M15" s="2703"/>
      <c r="N15" s="2703"/>
      <c r="O15" s="2703"/>
      <c r="P15" s="2703"/>
    </row>
    <row r="16" spans="1:16" ht="15">
      <c r="A16" s="2853"/>
      <c r="B16" s="2859"/>
      <c r="C16" s="2855" t="s">
        <v>597</v>
      </c>
      <c r="D16" s="2855">
        <f>SUM(D8:D15)</f>
        <v>172271.77</v>
      </c>
      <c r="E16" s="2861">
        <f>SUM(E8:E15)</f>
        <v>587675.46</v>
      </c>
      <c r="F16" s="2703"/>
      <c r="G16" s="2703"/>
      <c r="H16" s="2862" t="s">
        <v>598</v>
      </c>
      <c r="I16" s="2896"/>
      <c r="J16" s="2393"/>
      <c r="K16" s="3363" t="s">
        <v>598</v>
      </c>
      <c r="L16" s="3364"/>
      <c r="M16" s="3364"/>
      <c r="N16" s="3364"/>
      <c r="O16" s="3364"/>
      <c r="P16" s="3365"/>
    </row>
    <row r="17" spans="1:19" ht="15">
      <c r="A17" s="2813" t="s">
        <v>599</v>
      </c>
      <c r="B17" s="2863" t="s">
        <v>600</v>
      </c>
      <c r="C17" s="2367" t="s">
        <v>601</v>
      </c>
      <c r="D17" s="2864" t="s">
        <v>574</v>
      </c>
      <c r="E17" s="2865" t="s">
        <v>575</v>
      </c>
      <c r="F17" s="2866"/>
      <c r="G17" s="2867"/>
      <c r="H17" s="2868" t="s">
        <v>602</v>
      </c>
      <c r="I17" s="2897" t="s">
        <v>603</v>
      </c>
      <c r="J17" s="2393"/>
      <c r="K17" s="3366" t="s">
        <v>604</v>
      </c>
      <c r="L17" s="3367"/>
      <c r="M17" s="3368"/>
      <c r="N17" s="3366" t="s">
        <v>605</v>
      </c>
      <c r="O17" s="3367"/>
      <c r="P17" s="3368"/>
      <c r="R17" s="2282" t="s">
        <v>606</v>
      </c>
      <c r="S17" s="2336"/>
    </row>
    <row r="18" spans="1:19" ht="15">
      <c r="A18" s="2854"/>
      <c r="B18" s="2869"/>
      <c r="C18" s="2339"/>
      <c r="D18" s="2870"/>
      <c r="E18" s="2871" t="s">
        <v>607</v>
      </c>
      <c r="F18" s="2872" t="s">
        <v>580</v>
      </c>
      <c r="G18" s="2873" t="s">
        <v>608</v>
      </c>
      <c r="H18" s="2817" t="s">
        <v>609</v>
      </c>
      <c r="I18" s="2898" t="s">
        <v>610</v>
      </c>
      <c r="J18" s="2393"/>
      <c r="K18" s="2817" t="s">
        <v>611</v>
      </c>
      <c r="L18" s="2548" t="s">
        <v>612</v>
      </c>
      <c r="M18" s="1165" t="s">
        <v>613</v>
      </c>
      <c r="N18" s="2817" t="s">
        <v>611</v>
      </c>
      <c r="O18" s="2548" t="s">
        <v>612</v>
      </c>
      <c r="P18" s="1165" t="s">
        <v>613</v>
      </c>
      <c r="R18" s="2346" t="s">
        <v>609</v>
      </c>
      <c r="S18" s="2346" t="s">
        <v>610</v>
      </c>
    </row>
    <row r="19" spans="1:19">
      <c r="A19" s="2874"/>
      <c r="B19" s="2855" t="s">
        <v>614</v>
      </c>
      <c r="C19" s="2875" t="s">
        <v>615</v>
      </c>
      <c r="D19" s="2346">
        <f>ROUND($D$3*E19/$E$3,2)</f>
        <v>172271.77</v>
      </c>
      <c r="E19" s="2876">
        <f t="shared" ref="E19:E26" si="1">SUM(F19:G19)</f>
        <v>587675.46</v>
      </c>
      <c r="F19" s="2877">
        <f>'数据-基础表'!I13+'数据-基础表'!K13+'数据-基础表'!M13+'数据-基础表'!O13+'数据-基础表'!I14+'数据-基础表'!K14+'数据-基础表'!M14</f>
        <v>286319.48000000004</v>
      </c>
      <c r="G19" s="2379">
        <f>'数据-基础表'!Q13+'数据-基础表'!Q14</f>
        <v>301355.98</v>
      </c>
      <c r="H19" s="2804">
        <f>ROUND($D$3*I19/$E$3,2)</f>
        <v>2731.53</v>
      </c>
      <c r="I19" s="2858">
        <f t="shared" ref="I19:I26" si="2">IF($I$17="自定义",P19,M19)</f>
        <v>9318.1299999999992</v>
      </c>
      <c r="J19" s="2393"/>
      <c r="K19" s="2804">
        <f t="shared" ref="K19:K26" si="3">ROUND(E$28*E19/E$27,2)</f>
        <v>9318.1299999999992</v>
      </c>
      <c r="L19" s="2346">
        <f t="shared" ref="L19:L26" si="4">ROUND(IF(COUNTIF(C19,"*住宅*")&gt;0,E$29*E19/E$32,0),2)</f>
        <v>0</v>
      </c>
      <c r="M19" s="2858">
        <f>K19+L19</f>
        <v>9318.1299999999992</v>
      </c>
      <c r="N19" s="2899"/>
      <c r="O19" s="2900"/>
      <c r="P19" s="2858">
        <f>N19+O19</f>
        <v>0</v>
      </c>
      <c r="R19" s="2346">
        <f t="shared" ref="R19:S26" si="5">D19+H19</f>
        <v>175003.3</v>
      </c>
      <c r="S19" s="2876">
        <f t="shared" si="5"/>
        <v>596993.59</v>
      </c>
    </row>
    <row r="20" spans="1:19">
      <c r="A20" s="2874"/>
      <c r="B20" s="2855" t="s">
        <v>614</v>
      </c>
      <c r="C20" s="2875"/>
      <c r="D20" s="2346">
        <f t="shared" ref="D20:D26" si="6">ROUND($D$3*E20/$E$3,2)</f>
        <v>0</v>
      </c>
      <c r="E20" s="2876">
        <f t="shared" si="1"/>
        <v>0</v>
      </c>
      <c r="F20" s="2877"/>
      <c r="G20" s="2379"/>
      <c r="H20" s="2804">
        <f t="shared" ref="H20:H26" si="7">ROUND($D$3*I20/$E$3,2)</f>
        <v>0</v>
      </c>
      <c r="I20" s="2858">
        <f t="shared" si="2"/>
        <v>0</v>
      </c>
      <c r="J20" s="2393"/>
      <c r="K20" s="2804">
        <f t="shared" si="3"/>
        <v>0</v>
      </c>
      <c r="L20" s="2346">
        <f t="shared" si="4"/>
        <v>0</v>
      </c>
      <c r="M20" s="2858">
        <f t="shared" ref="M20:M26" si="8">K20+L20</f>
        <v>0</v>
      </c>
      <c r="N20" s="2899"/>
      <c r="O20" s="2900"/>
      <c r="P20" s="2858">
        <f t="shared" ref="P20:P26" si="9">N20+O20</f>
        <v>0</v>
      </c>
      <c r="R20" s="2346">
        <f t="shared" si="5"/>
        <v>0</v>
      </c>
      <c r="S20" s="2876">
        <f t="shared" si="5"/>
        <v>0</v>
      </c>
    </row>
    <row r="21" spans="1:19">
      <c r="A21" s="2874"/>
      <c r="B21" s="2855" t="s">
        <v>614</v>
      </c>
      <c r="C21" s="2875"/>
      <c r="D21" s="2346">
        <f t="shared" si="6"/>
        <v>0</v>
      </c>
      <c r="E21" s="2876">
        <f t="shared" si="1"/>
        <v>0</v>
      </c>
      <c r="F21" s="2877"/>
      <c r="G21" s="2379"/>
      <c r="H21" s="2804">
        <f t="shared" si="7"/>
        <v>0</v>
      </c>
      <c r="I21" s="2858">
        <f t="shared" si="2"/>
        <v>0</v>
      </c>
      <c r="J21" s="2393"/>
      <c r="K21" s="2804">
        <f t="shared" si="3"/>
        <v>0</v>
      </c>
      <c r="L21" s="2346">
        <f t="shared" si="4"/>
        <v>0</v>
      </c>
      <c r="M21" s="2858">
        <f t="shared" si="8"/>
        <v>0</v>
      </c>
      <c r="N21" s="2899"/>
      <c r="O21" s="2900"/>
      <c r="P21" s="2858">
        <f t="shared" si="9"/>
        <v>0</v>
      </c>
      <c r="R21" s="2346">
        <f t="shared" si="5"/>
        <v>0</v>
      </c>
      <c r="S21" s="2876">
        <f t="shared" si="5"/>
        <v>0</v>
      </c>
    </row>
    <row r="22" spans="1:19">
      <c r="A22" s="2874"/>
      <c r="B22" s="2855" t="s">
        <v>614</v>
      </c>
      <c r="C22" s="2878"/>
      <c r="D22" s="2346">
        <f t="shared" si="6"/>
        <v>0</v>
      </c>
      <c r="E22" s="2876">
        <f t="shared" si="1"/>
        <v>0</v>
      </c>
      <c r="F22" s="2879"/>
      <c r="G22" s="2880"/>
      <c r="H22" s="2804">
        <f t="shared" si="7"/>
        <v>0</v>
      </c>
      <c r="I22" s="2858">
        <f t="shared" si="2"/>
        <v>0</v>
      </c>
      <c r="J22" s="2393"/>
      <c r="K22" s="2804">
        <f t="shared" si="3"/>
        <v>0</v>
      </c>
      <c r="L22" s="2346">
        <f t="shared" si="4"/>
        <v>0</v>
      </c>
      <c r="M22" s="2858">
        <f t="shared" si="8"/>
        <v>0</v>
      </c>
      <c r="N22" s="2899"/>
      <c r="O22" s="2900"/>
      <c r="P22" s="2858">
        <f t="shared" si="9"/>
        <v>0</v>
      </c>
      <c r="R22" s="2346">
        <f t="shared" si="5"/>
        <v>0</v>
      </c>
      <c r="S22" s="2876">
        <f t="shared" si="5"/>
        <v>0</v>
      </c>
    </row>
    <row r="23" spans="1:19">
      <c r="A23" s="2874"/>
      <c r="B23" s="2855" t="s">
        <v>614</v>
      </c>
      <c r="C23" s="2878"/>
      <c r="D23" s="2346">
        <f t="shared" si="6"/>
        <v>0</v>
      </c>
      <c r="E23" s="2876">
        <f t="shared" si="1"/>
        <v>0</v>
      </c>
      <c r="F23" s="2879"/>
      <c r="G23" s="2880"/>
      <c r="H23" s="2804">
        <f t="shared" si="7"/>
        <v>0</v>
      </c>
      <c r="I23" s="2858">
        <f t="shared" si="2"/>
        <v>0</v>
      </c>
      <c r="J23" s="2393"/>
      <c r="K23" s="2804">
        <f t="shared" si="3"/>
        <v>0</v>
      </c>
      <c r="L23" s="2346">
        <f t="shared" si="4"/>
        <v>0</v>
      </c>
      <c r="M23" s="2858">
        <f t="shared" si="8"/>
        <v>0</v>
      </c>
      <c r="N23" s="2899"/>
      <c r="O23" s="2900"/>
      <c r="P23" s="2858">
        <f t="shared" si="9"/>
        <v>0</v>
      </c>
      <c r="R23" s="2346">
        <f t="shared" si="5"/>
        <v>0</v>
      </c>
      <c r="S23" s="2876">
        <f t="shared" si="5"/>
        <v>0</v>
      </c>
    </row>
    <row r="24" spans="1:19">
      <c r="A24" s="2874"/>
      <c r="B24" s="2855" t="s">
        <v>614</v>
      </c>
      <c r="C24" s="2878"/>
      <c r="D24" s="2346">
        <f t="shared" si="6"/>
        <v>0</v>
      </c>
      <c r="E24" s="2876">
        <f t="shared" si="1"/>
        <v>0</v>
      </c>
      <c r="F24" s="2879"/>
      <c r="G24" s="2880"/>
      <c r="H24" s="2804">
        <f t="shared" si="7"/>
        <v>0</v>
      </c>
      <c r="I24" s="2858">
        <f t="shared" si="2"/>
        <v>0</v>
      </c>
      <c r="J24" s="2393"/>
      <c r="K24" s="2804">
        <f t="shared" si="3"/>
        <v>0</v>
      </c>
      <c r="L24" s="2346">
        <f t="shared" si="4"/>
        <v>0</v>
      </c>
      <c r="M24" s="2858">
        <f t="shared" si="8"/>
        <v>0</v>
      </c>
      <c r="N24" s="2899"/>
      <c r="O24" s="2900"/>
      <c r="P24" s="2858">
        <f t="shared" si="9"/>
        <v>0</v>
      </c>
      <c r="R24" s="2346">
        <f t="shared" si="5"/>
        <v>0</v>
      </c>
      <c r="S24" s="2876">
        <f t="shared" si="5"/>
        <v>0</v>
      </c>
    </row>
    <row r="25" spans="1:19">
      <c r="A25" s="2874"/>
      <c r="B25" s="2855" t="s">
        <v>614</v>
      </c>
      <c r="C25" s="2878"/>
      <c r="D25" s="2346">
        <f t="shared" si="6"/>
        <v>0</v>
      </c>
      <c r="E25" s="2876">
        <f t="shared" si="1"/>
        <v>0</v>
      </c>
      <c r="F25" s="2879"/>
      <c r="G25" s="2880"/>
      <c r="H25" s="2848">
        <f t="shared" si="7"/>
        <v>0</v>
      </c>
      <c r="I25" s="2858">
        <f t="shared" si="2"/>
        <v>0</v>
      </c>
      <c r="J25" s="2393"/>
      <c r="K25" s="2804">
        <f t="shared" si="3"/>
        <v>0</v>
      </c>
      <c r="L25" s="2346">
        <f t="shared" si="4"/>
        <v>0</v>
      </c>
      <c r="M25" s="2858">
        <f t="shared" si="8"/>
        <v>0</v>
      </c>
      <c r="N25" s="2899"/>
      <c r="O25" s="2900"/>
      <c r="P25" s="2858">
        <f t="shared" si="9"/>
        <v>0</v>
      </c>
      <c r="R25" s="2346">
        <f t="shared" si="5"/>
        <v>0</v>
      </c>
      <c r="S25" s="2876">
        <f t="shared" si="5"/>
        <v>0</v>
      </c>
    </row>
    <row r="26" spans="1:19">
      <c r="A26" s="2874"/>
      <c r="B26" s="2855" t="s">
        <v>614</v>
      </c>
      <c r="C26" s="2881"/>
      <c r="D26" s="2346">
        <f t="shared" si="6"/>
        <v>0</v>
      </c>
      <c r="E26" s="2876">
        <f t="shared" si="1"/>
        <v>0</v>
      </c>
      <c r="F26" s="2879"/>
      <c r="G26" s="2880"/>
      <c r="H26" s="2848">
        <f t="shared" si="7"/>
        <v>0</v>
      </c>
      <c r="I26" s="2858">
        <f t="shared" si="2"/>
        <v>0</v>
      </c>
      <c r="J26" s="2393"/>
      <c r="K26" s="2848">
        <f t="shared" si="3"/>
        <v>0</v>
      </c>
      <c r="L26" s="2855">
        <f t="shared" si="4"/>
        <v>0</v>
      </c>
      <c r="M26" s="2861">
        <f t="shared" si="8"/>
        <v>0</v>
      </c>
      <c r="N26" s="2901"/>
      <c r="O26" s="2902"/>
      <c r="P26" s="2861">
        <f t="shared" si="9"/>
        <v>0</v>
      </c>
      <c r="R26" s="2346">
        <f t="shared" si="5"/>
        <v>0</v>
      </c>
      <c r="S26" s="2876">
        <f t="shared" si="5"/>
        <v>0</v>
      </c>
    </row>
    <row r="27" spans="1:19" ht="15">
      <c r="A27" s="2874"/>
      <c r="B27" s="2346"/>
      <c r="C27" s="2538" t="s">
        <v>616</v>
      </c>
      <c r="D27" s="2882">
        <f>SUM(D19:D26)</f>
        <v>172271.77</v>
      </c>
      <c r="E27" s="2883">
        <f>IF(SUM(E19:E26)='数据-基础表'!BA5,SUM(E19:E26),IF(F27="地上面积有误","面积有误","地下面积有误"))</f>
        <v>587675.46</v>
      </c>
      <c r="F27" s="2882">
        <f>IF(SUM(F19:F26)=E8,SUM(F19:F26),"地上面积有误")</f>
        <v>286319.48000000004</v>
      </c>
      <c r="G27" s="2884">
        <f>SUM(G19:G26)</f>
        <v>301355.98</v>
      </c>
      <c r="H27" s="2885">
        <f>SUM(H19:H26)</f>
        <v>2731.53</v>
      </c>
      <c r="I27" s="2903">
        <f>SUM(I19:I26)</f>
        <v>9318.1299999999992</v>
      </c>
      <c r="J27" s="2393"/>
      <c r="K27" s="2904">
        <f>SUM(K19:K26)</f>
        <v>9318.1299999999992</v>
      </c>
      <c r="L27" s="2289">
        <f>SUM(L19:L26)</f>
        <v>0</v>
      </c>
      <c r="M27" s="2905">
        <f>SUM(M19:M26)</f>
        <v>9318.1299999999992</v>
      </c>
      <c r="N27" s="2904">
        <f t="shared" ref="N27:P27" si="10">SUM(N19:N26)</f>
        <v>0</v>
      </c>
      <c r="O27" s="2289">
        <f t="shared" si="10"/>
        <v>0</v>
      </c>
      <c r="P27" s="2821">
        <f t="shared" si="10"/>
        <v>0</v>
      </c>
      <c r="R27" s="2838">
        <f>IF(SUM(R19:R26)=$D$3,SUM(R19:R26),SUM(R19:R26)&amp;"误差"&amp;ROUND(SUM(R19:R26)-$D$3,2))</f>
        <v>175003.3</v>
      </c>
      <c r="S27" s="2346">
        <f>IF(SUM(S19:S26)=$E$3,SUM(S19:S26),SUM(S19:S26)&amp;"误差"&amp;ROUND(SUM(S19:S26)-E3,2))</f>
        <v>596993.59</v>
      </c>
    </row>
    <row r="28" spans="1:19">
      <c r="A28" s="2874"/>
      <c r="B28" s="2855" t="s">
        <v>617</v>
      </c>
      <c r="C28" s="2336" t="s">
        <v>618</v>
      </c>
      <c r="D28" s="2346">
        <f>ROUND($D$3*E28/$E$3,2)</f>
        <v>2731.53</v>
      </c>
      <c r="E28" s="2876">
        <f>SUM(F28:G28)</f>
        <v>9318.1299999999756</v>
      </c>
      <c r="F28" s="2336">
        <f>'数据-基础表'!BQ5+'数据-基础表'!BS5</f>
        <v>9318.1299999999756</v>
      </c>
      <c r="G28" s="2306">
        <f>'数据-基础表'!BR5+'数据-基础表'!BT5</f>
        <v>0</v>
      </c>
      <c r="H28" s="2703"/>
      <c r="I28" s="2703"/>
      <c r="J28" s="2703"/>
      <c r="K28" s="2703"/>
      <c r="L28" s="2703"/>
      <c r="M28" s="2703"/>
      <c r="N28" s="2703"/>
      <c r="O28" s="2703"/>
      <c r="P28" s="2703"/>
    </row>
    <row r="29" spans="1:19">
      <c r="A29" s="2874"/>
      <c r="B29" s="2855" t="s">
        <v>617</v>
      </c>
      <c r="C29" s="2391" t="s">
        <v>619</v>
      </c>
      <c r="D29" s="2346">
        <f>ROUND($D$3*E29/$E$3,2)</f>
        <v>0</v>
      </c>
      <c r="E29" s="2876">
        <f>SUM(F29:G29)</f>
        <v>0</v>
      </c>
      <c r="F29" s="2886">
        <f>'数据-基础表'!BM5+'数据-基础表'!BO5</f>
        <v>0</v>
      </c>
      <c r="G29" s="2861">
        <f>'数据-基础表'!BN5+'数据-基础表'!BP5</f>
        <v>0</v>
      </c>
      <c r="H29" s="2703"/>
      <c r="I29" s="2703"/>
      <c r="J29" s="2703"/>
      <c r="K29" s="2703"/>
      <c r="L29" s="2703"/>
      <c r="M29" s="2703"/>
      <c r="N29" s="2703"/>
      <c r="O29" s="2703"/>
      <c r="P29" s="2703"/>
    </row>
    <row r="30" spans="1:19" ht="15">
      <c r="A30" s="2874"/>
      <c r="B30" s="2855"/>
      <c r="C30" s="2887" t="s">
        <v>616</v>
      </c>
      <c r="D30" s="2882">
        <f>SUM(D28:D29)</f>
        <v>2731.53</v>
      </c>
      <c r="E30" s="2882">
        <f>SUM(E28:E29)</f>
        <v>9318.1299999999756</v>
      </c>
      <c r="F30" s="2882">
        <f>SUM(F28:F29)</f>
        <v>9318.1299999999756</v>
      </c>
      <c r="G30" s="2884">
        <f>SUM(G28:G29)</f>
        <v>0</v>
      </c>
      <c r="H30" s="2703"/>
      <c r="I30" s="2703"/>
      <c r="J30" s="2703"/>
      <c r="K30" s="2703"/>
      <c r="L30" s="2703"/>
      <c r="M30" s="2703"/>
      <c r="N30" s="2703"/>
      <c r="O30" s="2703"/>
      <c r="P30" s="2703"/>
    </row>
    <row r="31" spans="1:19" ht="15">
      <c r="A31" s="2888"/>
      <c r="B31" s="2812"/>
      <c r="C31" s="2289" t="s">
        <v>620</v>
      </c>
      <c r="D31" s="2889">
        <f>D27+D30</f>
        <v>175003.3</v>
      </c>
      <c r="E31" s="2889">
        <f>E27+E30</f>
        <v>596993.59</v>
      </c>
      <c r="F31" s="2890">
        <f>F27+F30</f>
        <v>295637.61</v>
      </c>
      <c r="G31" s="2891">
        <f>G27+G30</f>
        <v>301355.98</v>
      </c>
      <c r="H31" s="2703"/>
      <c r="I31" s="2703"/>
      <c r="J31" s="2703"/>
      <c r="K31" s="2703"/>
      <c r="L31" s="2703"/>
      <c r="M31" s="2703"/>
      <c r="N31" s="2703"/>
      <c r="O31" s="2703"/>
      <c r="P31" s="2703"/>
    </row>
    <row r="32" spans="1:19">
      <c r="A32" s="2869"/>
      <c r="B32" s="2869" t="s">
        <v>621</v>
      </c>
      <c r="C32" s="2869"/>
      <c r="D32" s="2869"/>
      <c r="E32" s="2892">
        <f>SUMIF(C19:C26,"*住宅*",E19:E26)</f>
        <v>0</v>
      </c>
      <c r="F32" s="2869"/>
      <c r="G32" s="2869"/>
      <c r="H32" s="2703"/>
      <c r="I32" s="2703"/>
      <c r="J32" s="2703"/>
      <c r="K32" s="2703"/>
      <c r="L32" s="2703"/>
      <c r="M32" s="2703"/>
      <c r="N32" s="2703"/>
      <c r="O32" s="2703"/>
      <c r="P32" s="2703"/>
    </row>
    <row r="33" spans="4:7">
      <c r="D33" s="2893"/>
    </row>
    <row r="34" spans="4:7">
      <c r="F34" s="2604">
        <f ca="1">结果表!C104/'数据-汇总表'!F31</f>
        <v>3.7609524715072622</v>
      </c>
    </row>
    <row r="36" spans="4:7">
      <c r="E36" s="3287">
        <f>F31</f>
        <v>295637.61</v>
      </c>
      <c r="F36" s="2604">
        <v>3.2</v>
      </c>
      <c r="G36" s="2604">
        <f>E36*F36</f>
        <v>946040.35199999996</v>
      </c>
    </row>
    <row r="37" spans="4:7">
      <c r="E37" s="3287">
        <f>G31</f>
        <v>301355.98</v>
      </c>
      <c r="F37" s="2604">
        <v>0.6</v>
      </c>
      <c r="G37" s="2604">
        <f>E37*F37</f>
        <v>180813.58799999999</v>
      </c>
    </row>
    <row r="38" spans="4:7">
      <c r="G38" s="2604">
        <f>G36+G37</f>
        <v>1126853.94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L7" sqref="L7"/>
    </sheetView>
  </sheetViews>
  <sheetFormatPr defaultColWidth="13.75" defaultRowHeight="12.75"/>
  <cols>
    <col min="1" max="1" width="20.875" style="2667" customWidth="1"/>
    <col min="2" max="2" width="12" style="2323" customWidth="1"/>
    <col min="3" max="3" width="12.75" style="2323" customWidth="1"/>
    <col min="4" max="4" width="9.125" style="2668" customWidth="1"/>
    <col min="5" max="5" width="15" style="2323" customWidth="1"/>
    <col min="6" max="10" width="8.875" style="2323" customWidth="1"/>
    <col min="11" max="12" width="12.375" style="2669" customWidth="1"/>
    <col min="13" max="13" width="8.625" style="2323" customWidth="1"/>
    <col min="14" max="14" width="11.875" style="2323" customWidth="1"/>
    <col min="15" max="15" width="8.5" style="2323" customWidth="1"/>
    <col min="16" max="17" width="10.875" style="2323" customWidth="1"/>
    <col min="18" max="19" width="12.5" style="2323" customWidth="1"/>
    <col min="20" max="20" width="12.125" style="2323" customWidth="1"/>
    <col min="21" max="21" width="7.5" style="2323" customWidth="1"/>
    <col min="22" max="22" width="6.375" style="2323" customWidth="1"/>
    <col min="23" max="30" width="6.75" style="2323" customWidth="1"/>
    <col min="31" max="31" width="8" style="2323" customWidth="1"/>
    <col min="32" max="34" width="7.25" style="2323" customWidth="1"/>
    <col min="35" max="39" width="8" style="2323" customWidth="1"/>
    <col min="40" max="40" width="13.75" style="516"/>
    <col min="41" max="41" width="11.625" style="516" customWidth="1"/>
    <col min="42" max="42" width="9.75" style="516" customWidth="1"/>
    <col min="43" max="67" width="13.75" style="516"/>
    <col min="68" max="16384" width="13.75" style="2323"/>
  </cols>
  <sheetData>
    <row r="1" spans="1:67" ht="18.75">
      <c r="A1" s="2670" t="s">
        <v>622</v>
      </c>
      <c r="B1" s="1640"/>
      <c r="C1" s="560"/>
      <c r="D1" s="2671"/>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230"/>
      <c r="AO1" s="2230"/>
      <c r="AP1" s="2230"/>
      <c r="AQ1" s="2230"/>
      <c r="AR1" s="2230"/>
    </row>
    <row r="2" spans="1:67" s="2665" customFormat="1" ht="15">
      <c r="A2" s="2672" t="s">
        <v>623</v>
      </c>
      <c r="B2" s="2673">
        <f>项目基本情况!D3</f>
        <v>45798</v>
      </c>
      <c r="C2" s="2393"/>
      <c r="D2" s="2674"/>
      <c r="E2" s="2393"/>
      <c r="F2" s="2393"/>
      <c r="G2" s="2393"/>
      <c r="H2" s="2393"/>
      <c r="I2" s="2393"/>
      <c r="J2" s="2393"/>
      <c r="K2" s="1123"/>
      <c r="L2" s="112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703"/>
      <c r="AO2" s="2703"/>
      <c r="AP2" s="2703"/>
      <c r="AQ2" s="2703"/>
      <c r="AR2" s="2703"/>
      <c r="AS2" s="2604"/>
      <c r="AT2" s="2604"/>
      <c r="AU2" s="2604"/>
      <c r="AV2" s="2604"/>
      <c r="AW2" s="2604"/>
      <c r="AX2" s="2604"/>
      <c r="AY2" s="2604"/>
      <c r="AZ2" s="2604"/>
      <c r="BA2" s="2604"/>
      <c r="BB2" s="2604"/>
      <c r="BC2" s="2604"/>
      <c r="BD2" s="2604"/>
      <c r="BE2" s="2604"/>
      <c r="BF2" s="2604"/>
      <c r="BG2" s="2604"/>
      <c r="BH2" s="2604"/>
      <c r="BI2" s="2604"/>
      <c r="BJ2" s="2604"/>
      <c r="BK2" s="2604"/>
      <c r="BL2" s="2604"/>
      <c r="BM2" s="2604"/>
      <c r="BN2" s="2604"/>
      <c r="BO2" s="2604"/>
    </row>
    <row r="3" spans="1:67" s="2665" customFormat="1" ht="14.25">
      <c r="A3" s="2675"/>
      <c r="B3" s="2339"/>
      <c r="C3" s="2393"/>
      <c r="D3" s="2674"/>
      <c r="E3" s="2393"/>
      <c r="F3" s="2393"/>
      <c r="G3" s="2393"/>
      <c r="H3" s="2393"/>
      <c r="I3" s="2393"/>
      <c r="J3" s="2393"/>
      <c r="K3" s="1123"/>
      <c r="L3" s="1123"/>
      <c r="M3" s="2393"/>
      <c r="N3" s="2393"/>
      <c r="O3" s="2393"/>
      <c r="P3" s="2393"/>
      <c r="Q3" s="2393"/>
      <c r="R3" s="2393"/>
      <c r="S3" s="2393"/>
      <c r="T3" s="2393"/>
      <c r="U3" s="2393"/>
      <c r="V3" s="2393"/>
      <c r="W3" s="2393"/>
      <c r="X3" s="2393"/>
      <c r="Y3" s="2393"/>
      <c r="Z3" s="2393"/>
      <c r="AA3" s="2393"/>
      <c r="AB3" s="2393"/>
      <c r="AC3" s="2393"/>
      <c r="AD3" s="2393"/>
      <c r="AE3" s="2393"/>
      <c r="AF3" s="2393"/>
      <c r="AG3" s="2393"/>
      <c r="AH3" s="2393"/>
      <c r="AI3" s="2393"/>
      <c r="AJ3" s="2393"/>
      <c r="AK3" s="2393"/>
      <c r="AL3" s="2393"/>
      <c r="AM3" s="2393"/>
      <c r="AN3" s="2703"/>
      <c r="AO3" s="2703"/>
      <c r="AP3" s="2703"/>
      <c r="AQ3" s="2703"/>
      <c r="AR3" s="2703"/>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row>
    <row r="4" spans="1:67" s="2665" customFormat="1" ht="14.25">
      <c r="A4" s="1065" t="s">
        <v>624</v>
      </c>
      <c r="B4" s="2353"/>
      <c r="C4" s="2676"/>
      <c r="D4" s="2677"/>
      <c r="E4" s="2676" t="s">
        <v>625</v>
      </c>
      <c r="F4" s="2676"/>
      <c r="G4" s="2676"/>
      <c r="H4" s="2676"/>
      <c r="I4" s="2676"/>
      <c r="J4" s="2389"/>
      <c r="K4" s="2767"/>
      <c r="L4" s="2768"/>
      <c r="M4" s="2676"/>
      <c r="N4" s="2676" t="s">
        <v>626</v>
      </c>
      <c r="O4" s="2676"/>
      <c r="P4" s="2676"/>
      <c r="Q4" s="2676"/>
      <c r="R4" s="2676"/>
      <c r="S4" s="2389"/>
      <c r="T4" s="2787" t="str">
        <f>'数据-汇总表'!I17</f>
        <v>按面积比例</v>
      </c>
      <c r="U4" s="2353" t="s">
        <v>627</v>
      </c>
      <c r="V4" s="2676"/>
      <c r="W4" s="2676"/>
      <c r="X4" s="2676"/>
      <c r="Y4" s="2389"/>
      <c r="Z4" s="2367" t="s">
        <v>628</v>
      </c>
      <c r="AA4" s="2367"/>
      <c r="AB4" s="2367"/>
      <c r="AC4" s="2367"/>
      <c r="AD4" s="2367"/>
      <c r="AE4" s="2813" t="s">
        <v>629</v>
      </c>
      <c r="AF4" s="2367"/>
      <c r="AG4" s="2823"/>
      <c r="AH4" s="2353"/>
      <c r="AI4" s="2676"/>
      <c r="AJ4" s="2676"/>
      <c r="AK4" s="2676"/>
      <c r="AL4" s="2676"/>
      <c r="AM4" s="2389"/>
      <c r="AN4" s="2703"/>
      <c r="AO4" s="2703"/>
      <c r="AP4" s="2703"/>
      <c r="AQ4" s="2703"/>
      <c r="AR4" s="2703"/>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row>
    <row r="5" spans="1:67" s="2666" customFormat="1" ht="42">
      <c r="A5" s="2678" t="s">
        <v>601</v>
      </c>
      <c r="B5" s="2679" t="s">
        <v>600</v>
      </c>
      <c r="C5" s="2680" t="s">
        <v>630</v>
      </c>
      <c r="D5" s="2681" t="s">
        <v>631</v>
      </c>
      <c r="E5" s="905" t="s">
        <v>632</v>
      </c>
      <c r="F5" s="2682" t="s">
        <v>633</v>
      </c>
      <c r="G5" s="905" t="s">
        <v>634</v>
      </c>
      <c r="H5" s="905" t="s">
        <v>635</v>
      </c>
      <c r="I5" s="905" t="s">
        <v>636</v>
      </c>
      <c r="J5" s="966" t="s">
        <v>637</v>
      </c>
      <c r="K5" s="2769" t="s">
        <v>610</v>
      </c>
      <c r="L5" s="2770" t="s">
        <v>638</v>
      </c>
      <c r="M5" s="2771" t="s">
        <v>639</v>
      </c>
      <c r="N5" s="2772" t="s">
        <v>640</v>
      </c>
      <c r="O5" s="2770" t="s">
        <v>641</v>
      </c>
      <c r="P5" s="2773" t="s">
        <v>642</v>
      </c>
      <c r="Q5" s="972" t="s">
        <v>643</v>
      </c>
      <c r="R5" s="2788" t="s">
        <v>644</v>
      </c>
      <c r="S5" s="2789" t="s">
        <v>645</v>
      </c>
      <c r="T5" s="2790" t="s">
        <v>646</v>
      </c>
      <c r="U5" s="2791" t="s">
        <v>647</v>
      </c>
      <c r="V5" s="905" t="s">
        <v>648</v>
      </c>
      <c r="W5" s="905" t="s">
        <v>649</v>
      </c>
      <c r="X5" s="668"/>
      <c r="Y5" s="670" t="s">
        <v>650</v>
      </c>
      <c r="Z5" s="871" t="s">
        <v>647</v>
      </c>
      <c r="AA5" s="905" t="s">
        <v>648</v>
      </c>
      <c r="AB5" s="905" t="s">
        <v>649</v>
      </c>
      <c r="AC5" s="668"/>
      <c r="AD5" s="668" t="s">
        <v>650</v>
      </c>
      <c r="AE5" s="2791" t="s">
        <v>651</v>
      </c>
      <c r="AF5" s="905" t="s">
        <v>652</v>
      </c>
      <c r="AG5" s="670" t="s">
        <v>653</v>
      </c>
      <c r="AH5" s="2791" t="s">
        <v>654</v>
      </c>
      <c r="AI5" s="871" t="s">
        <v>655</v>
      </c>
      <c r="AJ5" s="871" t="s">
        <v>656</v>
      </c>
      <c r="AK5" s="905" t="s">
        <v>657</v>
      </c>
      <c r="AL5" s="905" t="s">
        <v>658</v>
      </c>
      <c r="AM5" s="670" t="s">
        <v>659</v>
      </c>
      <c r="AN5" s="2824" t="s">
        <v>660</v>
      </c>
      <c r="AO5" s="2837" t="s">
        <v>661</v>
      </c>
      <c r="AP5" s="2838" t="s">
        <v>662</v>
      </c>
      <c r="AQ5" s="2839" t="s">
        <v>663</v>
      </c>
      <c r="AR5" s="2839" t="s">
        <v>664</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665" customFormat="1" ht="14.25">
      <c r="A6" s="2683" t="str">
        <f>'数据-汇总表'!C19</f>
        <v>荟聚</v>
      </c>
      <c r="B6" s="2684" t="str">
        <f>IF(A6=0,"","经营性")</f>
        <v>经营性</v>
      </c>
      <c r="C6" s="2685" t="s">
        <v>559</v>
      </c>
      <c r="D6" s="2686">
        <f>SUMIF(项目基本情况!C$12:I$12,C6,项目基本情况!C$14:I$14)</f>
        <v>40</v>
      </c>
      <c r="E6" s="2687">
        <f>IF(B6="","",SUMIF(项目基本情况!C$12:I$12,C6,项目基本情况!C$13:I$13))</f>
        <v>54681</v>
      </c>
      <c r="F6" s="2688">
        <f>SUMIF(项目基本情况!C$12:I$12,C6,项目基本情况!C$15:I$15)</f>
        <v>24.33</v>
      </c>
      <c r="G6" s="2689">
        <f>IF(ISERROR(ROUND(POWER(1+H6,D6-F6)*(POWER(1+H6,F6)-1)/(POWER(1+H6,D6)-1),3)),0,ROUND(POWER(1+H6,D6-F6)*(POWER(1+H6,F6)-1)/(POWER(1+H6,D6)-1),3))</f>
        <v>0.81</v>
      </c>
      <c r="H6" s="2690">
        <v>0.05</v>
      </c>
      <c r="I6" s="2690">
        <v>5.5E-2</v>
      </c>
      <c r="J6" s="2691">
        <v>7.0000000000000007E-2</v>
      </c>
      <c r="K6" s="2774">
        <f>SUMIF('数据-汇总表'!C$19:C$33,A6,'数据-汇总表'!E$19:E$33)</f>
        <v>587675.46</v>
      </c>
      <c r="L6" s="2775">
        <v>8000</v>
      </c>
      <c r="M6" s="2776">
        <f t="shared" ref="M6:M14" si="0">ROUND(K6*L6/10000,0)</f>
        <v>470140</v>
      </c>
      <c r="N6" s="2777">
        <v>0.82</v>
      </c>
      <c r="O6" s="2776" t="str">
        <f>IF($N$5="成新度","——",ROUND(M6*N6,0))</f>
        <v>——</v>
      </c>
      <c r="P6" s="810" t="str">
        <f>IF($N$5="成新度","——",M6-O6)</f>
        <v>——</v>
      </c>
      <c r="Q6" s="2792">
        <v>0.15</v>
      </c>
      <c r="R6" s="2793">
        <f ca="1">SUMIF('数据-汇总表'!C$19:C$33,A6,'数据-汇总表'!R$19:R$27)</f>
        <v>175003.3</v>
      </c>
      <c r="S6" s="2794">
        <f>IF('数据-汇总表'!$I$17="按面积比例",SUMIF('数据-汇总表'!C$19:C$33,A6,'数据-汇总表'!K$19:K$33),SUMIF('数据-汇总表'!C$19:C$33,A6,'数据-汇总表'!N$19:N$33))</f>
        <v>9318.1299999999992</v>
      </c>
      <c r="T6" s="2795">
        <f>ROUND($L$14*S6/10000,0)</f>
        <v>7455</v>
      </c>
      <c r="U6" s="2796">
        <v>7.6</v>
      </c>
      <c r="V6" s="2797">
        <v>2.5000000000000001E-2</v>
      </c>
      <c r="W6" s="2797">
        <v>0.05</v>
      </c>
      <c r="X6" s="2798"/>
      <c r="Y6" s="2814">
        <f>N6</f>
        <v>0.82</v>
      </c>
      <c r="Z6" s="2815"/>
      <c r="AA6" s="2691"/>
      <c r="AB6" s="2691"/>
      <c r="AC6" s="2798"/>
      <c r="AD6" s="2816"/>
      <c r="AE6" s="2817">
        <f ca="1">IF(AN6="",0,SUMIF(INDIRECT("'"&amp;AN6&amp;"'"&amp;"!E:E"),$AE$5,INDIRECT("'"&amp;AN6&amp;"'"&amp;"!F:F")))</f>
        <v>24.33</v>
      </c>
      <c r="AF6" s="2333"/>
      <c r="AG6" s="1242">
        <f>IF(AF6="",0,AE6-AF6)</f>
        <v>0</v>
      </c>
      <c r="AH6" s="2825">
        <f>'数据-汇总表'!F19</f>
        <v>286319.48000000004</v>
      </c>
      <c r="AI6" s="2826">
        <v>365</v>
      </c>
      <c r="AJ6" s="2333"/>
      <c r="AK6" s="2827">
        <v>5.0000000000000001E-3</v>
      </c>
      <c r="AL6" s="2828">
        <v>1.5E-3</v>
      </c>
      <c r="AM6" s="2829">
        <v>1.4999999999999999E-2</v>
      </c>
      <c r="AN6" s="2830" t="s">
        <v>665</v>
      </c>
      <c r="AO6" s="866">
        <f ca="1">SUMIF(INDIRECT("'"&amp;AN6&amp;"'"&amp;"!A:A"),"总价",INDIRECT("'"&amp;AN6&amp;"'"&amp;"!B:B"))</f>
        <v>1013677</v>
      </c>
      <c r="AP6" s="2840">
        <f>IF(C6="住宅",K6*L6,0)</f>
        <v>0</v>
      </c>
      <c r="AQ6" s="866">
        <f>ROUND($L$14*$N$14*S6/10000,0)</f>
        <v>6113</v>
      </c>
      <c r="AR6" s="866">
        <f>ROUND($L$14*(1-$N$14)*S6/10000,0)</f>
        <v>1342</v>
      </c>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row>
    <row r="7" spans="1:67" s="2665" customFormat="1" ht="14.25">
      <c r="A7" s="2683">
        <f>'数据-汇总表'!C20</f>
        <v>0</v>
      </c>
      <c r="B7" s="2684" t="str">
        <f t="shared" ref="B7:B13" si="1">IF(A7=0,"","经营性")</f>
        <v/>
      </c>
      <c r="C7" s="2685"/>
      <c r="D7" s="2686">
        <f>SUMIF(项目基本情况!C$12:I$12,C7,项目基本情况!C$14:I$14)</f>
        <v>0</v>
      </c>
      <c r="E7" s="2687" t="str">
        <f>IF(B7="","",SUMIF(项目基本情况!C$12:I$12,C7,项目基本情况!C$13:I$13))</f>
        <v/>
      </c>
      <c r="F7" s="2688">
        <f>SUMIF(项目基本情况!C$12:I$12,C7,项目基本情况!C$15:I$15)</f>
        <v>0</v>
      </c>
      <c r="G7" s="2689">
        <f t="shared" ref="G7:G13" si="2">IF(ISERROR(ROUND(POWER(1+H7,D7-F7)*(POWER(1+H7,F7)-1)/(POWER(1+H7,D7)-1),3)),0,ROUND(POWER(1+H7,D7-F7)*(POWER(1+H7,F7)-1)/(POWER(1+H7,D7)-1),3))</f>
        <v>0</v>
      </c>
      <c r="H7" s="2690"/>
      <c r="I7" s="2690"/>
      <c r="J7" s="2691"/>
      <c r="K7" s="2774">
        <f>SUMIF('数据-汇总表'!C$19:C$33,A7,'数据-汇总表'!E$19:E$33)</f>
        <v>0</v>
      </c>
      <c r="L7" s="2775"/>
      <c r="M7" s="2776">
        <f t="shared" si="0"/>
        <v>0</v>
      </c>
      <c r="N7" s="2777"/>
      <c r="O7" s="2776" t="str">
        <f t="shared" ref="O7:O14" si="3">IF($N$5="成新度","——",ROUND(M7*N7,0))</f>
        <v>——</v>
      </c>
      <c r="P7" s="810" t="str">
        <f t="shared" ref="P7:P14" si="4">IF($N$5="成新度","——",M7-O7)</f>
        <v>——</v>
      </c>
      <c r="Q7" s="2792"/>
      <c r="R7" s="2793">
        <f ca="1">SUMIF('数据-汇总表'!C$19:C$33,A7,'数据-汇总表'!R$19:R$27)</f>
        <v>0</v>
      </c>
      <c r="S7" s="2794">
        <f>IF('数据-汇总表'!$I$17="按面积比例",SUMIF('数据-汇总表'!C$19:C$33,A7,'数据-汇总表'!K$19:K$33),SUMIF('数据-汇总表'!C$19:C$33,A7,'数据-汇总表'!N$19:N$33))</f>
        <v>0</v>
      </c>
      <c r="T7" s="2795">
        <f t="shared" ref="T7:T13" si="5">ROUND($L$14*S7/10000,0)</f>
        <v>0</v>
      </c>
      <c r="U7" s="2796"/>
      <c r="V7" s="2797"/>
      <c r="W7" s="2797"/>
      <c r="X7" s="2798"/>
      <c r="Y7" s="2814"/>
      <c r="Z7" s="2815"/>
      <c r="AA7" s="2691"/>
      <c r="AB7" s="2691"/>
      <c r="AC7" s="2798"/>
      <c r="AD7" s="2816"/>
      <c r="AE7" s="2817">
        <f t="shared" ref="AE7:AE13" ca="1" si="6">IF(AN7="",0,SUMIF(INDIRECT("'"&amp;AN7&amp;"'"&amp;"!E:E"),$AE$5,INDIRECT("'"&amp;AN7&amp;"'"&amp;"!F:F")))</f>
        <v>0</v>
      </c>
      <c r="AF7" s="2333"/>
      <c r="AG7" s="1242">
        <f t="shared" ref="AG7:AG13" si="7">IF(AF7="",0,AE7-AF7)</f>
        <v>0</v>
      </c>
      <c r="AH7" s="2825"/>
      <c r="AI7" s="2826"/>
      <c r="AJ7" s="2333"/>
      <c r="AK7" s="2827"/>
      <c r="AL7" s="2828"/>
      <c r="AM7" s="2829"/>
      <c r="AN7" s="2830"/>
      <c r="AO7" s="866" t="e">
        <f t="shared" ref="AO7:AO13" ca="1" si="8">SUMIF(INDIRECT("'"&amp;AN7&amp;"'"&amp;"!A:A"),"总价",INDIRECT("'"&amp;AN7&amp;"'"&amp;"!B:B"))</f>
        <v>#REF!</v>
      </c>
      <c r="AP7" s="2840">
        <f t="shared" ref="AP7:AP13" si="9">IF(C7="住宅",K7*L7,0)</f>
        <v>0</v>
      </c>
      <c r="AQ7" s="866">
        <f t="shared" ref="AQ7:AQ13" si="10">ROUND($L$14*$N$14*S7/10000,0)</f>
        <v>0</v>
      </c>
      <c r="AR7" s="866">
        <f t="shared" ref="AR7:AR13" si="11">ROUND($L$14*(1-$N$14)*S7/10000,0)</f>
        <v>0</v>
      </c>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row>
    <row r="8" spans="1:67" s="2665" customFormat="1" ht="14.25">
      <c r="A8" s="2683">
        <f>'数据-汇总表'!C21</f>
        <v>0</v>
      </c>
      <c r="B8" s="2684" t="str">
        <f t="shared" si="1"/>
        <v/>
      </c>
      <c r="C8" s="2685"/>
      <c r="D8" s="2686">
        <f>SUMIF(项目基本情况!C$12:I$12,C8,项目基本情况!C$14:I$14)</f>
        <v>0</v>
      </c>
      <c r="E8" s="2687" t="str">
        <f>IF(B8="","",SUMIF(项目基本情况!C$12:I$12,C8,项目基本情况!C$13:I$13))</f>
        <v/>
      </c>
      <c r="F8" s="2688">
        <f>SUMIF(项目基本情况!C$12:I$12,C8,项目基本情况!C$15:I$15)</f>
        <v>0</v>
      </c>
      <c r="G8" s="2689">
        <f t="shared" si="2"/>
        <v>0</v>
      </c>
      <c r="H8" s="2690"/>
      <c r="I8" s="2690"/>
      <c r="J8" s="2691"/>
      <c r="K8" s="2774">
        <f>SUMIF('数据-汇总表'!C$19:C$33,A8,'数据-汇总表'!E$19:E$33)</f>
        <v>0</v>
      </c>
      <c r="L8" s="2775"/>
      <c r="M8" s="2776">
        <f t="shared" si="0"/>
        <v>0</v>
      </c>
      <c r="N8" s="2777"/>
      <c r="O8" s="2776" t="str">
        <f t="shared" si="3"/>
        <v>——</v>
      </c>
      <c r="P8" s="810" t="str">
        <f t="shared" si="4"/>
        <v>——</v>
      </c>
      <c r="Q8" s="2792"/>
      <c r="R8" s="2793">
        <f ca="1">SUMIF('数据-汇总表'!C$19:C$33,A8,'数据-汇总表'!R$19:R$27)</f>
        <v>0</v>
      </c>
      <c r="S8" s="2794">
        <f>IF('数据-汇总表'!$I$17="按面积比例",SUMIF('数据-汇总表'!C$19:C$33,A8,'数据-汇总表'!K$19:K$33),SUMIF('数据-汇总表'!C$19:C$33,A8,'数据-汇总表'!N$19:N$33))</f>
        <v>0</v>
      </c>
      <c r="T8" s="2795">
        <f t="shared" si="5"/>
        <v>0</v>
      </c>
      <c r="U8" s="2799"/>
      <c r="V8" s="2800"/>
      <c r="W8" s="2800"/>
      <c r="X8" s="2798"/>
      <c r="Y8" s="2814"/>
      <c r="Z8" s="2815"/>
      <c r="AA8" s="2691"/>
      <c r="AB8" s="2691"/>
      <c r="AC8" s="2798"/>
      <c r="AD8" s="2816"/>
      <c r="AE8" s="2817">
        <f t="shared" ca="1" si="6"/>
        <v>0</v>
      </c>
      <c r="AF8" s="2333"/>
      <c r="AG8" s="1242">
        <f t="shared" si="7"/>
        <v>0</v>
      </c>
      <c r="AH8" s="2831"/>
      <c r="AI8" s="2826"/>
      <c r="AJ8" s="2333"/>
      <c r="AK8" s="2832"/>
      <c r="AL8" s="2833"/>
      <c r="AM8" s="2735"/>
      <c r="AN8" s="2830"/>
      <c r="AO8" s="866" t="e">
        <f t="shared" ca="1" si="8"/>
        <v>#REF!</v>
      </c>
      <c r="AP8" s="2840">
        <f t="shared" si="9"/>
        <v>0</v>
      </c>
      <c r="AQ8" s="866">
        <f t="shared" si="10"/>
        <v>0</v>
      </c>
      <c r="AR8" s="866">
        <f t="shared" si="11"/>
        <v>0</v>
      </c>
      <c r="AS8" s="2604"/>
      <c r="AT8" s="2604"/>
      <c r="AU8" s="2604"/>
      <c r="AV8" s="2604"/>
      <c r="AW8" s="2604"/>
      <c r="AX8" s="2604"/>
      <c r="AY8" s="2604"/>
      <c r="AZ8" s="2604"/>
      <c r="BA8" s="2604"/>
      <c r="BB8" s="2604"/>
      <c r="BC8" s="2604"/>
      <c r="BD8" s="2604"/>
      <c r="BE8" s="2604"/>
      <c r="BF8" s="2604"/>
      <c r="BG8" s="2604"/>
      <c r="BH8" s="2604"/>
      <c r="BI8" s="2604"/>
      <c r="BJ8" s="2604"/>
      <c r="BK8" s="2604"/>
      <c r="BL8" s="2604"/>
      <c r="BM8" s="2604"/>
      <c r="BN8" s="2604"/>
      <c r="BO8" s="2604"/>
    </row>
    <row r="9" spans="1:67" s="2665" customFormat="1" ht="14.25">
      <c r="A9" s="2683">
        <f>'数据-汇总表'!C22</f>
        <v>0</v>
      </c>
      <c r="B9" s="2684" t="str">
        <f t="shared" si="1"/>
        <v/>
      </c>
      <c r="C9" s="2685"/>
      <c r="D9" s="2686">
        <f>SUMIF(项目基本情况!C$12:I$12,C9,项目基本情况!C$14:I$14)</f>
        <v>0</v>
      </c>
      <c r="E9" s="2687" t="str">
        <f>IF(B9="","",SUMIF(项目基本情况!C$12:I$12,C9,项目基本情况!C$13:I$13))</f>
        <v/>
      </c>
      <c r="F9" s="2688">
        <f>SUMIF(项目基本情况!C$12:I$12,C9,项目基本情况!C$15:I$15)</f>
        <v>0</v>
      </c>
      <c r="G9" s="2689">
        <f t="shared" si="2"/>
        <v>0</v>
      </c>
      <c r="H9" s="2691"/>
      <c r="I9" s="2691"/>
      <c r="J9" s="2691"/>
      <c r="K9" s="2774">
        <f>SUMIF('数据-汇总表'!C$19:C$33,A9,'数据-汇总表'!E$19:E$33)</f>
        <v>0</v>
      </c>
      <c r="L9" s="2775"/>
      <c r="M9" s="2776">
        <f t="shared" si="0"/>
        <v>0</v>
      </c>
      <c r="N9" s="2777"/>
      <c r="O9" s="2776" t="str">
        <f t="shared" si="3"/>
        <v>——</v>
      </c>
      <c r="P9" s="810" t="str">
        <f t="shared" si="4"/>
        <v>——</v>
      </c>
      <c r="Q9" s="2801"/>
      <c r="R9" s="2793">
        <f ca="1">SUMIF('数据-汇总表'!C$19:C$33,A9,'数据-汇总表'!R$19:R$27)</f>
        <v>0</v>
      </c>
      <c r="S9" s="2794">
        <f>IF('数据-汇总表'!$I$17="按面积比例",SUMIF('数据-汇总表'!C$19:C$33,A9,'数据-汇总表'!K$19:K$33),SUMIF('数据-汇总表'!C$19:C$33,A9,'数据-汇总表'!N$19:N$33))</f>
        <v>0</v>
      </c>
      <c r="T9" s="2795">
        <f t="shared" si="5"/>
        <v>0</v>
      </c>
      <c r="U9" s="2796"/>
      <c r="V9" s="2797"/>
      <c r="W9" s="2797"/>
      <c r="X9" s="2798"/>
      <c r="Y9" s="2814"/>
      <c r="Z9" s="2815"/>
      <c r="AA9" s="2691"/>
      <c r="AB9" s="2691"/>
      <c r="AC9" s="2798"/>
      <c r="AD9" s="2816"/>
      <c r="AE9" s="2817">
        <f t="shared" ca="1" si="6"/>
        <v>0</v>
      </c>
      <c r="AF9" s="2333"/>
      <c r="AG9" s="1242">
        <f t="shared" si="7"/>
        <v>0</v>
      </c>
      <c r="AH9" s="2825"/>
      <c r="AI9" s="2826"/>
      <c r="AJ9" s="2333"/>
      <c r="AK9" s="2827"/>
      <c r="AL9" s="2828"/>
      <c r="AM9" s="2829"/>
      <c r="AN9" s="2830"/>
      <c r="AO9" s="866" t="e">
        <f t="shared" ca="1" si="8"/>
        <v>#REF!</v>
      </c>
      <c r="AP9" s="2840">
        <f t="shared" si="9"/>
        <v>0</v>
      </c>
      <c r="AQ9" s="866">
        <f t="shared" si="10"/>
        <v>0</v>
      </c>
      <c r="AR9" s="866">
        <f t="shared" si="11"/>
        <v>0</v>
      </c>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row>
    <row r="10" spans="1:67" s="2665" customFormat="1" ht="14.25">
      <c r="A10" s="2683">
        <f>'数据-汇总表'!C23</f>
        <v>0</v>
      </c>
      <c r="B10" s="2684" t="str">
        <f t="shared" si="1"/>
        <v/>
      </c>
      <c r="C10" s="2685"/>
      <c r="D10" s="2686">
        <f>SUMIF(项目基本情况!C$12:I$12,C10,项目基本情况!C$14:I$14)</f>
        <v>0</v>
      </c>
      <c r="E10" s="2687" t="str">
        <f>IF(B10="","",SUMIF(项目基本情况!C$12:I$12,C10,项目基本情况!C$13:I$13))</f>
        <v/>
      </c>
      <c r="F10" s="2688">
        <f>SUMIF(项目基本情况!C$12:I$12,C10,项目基本情况!C$15:I$15)</f>
        <v>0</v>
      </c>
      <c r="G10" s="2689">
        <f t="shared" si="2"/>
        <v>0</v>
      </c>
      <c r="H10" s="2691"/>
      <c r="I10" s="2691"/>
      <c r="J10" s="2691"/>
      <c r="K10" s="2774">
        <f>SUMIF('数据-汇总表'!C$19:C$33,A10,'数据-汇总表'!E$19:E$33)</f>
        <v>0</v>
      </c>
      <c r="L10" s="2775"/>
      <c r="M10" s="2776">
        <f t="shared" si="0"/>
        <v>0</v>
      </c>
      <c r="N10" s="2777"/>
      <c r="O10" s="2776" t="str">
        <f t="shared" si="3"/>
        <v>——</v>
      </c>
      <c r="P10" s="810" t="str">
        <f t="shared" si="4"/>
        <v>——</v>
      </c>
      <c r="Q10" s="2801"/>
      <c r="R10" s="2793">
        <f ca="1">SUMIF('数据-汇总表'!C$19:C$33,A10,'数据-汇总表'!R$19:R$27)</f>
        <v>0</v>
      </c>
      <c r="S10" s="2794">
        <f>IF('数据-汇总表'!$I$17="按面积比例",SUMIF('数据-汇总表'!C$19:C$33,A10,'数据-汇总表'!K$19:K$33),SUMIF('数据-汇总表'!C$19:C$33,A10,'数据-汇总表'!N$19:N$33))</f>
        <v>0</v>
      </c>
      <c r="T10" s="2795">
        <f t="shared" si="5"/>
        <v>0</v>
      </c>
      <c r="U10" s="2796"/>
      <c r="V10" s="2797"/>
      <c r="W10" s="2797"/>
      <c r="X10" s="2798"/>
      <c r="Y10" s="2814"/>
      <c r="Z10" s="2815"/>
      <c r="AA10" s="2691"/>
      <c r="AB10" s="2691"/>
      <c r="AC10" s="2798"/>
      <c r="AD10" s="2816"/>
      <c r="AE10" s="2817">
        <f t="shared" ca="1" si="6"/>
        <v>0</v>
      </c>
      <c r="AF10" s="2333"/>
      <c r="AG10" s="1242">
        <f t="shared" si="7"/>
        <v>0</v>
      </c>
      <c r="AH10" s="2825"/>
      <c r="AI10" s="2826"/>
      <c r="AJ10" s="2333"/>
      <c r="AK10" s="2827"/>
      <c r="AL10" s="2828"/>
      <c r="AM10" s="2829"/>
      <c r="AN10" s="2830"/>
      <c r="AO10" s="866" t="e">
        <f t="shared" ca="1" si="8"/>
        <v>#REF!</v>
      </c>
      <c r="AP10" s="2840">
        <f t="shared" si="9"/>
        <v>0</v>
      </c>
      <c r="AQ10" s="866">
        <f t="shared" si="10"/>
        <v>0</v>
      </c>
      <c r="AR10" s="866">
        <f t="shared" si="11"/>
        <v>0</v>
      </c>
      <c r="AS10" s="2604"/>
      <c r="AT10" s="2604"/>
      <c r="AU10" s="2604"/>
      <c r="AV10" s="2604"/>
      <c r="AW10" s="2604"/>
      <c r="AX10" s="2604"/>
      <c r="AY10" s="2604"/>
      <c r="AZ10" s="2604"/>
      <c r="BA10" s="2604"/>
      <c r="BB10" s="2604"/>
      <c r="BC10" s="2604"/>
      <c r="BD10" s="2604"/>
      <c r="BE10" s="2604"/>
      <c r="BF10" s="2604"/>
      <c r="BG10" s="2604"/>
      <c r="BH10" s="2604"/>
      <c r="BI10" s="2604"/>
      <c r="BJ10" s="2604"/>
      <c r="BK10" s="2604"/>
      <c r="BL10" s="2604"/>
      <c r="BM10" s="2604"/>
      <c r="BN10" s="2604"/>
      <c r="BO10" s="2604"/>
    </row>
    <row r="11" spans="1:67" s="2665" customFormat="1" ht="14.25">
      <c r="A11" s="2683">
        <f>'数据-汇总表'!C24</f>
        <v>0</v>
      </c>
      <c r="B11" s="2684" t="str">
        <f t="shared" si="1"/>
        <v/>
      </c>
      <c r="C11" s="2685"/>
      <c r="D11" s="2686">
        <f>SUMIF(项目基本情况!C$12:I$12,C11,项目基本情况!C$14:I$14)</f>
        <v>0</v>
      </c>
      <c r="E11" s="2687" t="str">
        <f>IF(B11="","",SUMIF(项目基本情况!C$12:I$12,C11,项目基本情况!C$13:I$13))</f>
        <v/>
      </c>
      <c r="F11" s="2688">
        <f>SUMIF(项目基本情况!C$12:I$12,C11,项目基本情况!C$15:I$15)</f>
        <v>0</v>
      </c>
      <c r="G11" s="2689">
        <f t="shared" si="2"/>
        <v>0</v>
      </c>
      <c r="H11" s="2691"/>
      <c r="I11" s="2691"/>
      <c r="J11" s="2691"/>
      <c r="K11" s="2774">
        <f>SUMIF('数据-汇总表'!C$19:C$33,A11,'数据-汇总表'!E$19:E$33)</f>
        <v>0</v>
      </c>
      <c r="L11" s="2778"/>
      <c r="M11" s="2776">
        <f t="shared" si="0"/>
        <v>0</v>
      </c>
      <c r="N11" s="2777"/>
      <c r="O11" s="2776" t="str">
        <f t="shared" si="3"/>
        <v>——</v>
      </c>
      <c r="P11" s="810" t="str">
        <f t="shared" si="4"/>
        <v>——</v>
      </c>
      <c r="Q11" s="2801"/>
      <c r="R11" s="2793">
        <f ca="1">SUMIF('数据-汇总表'!C$19:C$33,A11,'数据-汇总表'!R$19:R$27)</f>
        <v>0</v>
      </c>
      <c r="S11" s="2794">
        <f>IF('数据-汇总表'!$I$17="按面积比例",SUMIF('数据-汇总表'!C$19:C$33,A11,'数据-汇总表'!K$19:K$33),SUMIF('数据-汇总表'!C$19:C$33,A11,'数据-汇总表'!N$19:N$33))</f>
        <v>0</v>
      </c>
      <c r="T11" s="2795">
        <f t="shared" si="5"/>
        <v>0</v>
      </c>
      <c r="U11" s="2796"/>
      <c r="V11" s="2691"/>
      <c r="W11" s="2691"/>
      <c r="X11" s="2798"/>
      <c r="Y11" s="2814"/>
      <c r="Z11" s="2818"/>
      <c r="AA11" s="2691"/>
      <c r="AB11" s="2691"/>
      <c r="AC11" s="2798"/>
      <c r="AD11" s="2816"/>
      <c r="AE11" s="2817">
        <f t="shared" ca="1" si="6"/>
        <v>0</v>
      </c>
      <c r="AF11" s="2333"/>
      <c r="AG11" s="1242">
        <f t="shared" si="7"/>
        <v>0</v>
      </c>
      <c r="AH11" s="2825"/>
      <c r="AI11" s="2826"/>
      <c r="AJ11" s="2333"/>
      <c r="AK11" s="2827"/>
      <c r="AL11" s="2828"/>
      <c r="AM11" s="2829"/>
      <c r="AN11" s="2830"/>
      <c r="AO11" s="866" t="e">
        <f t="shared" ca="1" si="8"/>
        <v>#REF!</v>
      </c>
      <c r="AP11" s="2840">
        <f t="shared" si="9"/>
        <v>0</v>
      </c>
      <c r="AQ11" s="866">
        <f t="shared" si="10"/>
        <v>0</v>
      </c>
      <c r="AR11" s="866">
        <f t="shared" si="11"/>
        <v>0</v>
      </c>
      <c r="AS11" s="2604"/>
      <c r="AT11" s="2604"/>
      <c r="AU11" s="2604"/>
      <c r="AV11" s="2604"/>
      <c r="AW11" s="2604"/>
      <c r="AX11" s="2604"/>
      <c r="AY11" s="2604"/>
      <c r="AZ11" s="2604"/>
      <c r="BA11" s="2604"/>
      <c r="BB11" s="2604"/>
      <c r="BC11" s="2604"/>
      <c r="BD11" s="2604"/>
      <c r="BE11" s="2604"/>
      <c r="BF11" s="2604"/>
      <c r="BG11" s="2604"/>
      <c r="BH11" s="2604"/>
      <c r="BI11" s="2604"/>
      <c r="BJ11" s="2604"/>
      <c r="BK11" s="2604"/>
      <c r="BL11" s="2604"/>
      <c r="BM11" s="2604"/>
      <c r="BN11" s="2604"/>
      <c r="BO11" s="2604"/>
    </row>
    <row r="12" spans="1:67" s="2665" customFormat="1" ht="14.25">
      <c r="A12" s="2683">
        <f>'数据-汇总表'!C25</f>
        <v>0</v>
      </c>
      <c r="B12" s="2684" t="str">
        <f t="shared" si="1"/>
        <v/>
      </c>
      <c r="C12" s="2685"/>
      <c r="D12" s="2686">
        <f>SUMIF(项目基本情况!C$12:I$12,C12,项目基本情况!C$14:I$14)</f>
        <v>0</v>
      </c>
      <c r="E12" s="2687" t="str">
        <f>IF(B12="","",SUMIF(项目基本情况!C$12:I$12,C12,项目基本情况!C$13:I$13))</f>
        <v/>
      </c>
      <c r="F12" s="2688">
        <f>SUMIF(项目基本情况!C$12:I$12,C12,项目基本情况!C$15:I$15)</f>
        <v>0</v>
      </c>
      <c r="G12" s="2689">
        <f t="shared" si="2"/>
        <v>0</v>
      </c>
      <c r="H12" s="2691"/>
      <c r="I12" s="2691"/>
      <c r="J12" s="2691"/>
      <c r="K12" s="2774">
        <f>SUMIF('数据-汇总表'!C$19:C$33,A12,'数据-汇总表'!E$19:E$33)</f>
        <v>0</v>
      </c>
      <c r="L12" s="2778"/>
      <c r="M12" s="2776">
        <f t="shared" si="0"/>
        <v>0</v>
      </c>
      <c r="N12" s="2777"/>
      <c r="O12" s="2776" t="str">
        <f t="shared" si="3"/>
        <v>——</v>
      </c>
      <c r="P12" s="810" t="str">
        <f t="shared" si="4"/>
        <v>——</v>
      </c>
      <c r="Q12" s="2801"/>
      <c r="R12" s="2793">
        <f ca="1">SUMIF('数据-汇总表'!C$19:C$33,A12,'数据-汇总表'!R$19:R$27)</f>
        <v>0</v>
      </c>
      <c r="S12" s="2794">
        <f>IF('数据-汇总表'!$I$17="按面积比例",SUMIF('数据-汇总表'!C$19:C$33,A12,'数据-汇总表'!K$19:K$33),SUMIF('数据-汇总表'!C$19:C$33,A12,'数据-汇总表'!N$19:N$33))</f>
        <v>0</v>
      </c>
      <c r="T12" s="2795">
        <f t="shared" si="5"/>
        <v>0</v>
      </c>
      <c r="U12" s="2796"/>
      <c r="V12" s="2691"/>
      <c r="W12" s="2691"/>
      <c r="X12" s="2798"/>
      <c r="Y12" s="2814"/>
      <c r="Z12" s="2818"/>
      <c r="AA12" s="2691"/>
      <c r="AB12" s="2691"/>
      <c r="AC12" s="2798"/>
      <c r="AD12" s="2816"/>
      <c r="AE12" s="2817">
        <f t="shared" ca="1" si="6"/>
        <v>0</v>
      </c>
      <c r="AF12" s="2333"/>
      <c r="AG12" s="1242">
        <f t="shared" si="7"/>
        <v>0</v>
      </c>
      <c r="AH12" s="2825"/>
      <c r="AI12" s="2826"/>
      <c r="AJ12" s="2333"/>
      <c r="AK12" s="2827"/>
      <c r="AL12" s="2828"/>
      <c r="AM12" s="2829"/>
      <c r="AN12" s="2830"/>
      <c r="AO12" s="866" t="e">
        <f t="shared" ca="1" si="8"/>
        <v>#REF!</v>
      </c>
      <c r="AP12" s="2840">
        <f t="shared" si="9"/>
        <v>0</v>
      </c>
      <c r="AQ12" s="866">
        <f t="shared" si="10"/>
        <v>0</v>
      </c>
      <c r="AR12" s="866">
        <f t="shared" si="11"/>
        <v>0</v>
      </c>
      <c r="AS12" s="2604"/>
      <c r="AT12" s="2604"/>
      <c r="AU12" s="2604"/>
      <c r="AV12" s="2604"/>
      <c r="AW12" s="2604"/>
      <c r="AX12" s="2604"/>
      <c r="AY12" s="2604"/>
      <c r="AZ12" s="2604"/>
      <c r="BA12" s="2604"/>
      <c r="BB12" s="2604"/>
      <c r="BC12" s="2604"/>
      <c r="BD12" s="2604"/>
      <c r="BE12" s="2604"/>
      <c r="BF12" s="2604"/>
      <c r="BG12" s="2604"/>
      <c r="BH12" s="2604"/>
      <c r="BI12" s="2604"/>
      <c r="BJ12" s="2604"/>
      <c r="BK12" s="2604"/>
      <c r="BL12" s="2604"/>
      <c r="BM12" s="2604"/>
      <c r="BN12" s="2604"/>
      <c r="BO12" s="2604"/>
    </row>
    <row r="13" spans="1:67" s="2665" customFormat="1" ht="14.25">
      <c r="A13" s="2683">
        <f>'数据-汇总表'!C26</f>
        <v>0</v>
      </c>
      <c r="B13" s="2684" t="str">
        <f t="shared" si="1"/>
        <v/>
      </c>
      <c r="C13" s="2685"/>
      <c r="D13" s="2686">
        <f>SUMIF(项目基本情况!C$12:I$12,C13,项目基本情况!C$14:I$14)</f>
        <v>0</v>
      </c>
      <c r="E13" s="2687" t="str">
        <f>IF(B13="","",SUMIF(项目基本情况!C$12:I$12,C13,项目基本情况!C$13:I$13))</f>
        <v/>
      </c>
      <c r="F13" s="2688">
        <f>SUMIF(项目基本情况!C$12:I$12,C13,项目基本情况!C$15:I$15)</f>
        <v>0</v>
      </c>
      <c r="G13" s="2689">
        <f t="shared" si="2"/>
        <v>0</v>
      </c>
      <c r="H13" s="2691"/>
      <c r="I13" s="2691"/>
      <c r="J13" s="2691"/>
      <c r="K13" s="2774">
        <f>SUMIF('数据-汇总表'!C$19:C$33,A13,'数据-汇总表'!E$19:E$33)</f>
        <v>0</v>
      </c>
      <c r="L13" s="2778"/>
      <c r="M13" s="2776">
        <f t="shared" si="0"/>
        <v>0</v>
      </c>
      <c r="N13" s="2779"/>
      <c r="O13" s="2776" t="str">
        <f t="shared" si="3"/>
        <v>——</v>
      </c>
      <c r="P13" s="810" t="str">
        <f t="shared" si="4"/>
        <v>——</v>
      </c>
      <c r="Q13" s="2801"/>
      <c r="R13" s="2793">
        <f ca="1">SUMIF('数据-汇总表'!C$19:C$33,A13,'数据-汇总表'!R$19:R$27)</f>
        <v>0</v>
      </c>
      <c r="S13" s="2794">
        <f>IF('数据-汇总表'!$I$17="按面积比例",SUMIF('数据-汇总表'!C$19:C$33,A13,'数据-汇总表'!K$19:K$33),SUMIF('数据-汇总表'!C$19:C$33,A13,'数据-汇总表'!N$19:N$33))</f>
        <v>0</v>
      </c>
      <c r="T13" s="2795">
        <f t="shared" si="5"/>
        <v>0</v>
      </c>
      <c r="U13" s="2802"/>
      <c r="V13" s="2797"/>
      <c r="W13" s="2797"/>
      <c r="X13" s="2798"/>
      <c r="Y13" s="2814"/>
      <c r="Z13" s="2815"/>
      <c r="AA13" s="2691"/>
      <c r="AB13" s="2691"/>
      <c r="AC13" s="2798"/>
      <c r="AD13" s="2816"/>
      <c r="AE13" s="2817">
        <f t="shared" ca="1" si="6"/>
        <v>0</v>
      </c>
      <c r="AF13" s="2333"/>
      <c r="AG13" s="1242">
        <f t="shared" si="7"/>
        <v>0</v>
      </c>
      <c r="AH13" s="2825"/>
      <c r="AI13" s="2826"/>
      <c r="AJ13" s="2333"/>
      <c r="AK13" s="2827"/>
      <c r="AL13" s="2828"/>
      <c r="AM13" s="2829"/>
      <c r="AN13" s="2830"/>
      <c r="AO13" s="866" t="e">
        <f t="shared" ca="1" si="8"/>
        <v>#REF!</v>
      </c>
      <c r="AP13" s="2840">
        <f t="shared" si="9"/>
        <v>0</v>
      </c>
      <c r="AQ13" s="866">
        <f t="shared" si="10"/>
        <v>0</v>
      </c>
      <c r="AR13" s="866">
        <f t="shared" si="11"/>
        <v>0</v>
      </c>
      <c r="AS13" s="2604"/>
      <c r="AT13" s="2604"/>
      <c r="AU13" s="2604"/>
      <c r="AV13" s="2604"/>
      <c r="AW13" s="2604"/>
      <c r="AX13" s="2604"/>
      <c r="AY13" s="2604"/>
      <c r="AZ13" s="2604"/>
      <c r="BA13" s="2604"/>
      <c r="BB13" s="2604"/>
      <c r="BC13" s="2604"/>
      <c r="BD13" s="2604"/>
      <c r="BE13" s="2604"/>
      <c r="BF13" s="2604"/>
      <c r="BG13" s="2604"/>
      <c r="BH13" s="2604"/>
      <c r="BI13" s="2604"/>
      <c r="BJ13" s="2604"/>
      <c r="BK13" s="2604"/>
      <c r="BL13" s="2604"/>
      <c r="BM13" s="2604"/>
      <c r="BN13" s="2604"/>
      <c r="BO13" s="2604"/>
    </row>
    <row r="14" spans="1:67" s="2665" customFormat="1" ht="14.25">
      <c r="A14" s="2692" t="s">
        <v>618</v>
      </c>
      <c r="B14" s="2684" t="s">
        <v>617</v>
      </c>
      <c r="C14" s="2693" t="s">
        <v>618</v>
      </c>
      <c r="D14" s="2686"/>
      <c r="E14" s="2687"/>
      <c r="F14" s="2688"/>
      <c r="G14" s="2689"/>
      <c r="H14" s="2694"/>
      <c r="I14" s="2694"/>
      <c r="J14" s="2694"/>
      <c r="K14" s="2774">
        <f>SUMIF('数据-汇总表'!C$19:C$33,A14,'数据-汇总表'!E$19:E$33)</f>
        <v>9318.1299999999756</v>
      </c>
      <c r="L14" s="2778">
        <f>L6</f>
        <v>8000</v>
      </c>
      <c r="M14" s="2776">
        <f t="shared" si="0"/>
        <v>7455</v>
      </c>
      <c r="N14" s="2779">
        <f>N6</f>
        <v>0.82</v>
      </c>
      <c r="O14" s="2776" t="str">
        <f t="shared" si="3"/>
        <v>——</v>
      </c>
      <c r="P14" s="810" t="str">
        <f t="shared" si="4"/>
        <v>——</v>
      </c>
      <c r="Q14" s="2803"/>
      <c r="R14" s="2793"/>
      <c r="S14" s="2794"/>
      <c r="T14" s="2795"/>
      <c r="U14" s="2804"/>
      <c r="V14" s="2805"/>
      <c r="W14" s="2805"/>
      <c r="X14" s="2806"/>
      <c r="Y14" s="2819"/>
      <c r="Z14" s="2336"/>
      <c r="AA14" s="2820"/>
      <c r="AB14" s="2820"/>
      <c r="AC14" s="2798"/>
      <c r="AD14" s="2806"/>
      <c r="AE14" s="2817"/>
      <c r="AF14" s="866"/>
      <c r="AG14" s="1242"/>
      <c r="AH14" s="2817"/>
      <c r="AI14" s="856"/>
      <c r="AJ14" s="866"/>
      <c r="AK14" s="2834"/>
      <c r="AL14" s="2835"/>
      <c r="AM14" s="2836"/>
      <c r="AN14" s="2230"/>
      <c r="AO14" s="2703"/>
      <c r="AP14" s="2703"/>
      <c r="AQ14" s="2703"/>
      <c r="AR14" s="2703"/>
      <c r="AS14" s="2604"/>
      <c r="AT14" s="2604"/>
      <c r="AU14" s="2604"/>
      <c r="AV14" s="2604"/>
      <c r="AW14" s="2604"/>
      <c r="AX14" s="2604"/>
      <c r="AY14" s="2604"/>
      <c r="AZ14" s="2604"/>
      <c r="BA14" s="2604"/>
      <c r="BB14" s="2604"/>
      <c r="BC14" s="2604"/>
      <c r="BD14" s="2604"/>
      <c r="BE14" s="2604"/>
      <c r="BF14" s="2604"/>
      <c r="BG14" s="2604"/>
      <c r="BH14" s="2604"/>
      <c r="BI14" s="2604"/>
      <c r="BJ14" s="2604"/>
      <c r="BK14" s="2604"/>
      <c r="BL14" s="2604"/>
      <c r="BM14" s="2604"/>
      <c r="BN14" s="2604"/>
      <c r="BO14" s="2604"/>
    </row>
    <row r="15" spans="1:67" s="2665" customFormat="1" ht="27">
      <c r="A15" s="2692" t="s">
        <v>619</v>
      </c>
      <c r="B15" s="2684" t="s">
        <v>617</v>
      </c>
      <c r="C15" s="2693" t="s">
        <v>666</v>
      </c>
      <c r="D15" s="2686"/>
      <c r="E15" s="2687"/>
      <c r="F15" s="2688"/>
      <c r="G15" s="2689"/>
      <c r="H15" s="2694"/>
      <c r="I15" s="2694"/>
      <c r="J15" s="2694"/>
      <c r="K15" s="2774">
        <f>SUMIF('数据-汇总表'!C$19:C$33,A15,'数据-汇总表'!E$19:E$33)</f>
        <v>0</v>
      </c>
      <c r="L15" s="2780"/>
      <c r="M15" s="2776"/>
      <c r="N15" s="2781"/>
      <c r="O15" s="2776"/>
      <c r="P15" s="810"/>
      <c r="Q15" s="2803"/>
      <c r="R15" s="2793"/>
      <c r="S15" s="2794"/>
      <c r="T15" s="2795"/>
      <c r="U15" s="2804"/>
      <c r="V15" s="2805"/>
      <c r="W15" s="2805"/>
      <c r="X15" s="2806"/>
      <c r="Y15" s="2819"/>
      <c r="Z15" s="2336"/>
      <c r="AA15" s="2820"/>
      <c r="AB15" s="2820"/>
      <c r="AC15" s="2798"/>
      <c r="AD15" s="2806"/>
      <c r="AE15" s="2817"/>
      <c r="AF15" s="866"/>
      <c r="AG15" s="1242"/>
      <c r="AH15" s="2817"/>
      <c r="AI15" s="856"/>
      <c r="AJ15" s="866"/>
      <c r="AK15" s="2834"/>
      <c r="AL15" s="2835"/>
      <c r="AM15" s="2836"/>
      <c r="AN15" s="2230"/>
      <c r="AO15" s="2703"/>
      <c r="AP15" s="2703"/>
      <c r="AQ15" s="2703"/>
      <c r="AR15" s="2703"/>
      <c r="AS15" s="2604"/>
      <c r="AT15" s="2604"/>
      <c r="AU15" s="2604"/>
      <c r="AV15" s="2604"/>
      <c r="AW15" s="2604"/>
      <c r="AX15" s="2604"/>
      <c r="AY15" s="2604"/>
      <c r="AZ15" s="2604"/>
      <c r="BA15" s="2604"/>
      <c r="BB15" s="2604"/>
      <c r="BC15" s="2604"/>
      <c r="BD15" s="2604"/>
      <c r="BE15" s="2604"/>
      <c r="BF15" s="2604"/>
      <c r="BG15" s="2604"/>
      <c r="BH15" s="2604"/>
      <c r="BI15" s="2604"/>
      <c r="BJ15" s="2604"/>
      <c r="BK15" s="2604"/>
      <c r="BL15" s="2604"/>
      <c r="BM15" s="2604"/>
      <c r="BN15" s="2604"/>
      <c r="BO15" s="2604"/>
    </row>
    <row r="16" spans="1:67" s="2665" customFormat="1" ht="15">
      <c r="A16" s="2695" t="s">
        <v>620</v>
      </c>
      <c r="B16" s="2696"/>
      <c r="C16" s="2287"/>
      <c r="D16" s="2697"/>
      <c r="E16" s="2696"/>
      <c r="F16" s="2696"/>
      <c r="G16" s="2698">
        <f>ROUND(SUMPRODUCT(G6:G13,K6:K13)/SUMPRODUCT((G6:G13&gt;0)*(K6:K13)),3)</f>
        <v>0.81</v>
      </c>
      <c r="H16" s="2699">
        <f>ROUND(SUMPRODUCT(H6:H13,K6:K13)/SUMPRODUCT((H6:H13&gt;0)*(K6:K13)),3)</f>
        <v>0.05</v>
      </c>
      <c r="I16" s="2782"/>
      <c r="J16" s="2782"/>
      <c r="K16" s="2783">
        <f>SUM(K6:K15)</f>
        <v>596993.59</v>
      </c>
      <c r="L16" s="2784">
        <f>ROUND(M16*10000/SUM(K6:K14),0)</f>
        <v>8000</v>
      </c>
      <c r="M16" s="2784">
        <f>SUM(M6:M14)</f>
        <v>477595</v>
      </c>
      <c r="N16" s="2785">
        <f>ROUND(SUMPRODUCT(M6:M14,N6:N14)/M16,3)</f>
        <v>0.82</v>
      </c>
      <c r="O16" s="2784">
        <f>SUM(O6:O14)</f>
        <v>0</v>
      </c>
      <c r="P16" s="2784">
        <f>SUM(P6:P14)</f>
        <v>0</v>
      </c>
      <c r="Q16" s="2807">
        <f>ROUND(SUMPRODUCT(Q6:Q13,K6:K13)/SUMPRODUCT((Q6:Q13&gt;0)*(K6:K13)),2)</f>
        <v>0.15</v>
      </c>
      <c r="R16" s="2808">
        <f ca="1">SUM(R6:R13)</f>
        <v>175003.3</v>
      </c>
      <c r="S16" s="2809">
        <f>SUM(S6:S13)</f>
        <v>9318.1299999999992</v>
      </c>
      <c r="T16" s="2810">
        <f>IF(SUMIF(T6:T13,"&lt;9E307")=M14,SUMIF(T6:T13,"&lt;9E307"),"有误，请检查")</f>
        <v>7455</v>
      </c>
      <c r="U16" s="2811"/>
      <c r="V16" s="2348"/>
      <c r="W16" s="2348"/>
      <c r="X16" s="2812"/>
      <c r="Y16" s="2821"/>
      <c r="Z16" s="2822"/>
      <c r="AA16" s="2348"/>
      <c r="AB16" s="2348"/>
      <c r="AC16" s="2812"/>
      <c r="AD16" s="2812"/>
      <c r="AE16" s="2811"/>
      <c r="AF16" s="2348"/>
      <c r="AG16" s="2821"/>
      <c r="AH16" s="2811"/>
      <c r="AI16" s="2822"/>
      <c r="AJ16" s="2822"/>
      <c r="AK16" s="2348"/>
      <c r="AL16" s="2348"/>
      <c r="AM16" s="2821"/>
      <c r="AN16" s="2230"/>
      <c r="AO16" s="2703"/>
      <c r="AP16" s="2703"/>
      <c r="AQ16" s="2703"/>
      <c r="AR16" s="2703"/>
      <c r="AS16" s="2604"/>
      <c r="AT16" s="2604"/>
      <c r="AU16" s="2604"/>
      <c r="AV16" s="2604"/>
      <c r="AW16" s="2604"/>
      <c r="AX16" s="2604"/>
      <c r="AY16" s="2604"/>
      <c r="AZ16" s="2604"/>
      <c r="BA16" s="2604"/>
      <c r="BB16" s="2604"/>
      <c r="BC16" s="2604"/>
      <c r="BD16" s="2604"/>
      <c r="BE16" s="2604"/>
      <c r="BF16" s="2604"/>
      <c r="BG16" s="2604"/>
      <c r="BH16" s="2604"/>
      <c r="BI16" s="2604"/>
      <c r="BJ16" s="2604"/>
      <c r="BK16" s="2604"/>
      <c r="BL16" s="2604"/>
      <c r="BM16" s="2604"/>
      <c r="BN16" s="2604"/>
      <c r="BO16" s="2604"/>
    </row>
    <row r="17" spans="1:44">
      <c r="A17" s="2610"/>
      <c r="B17" s="2700"/>
      <c r="C17" s="2230"/>
      <c r="D17" s="2701"/>
      <c r="E17" s="2701"/>
      <c r="F17" s="2230"/>
      <c r="G17" s="2230"/>
      <c r="H17" s="2230"/>
      <c r="I17" s="2230"/>
      <c r="J17" s="2230"/>
      <c r="K17" s="2786"/>
      <c r="L17" s="2786"/>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spans="1:44" ht="14.25">
      <c r="A18" s="1065" t="s">
        <v>667</v>
      </c>
      <c r="B18" s="2702"/>
      <c r="C18" s="2703"/>
      <c r="D18" s="2704"/>
      <c r="E18" s="2703"/>
      <c r="F18" s="2703"/>
      <c r="G18" s="2703"/>
      <c r="H18" s="2703"/>
      <c r="I18" s="2703"/>
      <c r="J18" s="2703"/>
      <c r="K18" s="2786"/>
      <c r="L18" s="2786"/>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spans="1:44" ht="14.25">
      <c r="A19" s="2705" t="s">
        <v>668</v>
      </c>
      <c r="B19" s="2706">
        <v>0</v>
      </c>
      <c r="C19" s="2707" t="s">
        <v>669</v>
      </c>
      <c r="D19" s="2704"/>
      <c r="E19" s="2703"/>
      <c r="F19" s="2703"/>
      <c r="G19" s="2703"/>
      <c r="H19" s="2703"/>
      <c r="I19" s="2703"/>
      <c r="J19" s="2703"/>
      <c r="K19" s="2786"/>
      <c r="L19" s="2786"/>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spans="1:44" ht="14.25">
      <c r="A20" s="2708" t="s">
        <v>670</v>
      </c>
      <c r="B20" s="2709">
        <v>3.5</v>
      </c>
      <c r="C20" s="2710" t="s">
        <v>671</v>
      </c>
      <c r="D20" s="2704"/>
      <c r="E20" s="2703"/>
      <c r="F20" s="2703"/>
      <c r="G20" s="2703"/>
      <c r="H20" s="2703"/>
      <c r="I20" s="2703"/>
      <c r="J20" s="2703"/>
      <c r="K20" s="2786"/>
      <c r="L20" s="2786"/>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spans="1:44" ht="14.25">
      <c r="A21" s="2711" t="s">
        <v>672</v>
      </c>
      <c r="B21" s="2709">
        <f>B20</f>
        <v>3.5</v>
      </c>
      <c r="C21" s="2703"/>
      <c r="D21" s="2704"/>
      <c r="E21" s="2703"/>
      <c r="F21" s="2703"/>
      <c r="G21" s="2703"/>
      <c r="H21" s="2703"/>
      <c r="I21" s="2703"/>
      <c r="J21" s="2703"/>
      <c r="K21" s="2786"/>
      <c r="L21" s="2786"/>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spans="1:44" ht="14.25">
      <c r="A22" s="2708" t="s">
        <v>673</v>
      </c>
      <c r="B22" s="2712">
        <f>B19+B20</f>
        <v>3.5</v>
      </c>
      <c r="C22" s="2703"/>
      <c r="D22" s="2704"/>
      <c r="E22" s="2703"/>
      <c r="F22" s="2703"/>
      <c r="G22" s="2703"/>
      <c r="H22" s="2703"/>
      <c r="I22" s="2703"/>
      <c r="J22" s="2703"/>
      <c r="K22" s="2786"/>
      <c r="L22" s="2786"/>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spans="1:44" ht="14.25">
      <c r="A23" s="2711" t="s">
        <v>674</v>
      </c>
      <c r="B23" s="2712">
        <f>B19+B21</f>
        <v>3.5</v>
      </c>
      <c r="C23" s="2703"/>
      <c r="D23" s="2704"/>
      <c r="E23" s="2703"/>
      <c r="F23" s="2703"/>
      <c r="G23" s="2703"/>
      <c r="H23" s="2703"/>
      <c r="I23" s="2703"/>
      <c r="J23" s="2703"/>
      <c r="K23" s="2786"/>
      <c r="L23" s="2786"/>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spans="1:44" ht="14.25">
      <c r="A24" s="2713" t="s">
        <v>675</v>
      </c>
      <c r="B24" s="2714">
        <f>B20-B21</f>
        <v>0</v>
      </c>
      <c r="C24" s="2703"/>
      <c r="D24" s="2704"/>
      <c r="E24" s="2703"/>
      <c r="F24" s="2703"/>
      <c r="G24" s="2703"/>
      <c r="H24" s="2703"/>
      <c r="I24" s="2703"/>
      <c r="J24" s="2703"/>
      <c r="K24" s="2786"/>
      <c r="L24" s="2786"/>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spans="1:44" ht="14.25">
      <c r="A25" s="2675"/>
      <c r="B25" s="2339"/>
      <c r="C25" s="2703"/>
      <c r="D25" s="2704"/>
      <c r="E25" s="2703"/>
      <c r="F25" s="2703"/>
      <c r="G25" s="2703"/>
      <c r="H25" s="2703"/>
      <c r="I25" s="2703"/>
      <c r="J25" s="2703"/>
      <c r="K25" s="2786"/>
      <c r="L25" s="2786"/>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spans="1:44" ht="14.25">
      <c r="A26" s="2672" t="s">
        <v>676</v>
      </c>
      <c r="B26" s="2715" t="s">
        <v>677</v>
      </c>
      <c r="C26" s="2716" t="s">
        <v>678</v>
      </c>
      <c r="D26" s="2704"/>
      <c r="E26" s="2703"/>
      <c r="F26" s="2703"/>
      <c r="G26" s="2703"/>
      <c r="H26" s="2703"/>
      <c r="I26" s="2703"/>
      <c r="J26" s="2703"/>
      <c r="K26" s="2786"/>
      <c r="L26" s="2786"/>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pans="1:44" ht="27.75">
      <c r="A27" s="2717" t="s">
        <v>679</v>
      </c>
      <c r="B27" s="2718"/>
      <c r="C27" s="2719" t="s">
        <v>680</v>
      </c>
      <c r="D27" s="2720"/>
      <c r="E27" s="809"/>
      <c r="F27" s="809"/>
      <c r="G27" s="2703"/>
      <c r="H27" s="2703"/>
      <c r="I27" s="2703"/>
      <c r="J27" s="2703"/>
      <c r="K27" s="2786"/>
      <c r="L27" s="2786"/>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row>
    <row r="28" spans="1:44" ht="27.75">
      <c r="A28" s="2721" t="s">
        <v>681</v>
      </c>
      <c r="B28" s="2722">
        <v>200</v>
      </c>
      <c r="C28" s="2723"/>
      <c r="D28" s="2720"/>
      <c r="E28" s="809"/>
      <c r="F28" s="809"/>
      <c r="G28" s="2703"/>
      <c r="H28" s="2703"/>
      <c r="I28" s="2703"/>
      <c r="J28" s="2703"/>
      <c r="K28" s="2786"/>
      <c r="L28" s="2786"/>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row>
    <row r="29" spans="1:44" ht="27.75">
      <c r="A29" s="2724" t="s">
        <v>682</v>
      </c>
      <c r="B29" s="2725">
        <f ca="1">成本法!C10</f>
        <v>11940</v>
      </c>
      <c r="C29" s="2726" t="s">
        <v>683</v>
      </c>
      <c r="D29" s="2720"/>
      <c r="E29" s="809"/>
      <c r="F29" s="809"/>
      <c r="G29" s="2703"/>
      <c r="H29" s="2703"/>
      <c r="I29" s="2703"/>
      <c r="J29" s="2703"/>
      <c r="K29" s="2786"/>
      <c r="L29" s="2786"/>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row>
    <row r="30" spans="1:44" ht="27">
      <c r="A30" s="2727" t="s">
        <v>684</v>
      </c>
      <c r="B30" s="2728">
        <v>200</v>
      </c>
      <c r="C30" s="2723"/>
      <c r="D30" s="2720"/>
      <c r="E30" s="809"/>
      <c r="F30" s="809"/>
      <c r="G30" s="2703"/>
      <c r="H30" s="2703"/>
      <c r="I30" s="2703"/>
      <c r="J30" s="2703"/>
      <c r="K30" s="2786"/>
      <c r="L30" s="2786"/>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row>
    <row r="31" spans="1:44" ht="27">
      <c r="A31" s="2721" t="s">
        <v>685</v>
      </c>
      <c r="B31" s="2729">
        <f>B30-B32</f>
        <v>200</v>
      </c>
      <c r="C31" s="2730"/>
      <c r="D31" s="2720"/>
      <c r="E31" s="809"/>
      <c r="F31" s="809"/>
      <c r="G31" s="2703"/>
      <c r="H31" s="2703"/>
      <c r="I31" s="2703"/>
      <c r="J31" s="2703"/>
      <c r="K31" s="2786"/>
      <c r="L31" s="2786"/>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row>
    <row r="32" spans="1:44" ht="27">
      <c r="A32" s="2731" t="s">
        <v>686</v>
      </c>
      <c r="B32" s="2732">
        <v>0</v>
      </c>
      <c r="C32" s="2723"/>
      <c r="D32" s="2704"/>
      <c r="E32" s="2703"/>
      <c r="F32" s="2703"/>
      <c r="G32" s="2703"/>
      <c r="H32" s="2703"/>
      <c r="I32" s="2703"/>
      <c r="J32" s="2703"/>
      <c r="K32" s="2786"/>
      <c r="L32" s="2786"/>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row>
    <row r="33" spans="1:44" ht="14.25">
      <c r="A33" s="2717" t="s">
        <v>687</v>
      </c>
      <c r="B33" s="2733">
        <v>0.1</v>
      </c>
      <c r="C33" s="2734" t="s">
        <v>688</v>
      </c>
      <c r="D33" s="2704"/>
      <c r="E33" s="2703"/>
      <c r="F33" s="2703"/>
      <c r="G33" s="2703"/>
      <c r="H33" s="2703"/>
      <c r="I33" s="2703"/>
      <c r="J33" s="2703"/>
      <c r="K33" s="2786"/>
      <c r="L33" s="2786"/>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row>
    <row r="34" spans="1:44" ht="14.25">
      <c r="A34" s="2721" t="s">
        <v>689</v>
      </c>
      <c r="B34" s="2735">
        <v>0</v>
      </c>
      <c r="C34" s="2734" t="s">
        <v>690</v>
      </c>
      <c r="D34" s="2736" t="s">
        <v>691</v>
      </c>
      <c r="E34" s="2700"/>
      <c r="F34" s="2703"/>
      <c r="G34" s="2703"/>
      <c r="H34" s="2703"/>
      <c r="I34" s="2703"/>
      <c r="J34" s="2703"/>
      <c r="K34" s="2786"/>
      <c r="L34" s="2786"/>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row>
    <row r="35" spans="1:44" ht="14.25">
      <c r="A35" s="2721" t="s">
        <v>692</v>
      </c>
      <c r="B35" s="2722">
        <v>200</v>
      </c>
      <c r="C35" s="2734" t="s">
        <v>693</v>
      </c>
      <c r="D35" s="2720"/>
      <c r="E35" s="809"/>
      <c r="F35" s="809"/>
      <c r="G35" s="2703"/>
      <c r="H35" s="2703"/>
      <c r="I35" s="2703"/>
      <c r="J35" s="2703"/>
      <c r="K35" s="2786"/>
      <c r="L35" s="2786"/>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row>
    <row r="36" spans="1:44" ht="14.25">
      <c r="A36" s="2724" t="s">
        <v>694</v>
      </c>
      <c r="B36" s="2737">
        <v>0.03</v>
      </c>
      <c r="C36" s="2734" t="s">
        <v>695</v>
      </c>
      <c r="D36" s="2704"/>
      <c r="E36" s="2703"/>
      <c r="F36" s="2703"/>
      <c r="G36" s="2703"/>
      <c r="H36" s="2703"/>
      <c r="I36" s="2703"/>
      <c r="J36" s="2703"/>
      <c r="K36" s="2786"/>
      <c r="L36" s="2786"/>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spans="1:44" ht="14.25">
      <c r="A37" s="2727" t="s">
        <v>696</v>
      </c>
      <c r="B37" s="2738">
        <v>0.03</v>
      </c>
      <c r="C37" s="2734" t="s">
        <v>697</v>
      </c>
      <c r="D37" s="2704"/>
      <c r="E37" s="2703"/>
      <c r="F37" s="2703"/>
      <c r="G37" s="2703"/>
      <c r="H37" s="2703"/>
      <c r="I37" s="2703"/>
      <c r="J37" s="2703"/>
      <c r="K37" s="2786"/>
      <c r="L37" s="2786"/>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spans="1:44" ht="14.25">
      <c r="A38" s="2721" t="s">
        <v>698</v>
      </c>
      <c r="B38" s="2735">
        <v>0.03</v>
      </c>
      <c r="C38" s="2734" t="s">
        <v>699</v>
      </c>
      <c r="D38" s="2704"/>
      <c r="E38" s="2703"/>
      <c r="F38" s="2703"/>
      <c r="G38" s="2703"/>
      <c r="H38" s="2703"/>
      <c r="I38" s="2703"/>
      <c r="J38" s="2703"/>
      <c r="K38" s="2786"/>
      <c r="L38" s="2786"/>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spans="1:44" ht="14.25">
      <c r="A39" s="2731" t="s">
        <v>700</v>
      </c>
      <c r="B39" s="2739">
        <f ca="1">存贷款利率!I1</f>
        <v>1.4999999999999999E-2</v>
      </c>
      <c r="C39" s="2740"/>
      <c r="D39" s="2704"/>
      <c r="E39" s="2703"/>
      <c r="F39" s="2703"/>
      <c r="G39" s="2703"/>
      <c r="H39" s="2703"/>
      <c r="I39" s="2703"/>
      <c r="J39" s="2703"/>
      <c r="K39" s="2786"/>
      <c r="L39" s="2786"/>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spans="1:44" ht="14.25">
      <c r="A40" s="2741" t="s">
        <v>701</v>
      </c>
      <c r="B40" s="2742">
        <f ca="1">IF(A40="利息：取LPR",存贷款利率!G1,存贷款利率!G1+C40)</f>
        <v>0.03</v>
      </c>
      <c r="C40" s="2743">
        <v>5.0000000000000001E-3</v>
      </c>
      <c r="D40" s="2230"/>
      <c r="E40" s="2704"/>
      <c r="F40" s="2703"/>
      <c r="G40" s="2703"/>
      <c r="H40" s="2703"/>
      <c r="I40" s="2703"/>
      <c r="J40" s="2703"/>
      <c r="K40" s="2786"/>
      <c r="L40" s="2786"/>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spans="1:44" ht="14.25">
      <c r="A41" s="2717" t="s">
        <v>702</v>
      </c>
      <c r="B41" s="2744">
        <f>B42+B43</f>
        <v>5.5000000000000007E-2</v>
      </c>
      <c r="C41" s="2730"/>
      <c r="D41" s="2230"/>
      <c r="E41" s="2704"/>
      <c r="F41" s="2703"/>
      <c r="G41" s="2703"/>
      <c r="H41" s="2703"/>
      <c r="I41" s="2703"/>
      <c r="J41" s="2703"/>
      <c r="K41" s="2786"/>
      <c r="L41" s="2786"/>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spans="1:44" ht="14.25">
      <c r="A42" s="2745" t="s">
        <v>703</v>
      </c>
      <c r="B42" s="2746">
        <v>0.05</v>
      </c>
      <c r="C42" s="2747">
        <f>IF(B2&lt;DATE(2016,5,1),0,B42)</f>
        <v>0.05</v>
      </c>
      <c r="D42" s="2704"/>
      <c r="E42" s="2703"/>
      <c r="F42" s="2703"/>
      <c r="G42" s="2703"/>
      <c r="H42" s="2703"/>
      <c r="I42" s="2703"/>
      <c r="J42" s="2703"/>
      <c r="K42" s="2786"/>
      <c r="L42" s="2786"/>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spans="1:44" ht="14.25">
      <c r="A43" s="2745" t="s">
        <v>704</v>
      </c>
      <c r="B43" s="2748">
        <f>B42*(B44+B45+B46)+B47</f>
        <v>5.000000000000001E-3</v>
      </c>
      <c r="C43" s="2730"/>
      <c r="D43" s="2704"/>
      <c r="E43" s="2703"/>
      <c r="F43" s="2703"/>
      <c r="G43" s="2703"/>
      <c r="H43" s="2703"/>
      <c r="I43" s="2703"/>
      <c r="J43" s="2703"/>
      <c r="K43" s="2786"/>
      <c r="L43" s="2786"/>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spans="1:44" ht="14.25">
      <c r="A44" s="2749" t="s">
        <v>705</v>
      </c>
      <c r="B44" s="2750">
        <v>0.05</v>
      </c>
      <c r="C44" s="2734" t="s">
        <v>706</v>
      </c>
      <c r="D44" s="2704"/>
      <c r="E44" s="2703"/>
      <c r="F44" s="2703"/>
      <c r="G44" s="2703"/>
      <c r="H44" s="2703"/>
      <c r="I44" s="2703"/>
      <c r="J44" s="2703"/>
      <c r="K44" s="2786"/>
      <c r="L44" s="2786"/>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spans="1:44" ht="14.25">
      <c r="A45" s="2749" t="s">
        <v>707</v>
      </c>
      <c r="B45" s="2746">
        <v>0.03</v>
      </c>
      <c r="C45" s="2726" t="s">
        <v>708</v>
      </c>
      <c r="D45" s="2704"/>
      <c r="E45" s="2703"/>
      <c r="F45" s="2703"/>
      <c r="G45" s="2703"/>
      <c r="H45" s="2703"/>
      <c r="I45" s="2703"/>
      <c r="J45" s="2703"/>
      <c r="K45" s="2786"/>
      <c r="L45" s="2786"/>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spans="1:44" ht="14.25">
      <c r="A46" s="2749" t="s">
        <v>709</v>
      </c>
      <c r="B46" s="2746">
        <v>0.02</v>
      </c>
      <c r="C46" s="2726" t="s">
        <v>710</v>
      </c>
      <c r="D46" s="2704"/>
      <c r="E46" s="2703"/>
      <c r="F46" s="2703"/>
      <c r="G46" s="2703"/>
      <c r="H46" s="2703"/>
      <c r="I46" s="2703"/>
      <c r="J46" s="2703"/>
      <c r="K46" s="2786"/>
      <c r="L46" s="2786"/>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spans="1:44" ht="14.25">
      <c r="A47" s="2751" t="s">
        <v>711</v>
      </c>
      <c r="B47" s="2752"/>
      <c r="C47" s="2753" t="s">
        <v>712</v>
      </c>
      <c r="D47" s="2704"/>
      <c r="E47" s="2703"/>
      <c r="F47" s="2703"/>
      <c r="G47" s="2703"/>
      <c r="H47" s="2703"/>
      <c r="I47" s="2703"/>
      <c r="J47" s="2703"/>
      <c r="K47" s="2786"/>
      <c r="L47" s="2786"/>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spans="1:44" ht="14.25">
      <c r="A48" s="2754" t="s">
        <v>713</v>
      </c>
      <c r="B48" s="2755">
        <v>0.03</v>
      </c>
      <c r="C48" s="2726" t="s">
        <v>708</v>
      </c>
      <c r="D48" s="2704"/>
      <c r="E48" s="2703"/>
      <c r="F48" s="2703"/>
      <c r="G48" s="2703"/>
      <c r="H48" s="2703"/>
      <c r="I48" s="2703"/>
      <c r="J48" s="2703"/>
      <c r="K48" s="2786"/>
      <c r="L48" s="2786"/>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spans="1:44" ht="14.25">
      <c r="A49" s="2731" t="s">
        <v>714</v>
      </c>
      <c r="B49" s="2746">
        <v>5.0000000000000001E-4</v>
      </c>
      <c r="C49" s="2726" t="s">
        <v>715</v>
      </c>
      <c r="D49" s="2704"/>
      <c r="E49" s="2703"/>
      <c r="F49" s="2703"/>
      <c r="G49" s="2703"/>
      <c r="H49" s="2703"/>
      <c r="I49" s="2703"/>
      <c r="J49" s="2703"/>
      <c r="K49" s="2786"/>
      <c r="L49" s="2786"/>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spans="1:44" ht="14.25">
      <c r="A50" s="2756" t="s">
        <v>716</v>
      </c>
      <c r="B50" s="2757">
        <v>1.2E-2</v>
      </c>
      <c r="C50" s="809"/>
      <c r="D50" s="2704"/>
      <c r="E50" s="2703"/>
      <c r="F50" s="2703"/>
      <c r="G50" s="2703"/>
      <c r="H50" s="2703"/>
      <c r="I50" s="2703"/>
      <c r="J50" s="2703"/>
      <c r="K50" s="2786"/>
      <c r="L50" s="2786"/>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spans="1:44" ht="14.25">
      <c r="A51" s="2724" t="s">
        <v>717</v>
      </c>
      <c r="B51" s="2758">
        <v>0.12</v>
      </c>
      <c r="C51" s="809"/>
      <c r="D51" s="2704"/>
      <c r="E51" s="2703"/>
      <c r="F51" s="2703"/>
      <c r="G51" s="2703"/>
      <c r="H51" s="2703"/>
      <c r="I51" s="2703"/>
      <c r="J51" s="2703"/>
      <c r="K51" s="2786"/>
      <c r="L51" s="2786"/>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spans="1:44" ht="14.25">
      <c r="A52" s="2756" t="s">
        <v>718</v>
      </c>
      <c r="B52" s="2759">
        <f>SUMIF(A54:A63,B53,B54:B63)</f>
        <v>1.5</v>
      </c>
      <c r="C52" s="809"/>
      <c r="D52" s="2704"/>
      <c r="E52" s="2703"/>
      <c r="F52" s="2703"/>
      <c r="G52" s="2703"/>
      <c r="H52" s="2703"/>
      <c r="I52" s="2703"/>
      <c r="J52" s="2703"/>
      <c r="K52" s="2786"/>
      <c r="L52" s="2786"/>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spans="1:44" ht="27">
      <c r="A53" s="2721" t="s">
        <v>719</v>
      </c>
      <c r="B53" s="2760" t="s">
        <v>273</v>
      </c>
      <c r="C53" s="809" t="s">
        <v>720</v>
      </c>
      <c r="D53" s="2761" t="s">
        <v>721</v>
      </c>
      <c r="E53" s="2703"/>
      <c r="F53" s="2703"/>
      <c r="G53" s="2703"/>
      <c r="H53" s="2703"/>
      <c r="I53" s="2703"/>
      <c r="J53" s="2703"/>
      <c r="K53" s="2786"/>
      <c r="L53" s="2786"/>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spans="1:44" ht="14.25">
      <c r="A54" s="2762" t="s">
        <v>722</v>
      </c>
      <c r="B54" s="2763"/>
      <c r="C54" s="809">
        <v>30</v>
      </c>
      <c r="D54" s="2704"/>
      <c r="E54" s="2703"/>
      <c r="F54" s="2703"/>
      <c r="G54" s="2703"/>
      <c r="H54" s="2703"/>
      <c r="I54" s="2703"/>
      <c r="J54" s="2703"/>
      <c r="K54" s="2786"/>
      <c r="L54" s="2786"/>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spans="1:44" ht="14.25">
      <c r="A55" s="2762" t="s">
        <v>723</v>
      </c>
      <c r="B55" s="2763"/>
      <c r="C55" s="809">
        <v>24</v>
      </c>
      <c r="D55" s="2704"/>
      <c r="E55" s="2703"/>
      <c r="F55" s="2703"/>
      <c r="G55" s="2703"/>
      <c r="H55" s="2703"/>
      <c r="I55" s="2703"/>
      <c r="J55" s="2703"/>
      <c r="K55" s="2786"/>
      <c r="L55" s="2786"/>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spans="1:44" ht="14.25">
      <c r="A56" s="2762" t="s">
        <v>724</v>
      </c>
      <c r="B56" s="2763"/>
      <c r="C56" s="809">
        <v>18</v>
      </c>
      <c r="D56" s="2704"/>
      <c r="E56" s="2703"/>
      <c r="F56" s="2703"/>
      <c r="G56" s="2703"/>
      <c r="H56" s="2703"/>
      <c r="I56" s="2703"/>
      <c r="J56" s="2703"/>
      <c r="K56" s="2786"/>
      <c r="L56" s="2786"/>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spans="1:44" ht="14.25">
      <c r="A57" s="2762" t="s">
        <v>725</v>
      </c>
      <c r="B57" s="2763"/>
      <c r="C57" s="809">
        <v>12</v>
      </c>
      <c r="D57" s="2704"/>
      <c r="E57" s="2703"/>
      <c r="F57" s="2703"/>
      <c r="G57" s="2703"/>
      <c r="H57" s="2703"/>
      <c r="I57" s="2703"/>
      <c r="J57" s="2703"/>
      <c r="K57" s="2786"/>
      <c r="L57" s="2786"/>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spans="1:44" ht="14.25">
      <c r="A58" s="2762" t="s">
        <v>726</v>
      </c>
      <c r="B58" s="2763"/>
      <c r="C58" s="809">
        <v>3</v>
      </c>
      <c r="D58" s="2704"/>
      <c r="E58" s="2703"/>
      <c r="F58" s="2703"/>
      <c r="G58" s="2703"/>
      <c r="H58" s="2703"/>
      <c r="I58" s="2703"/>
      <c r="J58" s="2703"/>
      <c r="K58" s="2786"/>
      <c r="L58" s="2786"/>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spans="1:44" ht="14.25">
      <c r="A59" s="2762" t="s">
        <v>727</v>
      </c>
      <c r="B59" s="2763">
        <v>1.5</v>
      </c>
      <c r="C59" s="809">
        <v>1.5</v>
      </c>
      <c r="D59" s="2704"/>
      <c r="E59" s="2703"/>
      <c r="F59" s="2703"/>
      <c r="G59" s="2703"/>
      <c r="H59" s="2703"/>
      <c r="I59" s="2703"/>
      <c r="J59" s="2703"/>
      <c r="K59" s="2786"/>
      <c r="L59" s="2786"/>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spans="1:44" ht="14.25">
      <c r="A60" s="2762" t="s">
        <v>728</v>
      </c>
      <c r="B60" s="2763"/>
      <c r="C60" s="2703"/>
      <c r="D60" s="2704"/>
      <c r="E60" s="2703"/>
      <c r="F60" s="2703"/>
      <c r="G60" s="2703"/>
      <c r="H60" s="2703"/>
      <c r="I60" s="2703"/>
      <c r="J60" s="2703"/>
      <c r="K60" s="2786"/>
      <c r="L60" s="2786"/>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spans="1:44" ht="14.25">
      <c r="A61" s="2762" t="s">
        <v>729</v>
      </c>
      <c r="B61" s="2763"/>
      <c r="C61" s="2703"/>
      <c r="D61" s="2704"/>
      <c r="E61" s="2703"/>
      <c r="F61" s="2703"/>
      <c r="G61" s="2703"/>
      <c r="H61" s="2703"/>
      <c r="I61" s="2703"/>
      <c r="J61" s="2703"/>
      <c r="K61" s="2786"/>
      <c r="L61" s="2786"/>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spans="1:44" ht="14.25">
      <c r="A62" s="2762" t="s">
        <v>730</v>
      </c>
      <c r="B62" s="2763"/>
      <c r="C62" s="2703"/>
      <c r="D62" s="2704"/>
      <c r="E62" s="2703"/>
      <c r="F62" s="2703"/>
      <c r="G62" s="2703"/>
      <c r="H62" s="2703"/>
      <c r="I62" s="2703"/>
      <c r="J62" s="2703"/>
      <c r="K62" s="2786"/>
      <c r="L62" s="2786"/>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spans="1:44" ht="14.25">
      <c r="A63" s="2764" t="s">
        <v>731</v>
      </c>
      <c r="B63" s="2765"/>
      <c r="C63" s="2703"/>
      <c r="D63" s="2704"/>
      <c r="E63" s="2703"/>
      <c r="F63" s="2703"/>
      <c r="G63" s="2703"/>
      <c r="H63" s="2703"/>
      <c r="I63" s="2703"/>
      <c r="J63" s="2703"/>
      <c r="K63" s="2786"/>
      <c r="L63" s="2786"/>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pans="1:44" s="517" customFormat="1">
      <c r="A64" s="2766"/>
      <c r="B64" s="2230"/>
      <c r="C64" s="2230"/>
      <c r="D64" s="2701"/>
      <c r="E64" s="2230"/>
      <c r="F64" s="2230"/>
      <c r="G64" s="2230"/>
      <c r="H64" s="2230"/>
      <c r="I64" s="2230"/>
      <c r="J64" s="2230"/>
      <c r="K64" s="2786"/>
      <c r="L64" s="2786"/>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pans="1:44" s="517" customFormat="1">
      <c r="A65" s="2766"/>
      <c r="B65" s="2230"/>
      <c r="C65" s="2230"/>
      <c r="D65" s="2701"/>
      <c r="E65" s="2230"/>
      <c r="F65" s="2230"/>
      <c r="G65" s="2230"/>
      <c r="H65" s="2230"/>
      <c r="I65" s="2230"/>
      <c r="J65" s="2230"/>
      <c r="K65" s="2786"/>
      <c r="L65" s="2786"/>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pans="1:44" s="517" customFormat="1">
      <c r="A66" s="2766"/>
      <c r="B66" s="2230"/>
      <c r="C66" s="2230"/>
      <c r="D66" s="2701"/>
      <c r="E66" s="2230"/>
      <c r="F66" s="2230"/>
      <c r="G66" s="2230"/>
      <c r="H66" s="2230"/>
      <c r="I66" s="2230"/>
      <c r="J66" s="2230"/>
      <c r="K66" s="2786"/>
      <c r="L66" s="2786"/>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pans="1:44" s="517" customFormat="1">
      <c r="A67" s="2766"/>
      <c r="B67" s="2230"/>
      <c r="C67" s="2230"/>
      <c r="D67" s="2701"/>
      <c r="E67" s="2230"/>
      <c r="F67" s="2230"/>
      <c r="G67" s="2230"/>
      <c r="H67" s="2230"/>
      <c r="I67" s="2230"/>
      <c r="J67" s="2230"/>
      <c r="K67" s="2786"/>
      <c r="L67" s="2786"/>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pans="1:44" s="517" customFormat="1">
      <c r="A68" s="2766"/>
      <c r="B68" s="2230"/>
      <c r="C68" s="2230"/>
      <c r="D68" s="2701"/>
      <c r="E68" s="2230"/>
      <c r="F68" s="2230"/>
      <c r="G68" s="2230"/>
      <c r="H68" s="2230"/>
      <c r="I68" s="2230"/>
      <c r="J68" s="2230"/>
      <c r="K68" s="2786"/>
      <c r="L68" s="2786"/>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pans="1:44" s="517" customFormat="1">
      <c r="A69" s="2584"/>
      <c r="D69" s="2841"/>
      <c r="K69" s="610"/>
      <c r="L69" s="610"/>
    </row>
    <row r="70" spans="1:44" s="517" customFormat="1">
      <c r="A70" s="2584"/>
      <c r="D70" s="2841"/>
      <c r="K70" s="610"/>
      <c r="L70" s="610"/>
    </row>
    <row r="71" spans="1:44" s="517" customFormat="1">
      <c r="A71" s="2584"/>
      <c r="D71" s="2841"/>
      <c r="K71" s="610"/>
      <c r="L71" s="610"/>
    </row>
    <row r="72" spans="1:44" s="517" customFormat="1">
      <c r="A72" s="2584"/>
      <c r="D72" s="2841"/>
      <c r="K72" s="610"/>
      <c r="L72" s="610"/>
    </row>
    <row r="73" spans="1:44" s="517" customFormat="1">
      <c r="A73" s="2584"/>
      <c r="D73" s="2841"/>
      <c r="K73" s="610"/>
      <c r="L73" s="610"/>
    </row>
    <row r="74" spans="1:44" s="517" customFormat="1">
      <c r="A74" s="2584"/>
      <c r="D74" s="2841"/>
      <c r="K74" s="610"/>
      <c r="L74" s="610"/>
    </row>
    <row r="75" spans="1:44" s="517" customFormat="1">
      <c r="A75" s="2584"/>
      <c r="D75" s="2841"/>
      <c r="K75" s="610"/>
      <c r="L75" s="610"/>
    </row>
    <row r="76" spans="1:44" s="517" customFormat="1">
      <c r="A76" s="2584"/>
      <c r="D76" s="2841"/>
      <c r="K76" s="610"/>
      <c r="L76" s="610"/>
    </row>
    <row r="77" spans="1:44" s="517" customFormat="1">
      <c r="A77" s="2584"/>
      <c r="D77" s="2841"/>
      <c r="K77" s="610"/>
      <c r="L77" s="610"/>
    </row>
    <row r="78" spans="1:44" s="517" customFormat="1">
      <c r="A78" s="2584"/>
      <c r="D78" s="2841"/>
      <c r="K78" s="610"/>
      <c r="L78" s="610"/>
    </row>
    <row r="79" spans="1:44" s="517" customFormat="1">
      <c r="A79" s="2584"/>
      <c r="D79" s="2841"/>
      <c r="K79" s="610"/>
      <c r="L79" s="610"/>
    </row>
    <row r="80" spans="1:44" s="517" customFormat="1">
      <c r="A80" s="2584"/>
      <c r="D80" s="2841"/>
      <c r="K80" s="610"/>
      <c r="L80" s="610"/>
    </row>
    <row r="81" spans="1:12" s="517" customFormat="1">
      <c r="A81" s="2584"/>
      <c r="D81" s="2841"/>
      <c r="K81" s="610"/>
      <c r="L81" s="610"/>
    </row>
    <row r="82" spans="1:12" s="517" customFormat="1">
      <c r="A82" s="2584"/>
      <c r="D82" s="2841"/>
      <c r="K82" s="610"/>
      <c r="L82" s="610"/>
    </row>
    <row r="83" spans="1:12" s="517" customFormat="1">
      <c r="A83" s="2584"/>
      <c r="D83" s="2841"/>
      <c r="K83" s="610"/>
      <c r="L83" s="610"/>
    </row>
    <row r="84" spans="1:12" s="517" customFormat="1">
      <c r="A84" s="2584"/>
      <c r="D84" s="2841"/>
      <c r="K84" s="610"/>
      <c r="L84" s="610"/>
    </row>
    <row r="85" spans="1:12" s="517" customFormat="1">
      <c r="A85" s="2584"/>
      <c r="D85" s="2841"/>
      <c r="K85" s="610"/>
      <c r="L85" s="610"/>
    </row>
    <row r="86" spans="1:12" s="517" customFormat="1">
      <c r="A86" s="2584"/>
      <c r="D86" s="2841"/>
      <c r="K86" s="610"/>
      <c r="L86" s="610"/>
    </row>
    <row r="87" spans="1:12" s="517" customFormat="1">
      <c r="A87" s="2584"/>
      <c r="D87" s="2841"/>
      <c r="K87" s="610"/>
      <c r="L87" s="610"/>
    </row>
    <row r="88" spans="1:12" s="517" customFormat="1">
      <c r="A88" s="2584"/>
      <c r="D88" s="2841"/>
      <c r="K88" s="610"/>
      <c r="L88" s="610"/>
    </row>
    <row r="89" spans="1:12" s="517" customFormat="1">
      <c r="A89" s="2584"/>
      <c r="D89" s="2841"/>
      <c r="K89" s="610"/>
      <c r="L89" s="610"/>
    </row>
    <row r="90" spans="1:12" s="517" customFormat="1">
      <c r="A90" s="2584"/>
      <c r="D90" s="2841"/>
      <c r="K90" s="610"/>
      <c r="L90" s="610"/>
    </row>
    <row r="91" spans="1:12" s="517" customFormat="1">
      <c r="A91" s="2584"/>
      <c r="D91" s="2841"/>
      <c r="K91" s="610"/>
      <c r="L91" s="610"/>
    </row>
    <row r="92" spans="1:12" s="517" customFormat="1">
      <c r="A92" s="2584"/>
      <c r="D92" s="2841"/>
      <c r="K92" s="610"/>
      <c r="L92" s="610"/>
    </row>
    <row r="93" spans="1:12" s="517" customFormat="1">
      <c r="A93" s="2584"/>
      <c r="D93" s="2841"/>
      <c r="K93" s="610"/>
      <c r="L93" s="610"/>
    </row>
    <row r="94" spans="1:12" s="517" customFormat="1">
      <c r="A94" s="2584"/>
      <c r="D94" s="2841"/>
      <c r="K94" s="610"/>
      <c r="L94" s="610"/>
    </row>
    <row r="95" spans="1:12" s="517" customFormat="1">
      <c r="A95" s="2584"/>
      <c r="D95" s="2841"/>
      <c r="K95" s="610"/>
      <c r="L95" s="610"/>
    </row>
    <row r="96" spans="1:12" s="517" customFormat="1">
      <c r="A96" s="2584"/>
      <c r="D96" s="2841"/>
      <c r="K96" s="610"/>
      <c r="L96" s="610"/>
    </row>
    <row r="97" spans="1:12" s="517" customFormat="1">
      <c r="A97" s="2584"/>
      <c r="D97" s="2841"/>
      <c r="K97" s="610"/>
      <c r="L97" s="610"/>
    </row>
    <row r="98" spans="1:12" s="517" customFormat="1">
      <c r="A98" s="2584"/>
      <c r="D98" s="2841"/>
      <c r="K98" s="610"/>
      <c r="L98" s="610"/>
    </row>
    <row r="99" spans="1:12" s="517" customFormat="1">
      <c r="A99" s="2584"/>
      <c r="D99" s="2841"/>
      <c r="K99" s="610"/>
      <c r="L99" s="610"/>
    </row>
    <row r="100" spans="1:12" s="517" customFormat="1">
      <c r="A100" s="2584"/>
      <c r="D100" s="2841"/>
      <c r="K100" s="610"/>
      <c r="L100" s="610"/>
    </row>
    <row r="101" spans="1:12" s="517" customFormat="1">
      <c r="A101" s="2584"/>
      <c r="D101" s="2841"/>
      <c r="K101" s="610"/>
      <c r="L101" s="610"/>
    </row>
    <row r="102" spans="1:12" s="517" customFormat="1">
      <c r="A102" s="2584"/>
      <c r="D102" s="2841"/>
      <c r="K102" s="610"/>
      <c r="L102" s="610"/>
    </row>
    <row r="103" spans="1:12" s="517" customFormat="1">
      <c r="A103" s="2584"/>
      <c r="D103" s="2841"/>
      <c r="K103" s="610"/>
      <c r="L103" s="610"/>
    </row>
    <row r="104" spans="1:12" s="517" customFormat="1">
      <c r="A104" s="2584"/>
      <c r="D104" s="2841"/>
      <c r="K104" s="610"/>
      <c r="L104" s="610"/>
    </row>
    <row r="105" spans="1:12" s="517" customFormat="1">
      <c r="A105" s="2584"/>
      <c r="D105" s="2841"/>
      <c r="K105" s="610"/>
      <c r="L105" s="610"/>
    </row>
    <row r="106" spans="1:12" s="517" customFormat="1">
      <c r="A106" s="2584"/>
      <c r="D106" s="2841"/>
      <c r="K106" s="610"/>
      <c r="L106" s="610"/>
    </row>
    <row r="107" spans="1:12" s="517" customFormat="1">
      <c r="A107" s="2584"/>
      <c r="D107" s="2841"/>
      <c r="K107" s="610"/>
      <c r="L107" s="610"/>
    </row>
    <row r="108" spans="1:12" s="517" customFormat="1">
      <c r="A108" s="2584"/>
      <c r="D108" s="2841"/>
      <c r="K108" s="610"/>
      <c r="L108" s="610"/>
    </row>
    <row r="109" spans="1:12" s="517" customFormat="1">
      <c r="A109" s="2584"/>
      <c r="D109" s="2841"/>
      <c r="K109" s="610"/>
      <c r="L109" s="610"/>
    </row>
    <row r="110" spans="1:12" s="517" customFormat="1">
      <c r="A110" s="2584"/>
      <c r="D110" s="2841"/>
      <c r="K110" s="610"/>
      <c r="L110" s="610"/>
    </row>
    <row r="111" spans="1:12" s="517" customFormat="1">
      <c r="A111" s="2584"/>
      <c r="D111" s="2841"/>
      <c r="K111" s="610"/>
      <c r="L111" s="610"/>
    </row>
    <row r="112" spans="1:12" s="517" customFormat="1">
      <c r="A112" s="2584"/>
      <c r="D112" s="2841"/>
      <c r="K112" s="610"/>
      <c r="L112" s="610"/>
    </row>
    <row r="113" spans="1:12" s="517" customFormat="1">
      <c r="A113" s="2584"/>
      <c r="D113" s="2841"/>
      <c r="K113" s="610"/>
      <c r="L113" s="610"/>
    </row>
    <row r="114" spans="1:12" s="517" customFormat="1">
      <c r="A114" s="2584"/>
      <c r="D114" s="2841"/>
      <c r="K114" s="610"/>
      <c r="L114" s="610"/>
    </row>
    <row r="115" spans="1:12" s="517" customFormat="1">
      <c r="A115" s="2584"/>
      <c r="D115" s="2841"/>
      <c r="K115" s="610"/>
      <c r="L115" s="610"/>
    </row>
    <row r="116" spans="1:12" s="517" customFormat="1">
      <c r="A116" s="2584"/>
      <c r="D116" s="2841"/>
      <c r="K116" s="610"/>
      <c r="L116" s="610"/>
    </row>
    <row r="117" spans="1:12" s="517" customFormat="1">
      <c r="A117" s="2584"/>
      <c r="D117" s="2841"/>
      <c r="K117" s="610"/>
      <c r="L117" s="610"/>
    </row>
    <row r="118" spans="1:12" s="517" customFormat="1">
      <c r="A118" s="2584"/>
      <c r="D118" s="2841"/>
      <c r="K118" s="610"/>
      <c r="L118" s="610"/>
    </row>
    <row r="119" spans="1:12" s="517" customFormat="1">
      <c r="A119" s="2584"/>
      <c r="D119" s="2841"/>
      <c r="K119" s="610"/>
      <c r="L119" s="610"/>
    </row>
    <row r="120" spans="1:12" s="517" customFormat="1">
      <c r="A120" s="2584"/>
      <c r="D120" s="2841"/>
      <c r="K120" s="610"/>
      <c r="L120" s="610"/>
    </row>
    <row r="121" spans="1:12" s="517" customFormat="1">
      <c r="A121" s="2584"/>
      <c r="D121" s="2841"/>
      <c r="K121" s="610"/>
      <c r="L121" s="610"/>
    </row>
    <row r="122" spans="1:12" s="517" customFormat="1">
      <c r="A122" s="2584"/>
      <c r="D122" s="2841"/>
      <c r="K122" s="610"/>
      <c r="L122" s="610"/>
    </row>
    <row r="123" spans="1:12" s="517" customFormat="1">
      <c r="A123" s="2584"/>
      <c r="D123" s="2841"/>
      <c r="K123" s="610"/>
      <c r="L123" s="610"/>
    </row>
    <row r="124" spans="1:12" s="517" customFormat="1">
      <c r="A124" s="2584"/>
      <c r="D124" s="2841"/>
      <c r="K124" s="610"/>
      <c r="L124" s="610"/>
    </row>
    <row r="125" spans="1:12" s="517" customFormat="1">
      <c r="A125" s="2584"/>
      <c r="D125" s="2841"/>
      <c r="K125" s="610"/>
      <c r="L125" s="610"/>
    </row>
    <row r="126" spans="1:12" s="517" customFormat="1">
      <c r="A126" s="2584"/>
      <c r="D126" s="2841"/>
      <c r="K126" s="610"/>
      <c r="L126" s="610"/>
    </row>
    <row r="127" spans="1:12" s="517" customFormat="1">
      <c r="A127" s="2584"/>
      <c r="D127" s="2841"/>
      <c r="K127" s="610"/>
      <c r="L127" s="610"/>
    </row>
    <row r="128" spans="1:12" s="517" customFormat="1">
      <c r="A128" s="2584"/>
      <c r="D128" s="2841"/>
      <c r="K128" s="610"/>
      <c r="L128" s="610"/>
    </row>
    <row r="129" spans="1:12" s="517" customFormat="1">
      <c r="A129" s="2584"/>
      <c r="D129" s="2841"/>
      <c r="K129" s="610"/>
      <c r="L129" s="610"/>
    </row>
    <row r="130" spans="1:12" s="517" customFormat="1">
      <c r="A130" s="2584"/>
      <c r="D130" s="2841"/>
      <c r="K130" s="610"/>
      <c r="L130" s="610"/>
    </row>
    <row r="131" spans="1:12" s="517" customFormat="1">
      <c r="A131" s="2584"/>
      <c r="D131" s="2841"/>
      <c r="K131" s="610"/>
      <c r="L131" s="610"/>
    </row>
    <row r="132" spans="1:12" s="517" customFormat="1">
      <c r="A132" s="2584"/>
      <c r="D132" s="2841"/>
      <c r="K132" s="610"/>
      <c r="L132" s="610"/>
    </row>
    <row r="133" spans="1:12" s="517" customFormat="1">
      <c r="A133" s="2584"/>
      <c r="D133" s="2841"/>
      <c r="K133" s="610"/>
      <c r="L133" s="610"/>
    </row>
    <row r="134" spans="1:12" s="516" customFormat="1">
      <c r="A134" s="2842"/>
      <c r="D134" s="2843"/>
      <c r="K134" s="513"/>
      <c r="L134" s="513"/>
    </row>
    <row r="135" spans="1:12" s="516" customFormat="1">
      <c r="A135" s="2842"/>
      <c r="D135" s="2843"/>
      <c r="K135" s="513"/>
      <c r="L135" s="513"/>
    </row>
    <row r="136" spans="1:12" s="516" customFormat="1">
      <c r="A136" s="2842"/>
      <c r="D136" s="2843"/>
      <c r="K136" s="513"/>
      <c r="L136" s="513"/>
    </row>
    <row r="137" spans="1:12" s="516" customFormat="1">
      <c r="A137" s="2842"/>
      <c r="D137" s="2843"/>
      <c r="K137" s="513"/>
      <c r="L137" s="513"/>
    </row>
    <row r="138" spans="1:12" s="516" customFormat="1">
      <c r="A138" s="2842"/>
      <c r="D138" s="2843"/>
      <c r="K138" s="513"/>
      <c r="L138" s="513"/>
    </row>
    <row r="139" spans="1:12" s="516" customFormat="1">
      <c r="A139" s="2842"/>
      <c r="D139" s="2843"/>
      <c r="K139" s="513"/>
      <c r="L139" s="513"/>
    </row>
    <row r="140" spans="1:12" s="516" customFormat="1">
      <c r="A140" s="2842"/>
      <c r="D140" s="2843"/>
      <c r="K140" s="513"/>
      <c r="L140" s="513"/>
    </row>
    <row r="141" spans="1:12" s="516" customFormat="1">
      <c r="A141" s="2842"/>
      <c r="D141" s="2843"/>
      <c r="K141" s="513"/>
      <c r="L141" s="513"/>
    </row>
    <row r="142" spans="1:12" s="516" customFormat="1">
      <c r="A142" s="2842"/>
      <c r="D142" s="2843"/>
      <c r="K142" s="513"/>
      <c r="L142" s="513"/>
    </row>
    <row r="143" spans="1:12" s="516" customFormat="1">
      <c r="A143" s="2842"/>
      <c r="D143" s="2843"/>
      <c r="K143" s="513"/>
      <c r="L143" s="513"/>
    </row>
    <row r="144" spans="1:12" s="516" customFormat="1">
      <c r="A144" s="2842"/>
      <c r="D144" s="2843"/>
      <c r="K144" s="513"/>
      <c r="L144" s="513"/>
    </row>
    <row r="145" spans="1:12" s="516" customFormat="1">
      <c r="A145" s="2842"/>
      <c r="D145" s="2843"/>
      <c r="K145" s="513"/>
      <c r="L145" s="513"/>
    </row>
    <row r="146" spans="1:12" s="516" customFormat="1">
      <c r="A146" s="2842"/>
      <c r="D146" s="2843"/>
      <c r="K146" s="513"/>
      <c r="L146" s="513"/>
    </row>
    <row r="147" spans="1:12" s="516" customFormat="1">
      <c r="A147" s="2842"/>
      <c r="D147" s="2843"/>
      <c r="K147" s="513"/>
      <c r="L147" s="513"/>
    </row>
    <row r="148" spans="1:12" s="516" customFormat="1">
      <c r="A148" s="2842"/>
      <c r="D148" s="2843"/>
      <c r="K148" s="513"/>
      <c r="L148" s="513"/>
    </row>
    <row r="149" spans="1:12" s="516" customFormat="1">
      <c r="A149" s="2842"/>
      <c r="D149" s="2843"/>
      <c r="K149" s="513"/>
      <c r="L149" s="513"/>
    </row>
    <row r="150" spans="1:12" s="516" customFormat="1">
      <c r="A150" s="2842"/>
      <c r="D150" s="2843"/>
      <c r="K150" s="513"/>
      <c r="L150" s="513"/>
    </row>
    <row r="151" spans="1:12" s="516" customFormat="1">
      <c r="A151" s="2842"/>
      <c r="D151" s="2843"/>
      <c r="K151" s="513"/>
      <c r="L151" s="513"/>
    </row>
    <row r="152" spans="1:12" s="516" customFormat="1">
      <c r="A152" s="2842"/>
      <c r="D152" s="2843"/>
      <c r="K152" s="513"/>
      <c r="L152" s="513"/>
    </row>
    <row r="153" spans="1:12" s="516" customFormat="1">
      <c r="A153" s="2842"/>
      <c r="D153" s="2843"/>
      <c r="K153" s="513"/>
      <c r="L153" s="513"/>
    </row>
    <row r="154" spans="1:12" s="516" customFormat="1">
      <c r="A154" s="2842"/>
      <c r="D154" s="2843"/>
      <c r="K154" s="513"/>
      <c r="L154" s="513"/>
    </row>
    <row r="155" spans="1:12" s="516" customFormat="1">
      <c r="A155" s="2842"/>
      <c r="D155" s="2843"/>
      <c r="K155" s="513"/>
      <c r="L155" s="513"/>
    </row>
    <row r="156" spans="1:12" s="516" customFormat="1">
      <c r="A156" s="2842"/>
      <c r="D156" s="2843"/>
      <c r="K156" s="513"/>
      <c r="L156" s="513"/>
    </row>
    <row r="157" spans="1:12" s="516" customFormat="1">
      <c r="A157" s="2842"/>
      <c r="D157" s="2843"/>
      <c r="K157" s="513"/>
      <c r="L157" s="513"/>
    </row>
    <row r="158" spans="1:12" s="516" customFormat="1">
      <c r="A158" s="2842"/>
      <c r="D158" s="2843"/>
      <c r="K158" s="513"/>
      <c r="L158" s="513"/>
    </row>
    <row r="159" spans="1:12" s="516" customFormat="1">
      <c r="A159" s="2842"/>
      <c r="D159" s="2843"/>
      <c r="K159" s="513"/>
      <c r="L159" s="513"/>
    </row>
    <row r="160" spans="1:12" s="516" customFormat="1">
      <c r="A160" s="2842"/>
      <c r="D160" s="2843"/>
      <c r="K160" s="513"/>
      <c r="L160" s="513"/>
    </row>
    <row r="161" spans="1:12" s="516" customFormat="1">
      <c r="A161" s="2842"/>
      <c r="D161" s="2843"/>
      <c r="K161" s="513"/>
      <c r="L161" s="513"/>
    </row>
    <row r="162" spans="1:12" s="516" customFormat="1">
      <c r="A162" s="2842"/>
      <c r="D162" s="2843"/>
      <c r="K162" s="513"/>
      <c r="L162" s="513"/>
    </row>
    <row r="163" spans="1:12" s="516" customFormat="1">
      <c r="A163" s="2842"/>
      <c r="D163" s="2843"/>
      <c r="K163" s="513"/>
      <c r="L163" s="513"/>
    </row>
    <row r="164" spans="1:12" s="516" customFormat="1">
      <c r="A164" s="2842"/>
      <c r="D164" s="2843"/>
      <c r="K164" s="513"/>
      <c r="L164" s="513"/>
    </row>
    <row r="165" spans="1:12" s="516" customFormat="1">
      <c r="A165" s="2842"/>
      <c r="D165" s="2843"/>
      <c r="K165" s="513"/>
      <c r="L165" s="513"/>
    </row>
    <row r="166" spans="1:12" s="516" customFormat="1">
      <c r="A166" s="2842"/>
      <c r="D166" s="2843"/>
      <c r="K166" s="513"/>
      <c r="L166" s="513"/>
    </row>
    <row r="167" spans="1:12" s="516" customFormat="1">
      <c r="A167" s="2842"/>
      <c r="D167" s="2843"/>
      <c r="K167" s="513"/>
      <c r="L167" s="513"/>
    </row>
    <row r="168" spans="1:12" s="516" customFormat="1">
      <c r="A168" s="2842"/>
      <c r="D168" s="2843"/>
      <c r="K168" s="513"/>
      <c r="L168" s="513"/>
    </row>
    <row r="169" spans="1:12" s="516" customFormat="1">
      <c r="A169" s="2842"/>
      <c r="D169" s="2843"/>
      <c r="K169" s="513"/>
      <c r="L169" s="513"/>
    </row>
    <row r="170" spans="1:12" s="516" customFormat="1">
      <c r="A170" s="2842"/>
      <c r="D170" s="2843"/>
      <c r="K170" s="513"/>
      <c r="L170" s="513"/>
    </row>
    <row r="171" spans="1:12" s="516" customFormat="1">
      <c r="A171" s="2842"/>
      <c r="D171" s="2843"/>
      <c r="K171" s="513"/>
      <c r="L171" s="513"/>
    </row>
    <row r="172" spans="1:12" s="516" customFormat="1">
      <c r="A172" s="2842"/>
      <c r="D172" s="2843"/>
      <c r="K172" s="513"/>
      <c r="L172" s="513"/>
    </row>
    <row r="173" spans="1:12" s="516" customFormat="1">
      <c r="A173" s="2842"/>
      <c r="D173" s="2843"/>
      <c r="K173" s="513"/>
      <c r="L173" s="513"/>
    </row>
    <row r="174" spans="1:12" s="516" customFormat="1">
      <c r="A174" s="2842"/>
      <c r="D174" s="2843"/>
      <c r="K174" s="513"/>
      <c r="L174" s="513"/>
    </row>
  </sheetData>
  <sheetProtection formatCells="0" formatColumns="0" formatRows="0"/>
  <phoneticPr fontId="23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N44"/>
  <sheetViews>
    <sheetView workbookViewId="0">
      <selection activeCell="L31" sqref="L31"/>
    </sheetView>
  </sheetViews>
  <sheetFormatPr defaultColWidth="9" defaultRowHeight="14.25"/>
  <cols>
    <col min="1" max="3" width="9" style="2661"/>
    <col min="4" max="4" width="12.75" style="2661" customWidth="1"/>
    <col min="5" max="5" width="9" style="2661" customWidth="1"/>
    <col min="6" max="7" width="12.75" style="2661" customWidth="1"/>
    <col min="8" max="8" width="12.25" style="2661" customWidth="1"/>
    <col min="9" max="16384" width="9" style="2661"/>
  </cols>
  <sheetData>
    <row r="3" spans="2:14" s="2659" customFormat="1">
      <c r="C3" s="2659" t="s">
        <v>732</v>
      </c>
      <c r="D3" s="2659" t="s">
        <v>733</v>
      </c>
      <c r="E3" s="2659" t="s">
        <v>734</v>
      </c>
      <c r="F3" s="2659" t="s">
        <v>735</v>
      </c>
      <c r="G3" s="2659" t="s">
        <v>736</v>
      </c>
      <c r="J3" s="2659" t="s">
        <v>732</v>
      </c>
      <c r="K3" s="2659" t="s">
        <v>733</v>
      </c>
      <c r="L3" s="2659" t="s">
        <v>734</v>
      </c>
      <c r="M3" s="2659" t="s">
        <v>735</v>
      </c>
      <c r="N3" s="2659" t="s">
        <v>736</v>
      </c>
    </row>
    <row r="4" spans="2:14" s="2660" customFormat="1">
      <c r="C4" s="2660" t="s">
        <v>737</v>
      </c>
      <c r="D4" s="2660">
        <v>80406.63</v>
      </c>
      <c r="E4" s="2660">
        <v>5.58</v>
      </c>
      <c r="F4" s="2660">
        <v>3000</v>
      </c>
      <c r="G4" s="2660">
        <v>2014</v>
      </c>
      <c r="J4" s="2660" t="s">
        <v>737</v>
      </c>
      <c r="K4" s="2660">
        <v>20123.560000000001</v>
      </c>
      <c r="L4" s="2660">
        <v>11.16</v>
      </c>
      <c r="M4" s="2660">
        <v>4000</v>
      </c>
      <c r="N4" s="2660">
        <v>2013</v>
      </c>
    </row>
    <row r="5" spans="2:14" s="2660" customFormat="1">
      <c r="B5" s="2660" t="s">
        <v>738</v>
      </c>
      <c r="C5" s="2660" t="s">
        <v>739</v>
      </c>
      <c r="D5" s="2660">
        <v>71790.05</v>
      </c>
      <c r="E5" s="2660">
        <v>5.58</v>
      </c>
      <c r="F5" s="2660">
        <f>F4</f>
        <v>3000</v>
      </c>
      <c r="I5" s="2660" t="s">
        <v>740</v>
      </c>
      <c r="J5" s="2660" t="s">
        <v>739</v>
      </c>
      <c r="K5" s="2660">
        <v>5272.56</v>
      </c>
      <c r="L5" s="2660">
        <v>5.58</v>
      </c>
      <c r="M5" s="2660">
        <v>3000</v>
      </c>
    </row>
    <row r="6" spans="2:14" s="2660" customFormat="1">
      <c r="C6" s="2660" t="s">
        <v>741</v>
      </c>
      <c r="D6" s="2660">
        <v>68146.350000000006</v>
      </c>
      <c r="E6" s="2660">
        <v>5.58</v>
      </c>
      <c r="F6" s="2660">
        <f>F4</f>
        <v>3000</v>
      </c>
      <c r="J6" s="2660" t="s">
        <v>741</v>
      </c>
      <c r="K6" s="2660">
        <v>19889.009999999998</v>
      </c>
      <c r="L6" s="2660">
        <v>6.51</v>
      </c>
      <c r="M6" s="2660">
        <v>3000</v>
      </c>
    </row>
    <row r="7" spans="2:14" s="2660" customFormat="1">
      <c r="C7" s="2660" t="s">
        <v>742</v>
      </c>
      <c r="D7" s="2660">
        <v>20691.32</v>
      </c>
      <c r="E7" s="2660">
        <v>5.28</v>
      </c>
      <c r="F7" s="2660">
        <f>F4</f>
        <v>3000</v>
      </c>
      <c r="J7" s="2660" t="s">
        <v>743</v>
      </c>
      <c r="K7" s="2660">
        <v>25756.11</v>
      </c>
      <c r="L7" s="2660">
        <v>5.58</v>
      </c>
      <c r="M7" s="2660">
        <v>5000</v>
      </c>
    </row>
    <row r="8" spans="2:14" s="2660" customFormat="1">
      <c r="C8" s="2660" t="s">
        <v>743</v>
      </c>
      <c r="D8" s="2660">
        <v>91347.8</v>
      </c>
      <c r="E8" s="2660">
        <v>5.58</v>
      </c>
      <c r="F8" s="2660">
        <v>5000</v>
      </c>
      <c r="J8" s="2660" t="s">
        <v>744</v>
      </c>
      <c r="K8" s="2660">
        <v>25624.880000000001</v>
      </c>
      <c r="L8" s="2660">
        <v>4.34</v>
      </c>
      <c r="M8" s="2660">
        <v>4500</v>
      </c>
    </row>
    <row r="9" spans="2:14" s="2660" customFormat="1">
      <c r="C9" s="2660" t="s">
        <v>744</v>
      </c>
      <c r="D9" s="2660">
        <v>78598.679999999993</v>
      </c>
      <c r="E9" s="2660">
        <v>4.34</v>
      </c>
      <c r="F9" s="2660">
        <v>4500</v>
      </c>
      <c r="J9" s="2660" t="s">
        <v>745</v>
      </c>
      <c r="K9" s="2660">
        <v>16357.12</v>
      </c>
      <c r="L9" s="2660">
        <v>4.6500000000000004</v>
      </c>
      <c r="M9" s="2660">
        <v>4500</v>
      </c>
    </row>
    <row r="10" spans="2:14" s="2660" customFormat="1">
      <c r="C10" s="2660" t="s">
        <v>745</v>
      </c>
      <c r="D10" s="2660">
        <v>63671.39</v>
      </c>
      <c r="E10" s="2660">
        <v>4.6500000000000004</v>
      </c>
      <c r="F10" s="2660">
        <v>4500</v>
      </c>
    </row>
    <row r="11" spans="2:14" s="2660" customFormat="1">
      <c r="C11" s="2660" t="s">
        <v>746</v>
      </c>
      <c r="D11" s="2660">
        <v>1311.13</v>
      </c>
      <c r="F11" s="2660">
        <v>3000</v>
      </c>
    </row>
    <row r="12" spans="2:14" s="2660" customFormat="1">
      <c r="C12" s="2660" t="s">
        <v>747</v>
      </c>
      <c r="D12" s="2660">
        <v>7344.91</v>
      </c>
      <c r="F12" s="2660">
        <v>3000</v>
      </c>
      <c r="J12" s="2660" t="s">
        <v>748</v>
      </c>
      <c r="K12" s="2660">
        <v>440.19</v>
      </c>
      <c r="L12" s="2660">
        <v>4.6500000000000004</v>
      </c>
      <c r="M12" s="2660">
        <v>3000</v>
      </c>
    </row>
    <row r="13" spans="2:14" s="2660" customFormat="1">
      <c r="C13" s="2660" t="s">
        <v>749</v>
      </c>
      <c r="D13" s="2660">
        <v>58.99</v>
      </c>
      <c r="F13" s="2660">
        <v>3000</v>
      </c>
    </row>
    <row r="14" spans="2:14" s="2660" customFormat="1">
      <c r="D14" s="2660">
        <f>SUM(D4:D13)</f>
        <v>483367.25</v>
      </c>
      <c r="F14" s="2660">
        <f>ROUND((D4*F4+D5*F5+D6*F6+D7*F7+D8*F8+D9*F9+D10*F10+D11*F11+D12*F12+D13*F13)/D14,0)</f>
        <v>3819</v>
      </c>
      <c r="K14" s="2660">
        <f>SUM(K4:K13)</f>
        <v>113463.43000000001</v>
      </c>
      <c r="M14" s="2660">
        <f>ROUND((K4*M4+K5*M5+K6*M6+K7*M7+K8*M8+K9*M9+K12*M12)/K14,0)</f>
        <v>4186</v>
      </c>
    </row>
    <row r="15" spans="2:14">
      <c r="C15" s="2661" t="s">
        <v>750</v>
      </c>
      <c r="D15" s="2661">
        <v>483530.16</v>
      </c>
      <c r="F15" s="2661">
        <f>198985/D15*10000</f>
        <v>4115.2551890454988</v>
      </c>
      <c r="H15" s="2661">
        <f>D15+K15</f>
        <v>596993.59</v>
      </c>
      <c r="K15" s="2661">
        <v>113463.43</v>
      </c>
      <c r="M15" s="2661">
        <f>37711*10000/K15</f>
        <v>3323.6259471443796</v>
      </c>
    </row>
    <row r="16" spans="2:14">
      <c r="D16" s="2662">
        <f>D15-D14</f>
        <v>162.90999999997439</v>
      </c>
      <c r="E16" s="2661" t="s">
        <v>751</v>
      </c>
    </row>
    <row r="17" spans="7:9">
      <c r="G17" s="2661" t="s">
        <v>430</v>
      </c>
      <c r="H17" s="2661">
        <f>H18+H19</f>
        <v>596993.59</v>
      </c>
      <c r="I17" s="2661">
        <f>ROUND((H18*I18+H19*I19+H24*I24)/H17,0)</f>
        <v>4097</v>
      </c>
    </row>
    <row r="18" spans="7:9">
      <c r="G18" s="2663" t="s">
        <v>738</v>
      </c>
      <c r="H18" s="2661">
        <f>D15</f>
        <v>483530.16</v>
      </c>
      <c r="I18" s="2661">
        <f>F14</f>
        <v>3819</v>
      </c>
    </row>
    <row r="19" spans="7:9">
      <c r="G19" s="2663" t="s">
        <v>740</v>
      </c>
      <c r="H19" s="2661">
        <f>K15</f>
        <v>113463.43</v>
      </c>
      <c r="I19" s="2661">
        <f>M14</f>
        <v>4186</v>
      </c>
    </row>
    <row r="20" spans="7:9">
      <c r="G20" s="2661" t="s">
        <v>434</v>
      </c>
      <c r="I20" s="2661">
        <v>800</v>
      </c>
    </row>
    <row r="21" spans="7:9">
      <c r="G21" s="2661" t="s">
        <v>433</v>
      </c>
      <c r="I21" s="2661">
        <v>1500</v>
      </c>
    </row>
    <row r="22" spans="7:9">
      <c r="G22" s="2661" t="s">
        <v>752</v>
      </c>
      <c r="H22" s="2664">
        <v>0.05</v>
      </c>
      <c r="I22" s="2661">
        <f>ROUND((I17+I20+I21)*H22,0)</f>
        <v>320</v>
      </c>
    </row>
    <row r="23" spans="7:9">
      <c r="I23" s="2661">
        <f>I17+I20+I21+I22</f>
        <v>6717</v>
      </c>
    </row>
    <row r="24" spans="7:9">
      <c r="G24" s="2661" t="s">
        <v>3844</v>
      </c>
      <c r="H24" s="2661">
        <f>23257.88+7832.02</f>
        <v>31089.9</v>
      </c>
      <c r="I24" s="2661">
        <v>4000</v>
      </c>
    </row>
    <row r="26" spans="7:9">
      <c r="G26" s="2661" t="s">
        <v>753</v>
      </c>
    </row>
    <row r="27" spans="7:9">
      <c r="G27" s="2661" t="s">
        <v>754</v>
      </c>
      <c r="H27" s="2661">
        <f>ROUND(1-(2025-G4)/60,2)</f>
        <v>0.82</v>
      </c>
    </row>
    <row r="28" spans="7:9">
      <c r="G28" s="2661" t="s">
        <v>755</v>
      </c>
      <c r="H28" s="2661">
        <f>1-(2025-N4)/60</f>
        <v>0.8</v>
      </c>
    </row>
    <row r="29" spans="7:9">
      <c r="G29" s="2661" t="s">
        <v>756</v>
      </c>
      <c r="H29" s="2661">
        <f>ROUND((H27*D15+H28*K15)/H15,2)</f>
        <v>0.82</v>
      </c>
    </row>
    <row r="33" spans="3:6">
      <c r="C33" s="3284" t="s">
        <v>3832</v>
      </c>
      <c r="D33" s="3284" t="s">
        <v>3831</v>
      </c>
      <c r="E33" s="3284" t="s">
        <v>3836</v>
      </c>
      <c r="F33" s="3284" t="s">
        <v>3837</v>
      </c>
    </row>
    <row r="34" spans="3:6">
      <c r="C34" s="3284" t="s">
        <v>3833</v>
      </c>
      <c r="D34" s="3284">
        <v>80406.63</v>
      </c>
      <c r="E34" s="3284">
        <v>20123.560000000001</v>
      </c>
      <c r="F34" s="3284" t="s">
        <v>3841</v>
      </c>
    </row>
    <row r="35" spans="3:6">
      <c r="C35" s="3284" t="s">
        <v>739</v>
      </c>
      <c r="D35" s="3284">
        <v>71790.05</v>
      </c>
      <c r="E35" s="3284">
        <v>5272.56</v>
      </c>
      <c r="F35" s="3284" t="s">
        <v>3842</v>
      </c>
    </row>
    <row r="36" spans="3:6">
      <c r="C36" s="3284" t="s">
        <v>741</v>
      </c>
      <c r="D36" s="3284">
        <v>68146.350000000006</v>
      </c>
      <c r="E36" s="3284">
        <v>19889.009999999998</v>
      </c>
      <c r="F36" s="3284" t="s">
        <v>3841</v>
      </c>
    </row>
    <row r="37" spans="3:6">
      <c r="C37" s="3284" t="s">
        <v>742</v>
      </c>
      <c r="D37" s="3284">
        <v>20691.32</v>
      </c>
      <c r="E37" s="3284" t="s">
        <v>3840</v>
      </c>
      <c r="F37" s="3284" t="s">
        <v>3841</v>
      </c>
    </row>
    <row r="38" spans="3:6">
      <c r="C38" s="3284" t="s">
        <v>3839</v>
      </c>
      <c r="D38" s="3284">
        <f>SUM(D34:D37)</f>
        <v>241034.35</v>
      </c>
      <c r="E38" s="3284">
        <f>E34+E35+E36</f>
        <v>45285.130000000005</v>
      </c>
      <c r="F38" s="3284" t="s">
        <v>3840</v>
      </c>
    </row>
    <row r="39" spans="3:6">
      <c r="C39" s="3284" t="s">
        <v>3834</v>
      </c>
      <c r="D39" s="3284">
        <v>91347.8</v>
      </c>
      <c r="E39" s="3284">
        <v>25756.11</v>
      </c>
      <c r="F39" s="3284" t="s">
        <v>3843</v>
      </c>
    </row>
    <row r="40" spans="3:6">
      <c r="C40" s="3284" t="s">
        <v>744</v>
      </c>
      <c r="D40" s="3284">
        <v>78598.679999999993</v>
      </c>
      <c r="E40" s="3284">
        <v>25624.880000000001</v>
      </c>
      <c r="F40" s="3284" t="s">
        <v>3843</v>
      </c>
    </row>
    <row r="41" spans="3:6">
      <c r="C41" s="3284" t="s">
        <v>745</v>
      </c>
      <c r="D41" s="3284">
        <v>63671.39</v>
      </c>
      <c r="E41" s="3284">
        <v>16357.12</v>
      </c>
      <c r="F41" s="3284" t="s">
        <v>3843</v>
      </c>
    </row>
    <row r="42" spans="3:6">
      <c r="C42" s="3284" t="s">
        <v>3839</v>
      </c>
      <c r="D42" s="3284">
        <f>D39+D40+D41</f>
        <v>233617.87</v>
      </c>
      <c r="E42" s="3284">
        <f>E39+E40+E41</f>
        <v>67738.11</v>
      </c>
      <c r="F42" s="3284" t="s">
        <v>3840</v>
      </c>
    </row>
    <row r="43" spans="3:6">
      <c r="C43" s="3284" t="s">
        <v>3835</v>
      </c>
      <c r="D43" s="3284">
        <f>D11+D12+D13+D16</f>
        <v>8877.939999999975</v>
      </c>
      <c r="E43" s="3284">
        <v>440.19</v>
      </c>
      <c r="F43" s="3284" t="s">
        <v>3835</v>
      </c>
    </row>
    <row r="44" spans="3:6">
      <c r="C44" s="3284" t="s">
        <v>3838</v>
      </c>
      <c r="D44" s="3284">
        <f>D38+D42+D43</f>
        <v>483530.16</v>
      </c>
      <c r="E44" s="3284">
        <f>E38+E42+E43</f>
        <v>113463.43000000001</v>
      </c>
      <c r="F44" s="3284" t="s">
        <v>3840</v>
      </c>
    </row>
  </sheetData>
  <phoneticPr fontId="23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04" customWidth="1"/>
    <col min="2" max="3" width="24.5" style="1149" customWidth="1"/>
    <col min="4" max="4" width="2.625" style="1149" customWidth="1"/>
    <col min="5" max="5" width="5.875" style="1149" customWidth="1"/>
    <col min="6" max="7" width="27" style="1149" customWidth="1"/>
    <col min="8" max="8" width="11.875" style="2605" customWidth="1"/>
    <col min="9" max="9" width="16.75" style="2605" customWidth="1"/>
    <col min="10" max="10" width="2.625" style="2605" customWidth="1"/>
    <col min="11" max="11" width="11.875" style="2605" customWidth="1"/>
    <col min="12" max="12" width="16.75" style="2605" customWidth="1"/>
    <col min="13" max="13" width="2.625" style="2605" customWidth="1"/>
    <col min="14" max="14" width="11.875" style="2605" customWidth="1"/>
    <col min="15" max="15" width="16.75" style="2605" customWidth="1"/>
    <col min="16" max="16" width="2.625" style="2605" customWidth="1"/>
    <col min="17" max="17" width="11.875" style="2605" customWidth="1"/>
    <col min="18" max="18" width="16.75" style="2219" customWidth="1"/>
    <col min="19" max="29" width="9" style="2219"/>
    <col min="30" max="16384" width="9" style="2604"/>
  </cols>
  <sheetData>
    <row r="1" spans="1:29" s="2603" customFormat="1" ht="18">
      <c r="A1" s="3375" t="s">
        <v>757</v>
      </c>
      <c r="B1" s="3376"/>
      <c r="C1" s="3376"/>
      <c r="D1" s="3376"/>
      <c r="E1" s="3376"/>
      <c r="F1" s="3376"/>
      <c r="G1" s="3376"/>
      <c r="H1" s="2606"/>
      <c r="I1" s="2606"/>
      <c r="J1" s="2606"/>
      <c r="K1" s="2606"/>
      <c r="L1" s="2606"/>
      <c r="M1" s="2606"/>
      <c r="N1" s="2606"/>
      <c r="O1" s="2606"/>
      <c r="P1" s="2606"/>
      <c r="Q1" s="2657"/>
      <c r="R1" s="2658"/>
      <c r="S1" s="2658"/>
      <c r="T1" s="2658"/>
      <c r="U1" s="2658"/>
      <c r="V1" s="2658"/>
      <c r="W1" s="2658"/>
      <c r="X1" s="2658"/>
      <c r="Y1" s="2658"/>
      <c r="Z1" s="2658"/>
      <c r="AA1" s="2658"/>
      <c r="AB1" s="2658"/>
      <c r="AC1" s="2658"/>
    </row>
    <row r="2" spans="1:29">
      <c r="A2" s="2607"/>
      <c r="B2" s="2608"/>
      <c r="C2" s="2609" t="s">
        <v>758</v>
      </c>
      <c r="D2" s="2610"/>
      <c r="E2" s="2607"/>
      <c r="F2" s="2611"/>
      <c r="G2" s="2609" t="s">
        <v>759</v>
      </c>
      <c r="H2" s="2219"/>
      <c r="I2" s="2219"/>
      <c r="J2" s="2219"/>
      <c r="K2" s="2219"/>
      <c r="L2" s="2219"/>
      <c r="M2" s="2219"/>
      <c r="N2" s="2219"/>
      <c r="O2" s="2219"/>
      <c r="P2" s="2219"/>
      <c r="Q2" s="2219"/>
    </row>
    <row r="3" spans="1:29" ht="48">
      <c r="A3" s="2612" t="s">
        <v>760</v>
      </c>
      <c r="B3" s="2613" t="s">
        <v>761</v>
      </c>
      <c r="C3" s="2614" t="s">
        <v>762</v>
      </c>
      <c r="D3" s="2615"/>
      <c r="E3" s="2616" t="s">
        <v>760</v>
      </c>
      <c r="F3" s="2617" t="s">
        <v>763</v>
      </c>
      <c r="G3" s="2618" t="s">
        <v>764</v>
      </c>
      <c r="H3" s="2219"/>
      <c r="I3" s="2219"/>
      <c r="J3" s="2219"/>
      <c r="K3" s="2219"/>
      <c r="L3" s="2219"/>
      <c r="M3" s="2219"/>
      <c r="N3" s="2219"/>
      <c r="O3" s="2219"/>
      <c r="P3" s="2219"/>
      <c r="Q3" s="2219"/>
    </row>
    <row r="4" spans="1:29" ht="36.75">
      <c r="A4" s="2616"/>
      <c r="B4" s="1538" t="s">
        <v>765</v>
      </c>
      <c r="C4" s="2619" t="s">
        <v>766</v>
      </c>
      <c r="D4" s="2615"/>
      <c r="E4" s="2620"/>
      <c r="F4" s="1856" t="s">
        <v>767</v>
      </c>
      <c r="G4" s="2621" t="s">
        <v>768</v>
      </c>
      <c r="H4" s="2219"/>
      <c r="I4" s="2219"/>
      <c r="J4" s="2219"/>
      <c r="K4" s="2219"/>
      <c r="L4" s="2219"/>
      <c r="M4" s="2219"/>
      <c r="N4" s="2219"/>
      <c r="O4" s="2219"/>
      <c r="P4" s="2219"/>
      <c r="Q4" s="2219"/>
    </row>
    <row r="5" spans="1:29" ht="36.75">
      <c r="A5" s="2616"/>
      <c r="B5" s="1538" t="s">
        <v>769</v>
      </c>
      <c r="C5" s="2619" t="s">
        <v>770</v>
      </c>
      <c r="D5" s="2615"/>
      <c r="E5" s="2620"/>
      <c r="F5" s="1538" t="s">
        <v>561</v>
      </c>
      <c r="G5" s="2621" t="s">
        <v>771</v>
      </c>
      <c r="H5" s="2219"/>
      <c r="I5" s="2219"/>
      <c r="J5" s="2219"/>
      <c r="K5" s="2219"/>
      <c r="L5" s="2219"/>
      <c r="M5" s="2219"/>
      <c r="N5" s="2219"/>
      <c r="O5" s="2219"/>
      <c r="P5" s="2219"/>
      <c r="Q5" s="2219"/>
    </row>
    <row r="6" spans="1:29" ht="36">
      <c r="A6" s="2616"/>
      <c r="B6" s="1538" t="s">
        <v>767</v>
      </c>
      <c r="C6" s="2621" t="s">
        <v>768</v>
      </c>
      <c r="D6" s="2615"/>
      <c r="E6" s="2620"/>
      <c r="F6" s="1538" t="s">
        <v>772</v>
      </c>
      <c r="G6" s="2621" t="s">
        <v>773</v>
      </c>
      <c r="H6" s="2219"/>
      <c r="I6" s="2219"/>
      <c r="J6" s="2219"/>
      <c r="K6" s="2219"/>
      <c r="L6" s="2219"/>
      <c r="M6" s="2219"/>
      <c r="N6" s="2219"/>
      <c r="O6" s="2219"/>
      <c r="P6" s="2219"/>
      <c r="Q6" s="2219"/>
    </row>
    <row r="7" spans="1:29" ht="24">
      <c r="A7" s="2616"/>
      <c r="B7" s="1538" t="s">
        <v>561</v>
      </c>
      <c r="C7" s="2621" t="s">
        <v>771</v>
      </c>
      <c r="D7" s="2622"/>
      <c r="E7" s="2623"/>
      <c r="F7" s="2624" t="s">
        <v>774</v>
      </c>
      <c r="G7" s="2625" t="s">
        <v>775</v>
      </c>
      <c r="H7" s="2219"/>
      <c r="I7" s="2219"/>
      <c r="J7" s="2219"/>
      <c r="K7" s="2219"/>
      <c r="L7" s="2219"/>
      <c r="M7" s="2219"/>
      <c r="N7" s="2219"/>
      <c r="O7" s="2219"/>
      <c r="P7" s="2219"/>
      <c r="Q7" s="2219"/>
    </row>
    <row r="8" spans="1:29">
      <c r="A8" s="2616"/>
      <c r="B8" s="1538" t="s">
        <v>772</v>
      </c>
      <c r="C8" s="2621" t="s">
        <v>773</v>
      </c>
      <c r="D8" s="2622"/>
      <c r="E8" s="2622"/>
      <c r="F8" s="560"/>
      <c r="G8" s="560"/>
      <c r="H8" s="2219"/>
      <c r="I8" s="2219"/>
      <c r="J8" s="2219"/>
      <c r="K8" s="2219"/>
      <c r="L8" s="2219"/>
      <c r="M8" s="2219"/>
      <c r="N8" s="2219"/>
      <c r="O8" s="2219"/>
      <c r="P8" s="2219"/>
      <c r="Q8" s="2219"/>
    </row>
    <row r="9" spans="1:29" ht="24">
      <c r="A9" s="2616"/>
      <c r="B9" s="1538" t="s">
        <v>776</v>
      </c>
      <c r="C9" s="2619" t="s">
        <v>777</v>
      </c>
      <c r="D9" s="2615"/>
      <c r="E9" s="2622"/>
      <c r="F9" s="560"/>
      <c r="G9" s="560"/>
      <c r="H9" s="2219"/>
      <c r="I9" s="2219"/>
      <c r="J9" s="2219"/>
      <c r="K9" s="2219"/>
      <c r="L9" s="2219"/>
      <c r="M9" s="2219"/>
      <c r="N9" s="2219"/>
      <c r="O9" s="2219"/>
      <c r="P9" s="2219"/>
      <c r="Q9" s="2219"/>
    </row>
    <row r="10" spans="1:29">
      <c r="A10" s="2626"/>
      <c r="B10" s="2627" t="s">
        <v>778</v>
      </c>
      <c r="C10" s="2628"/>
      <c r="D10" s="2615"/>
      <c r="E10" s="2615"/>
      <c r="F10" s="560"/>
      <c r="G10" s="560"/>
      <c r="J10" s="2654"/>
      <c r="M10" s="2654"/>
      <c r="P10" s="2654"/>
      <c r="R10" s="2605"/>
    </row>
    <row r="11" spans="1:29">
      <c r="A11" s="2629"/>
      <c r="B11" s="2622"/>
      <c r="C11" s="2615"/>
      <c r="D11" s="2615"/>
      <c r="E11" s="2615"/>
      <c r="F11" s="2622"/>
      <c r="G11" s="2622"/>
      <c r="J11" s="2654"/>
      <c r="M11" s="2654"/>
      <c r="P11" s="2654"/>
      <c r="R11" s="2605"/>
    </row>
    <row r="12" spans="1:29" s="2603" customFormat="1" ht="18">
      <c r="A12" s="2629"/>
      <c r="B12" s="2622"/>
      <c r="C12" s="2615"/>
      <c r="D12" s="2630"/>
      <c r="E12" s="2615"/>
      <c r="F12" s="2622"/>
      <c r="G12" s="2622"/>
      <c r="H12" s="2631"/>
      <c r="I12" s="2631"/>
      <c r="J12" s="2631"/>
      <c r="K12" s="2631"/>
      <c r="L12" s="2655"/>
      <c r="M12" s="2631"/>
      <c r="N12" s="2656"/>
      <c r="O12" s="2656"/>
      <c r="P12" s="2656"/>
      <c r="Q12" s="2656"/>
      <c r="R12" s="2658"/>
      <c r="S12" s="2658"/>
      <c r="T12" s="2658"/>
      <c r="U12" s="2658"/>
      <c r="V12" s="2658"/>
      <c r="W12" s="2658"/>
      <c r="X12" s="2658"/>
      <c r="Y12" s="2658"/>
      <c r="Z12" s="2658"/>
      <c r="AA12" s="2658"/>
      <c r="AB12" s="2658"/>
      <c r="AC12" s="2658"/>
    </row>
    <row r="13" spans="1:29" ht="15">
      <c r="A13" s="2632" t="s">
        <v>779</v>
      </c>
      <c r="B13" s="2630"/>
      <c r="C13" s="2630"/>
      <c r="D13" s="2629"/>
      <c r="E13" s="2630"/>
      <c r="F13" s="2630"/>
      <c r="G13" s="2630"/>
    </row>
    <row r="14" spans="1:29">
      <c r="A14" s="2633"/>
      <c r="B14" s="2633"/>
      <c r="C14" s="2634" t="s">
        <v>758</v>
      </c>
      <c r="D14" s="2615"/>
      <c r="E14" s="2635"/>
      <c r="F14" s="2635"/>
      <c r="G14" s="2609" t="s">
        <v>759</v>
      </c>
    </row>
    <row r="15" spans="1:29" ht="51">
      <c r="A15" s="2636" t="s">
        <v>760</v>
      </c>
      <c r="B15" s="2637" t="s">
        <v>761</v>
      </c>
      <c r="C15" s="2638" t="str">
        <f>C3</f>
        <v>估价对象周边居住用地比例、居住小区规模和社区发展完善程度，综合评价居住社区成熟度一般</v>
      </c>
      <c r="D15" s="2615"/>
      <c r="E15" s="2639" t="s">
        <v>760</v>
      </c>
      <c r="F15" s="2637" t="s">
        <v>763</v>
      </c>
      <c r="G15" s="2640" t="str">
        <f>G3</f>
        <v>估价对象位于XX开发区，园区建设成熟度XX，产业集聚程度XX</v>
      </c>
    </row>
    <row r="16" spans="1:29" ht="38.25">
      <c r="A16" s="2641"/>
      <c r="B16" s="2642" t="s">
        <v>765</v>
      </c>
      <c r="C16" s="2643" t="str">
        <f>C4</f>
        <v>估价对象位于XX商圈，周边商业氛围成熟，人流量大，商业繁华度好</v>
      </c>
      <c r="D16" s="2615"/>
      <c r="E16" s="2644"/>
      <c r="F16" s="2645" t="s">
        <v>767</v>
      </c>
      <c r="G16" s="2646" t="str">
        <f>G4</f>
        <v>估价对象周边道路状况、公共交通通达情况、停车便捷程度，综合评价交通便捷度较好</v>
      </c>
    </row>
    <row r="17" spans="1:17" ht="38.25">
      <c r="A17" s="2641"/>
      <c r="B17" s="2642" t="s">
        <v>769</v>
      </c>
      <c r="C17" s="2643" t="str">
        <f>C5</f>
        <v>估价对象位于XX商圈，周边办公楼项目较多，入驻率高，办公集聚程度较好</v>
      </c>
      <c r="D17" s="2622"/>
      <c r="E17" s="2644"/>
      <c r="F17" s="2645" t="s">
        <v>780</v>
      </c>
      <c r="G17" s="2647"/>
    </row>
    <row r="18" spans="1:17" ht="38.25">
      <c r="A18" s="2641"/>
      <c r="B18" s="2645" t="s">
        <v>767</v>
      </c>
      <c r="C18" s="2646" t="str">
        <f>C6</f>
        <v>估价对象周边道路状况、公共交通通达情况、停车便捷程度，综合评价交通便捷度较好</v>
      </c>
      <c r="D18" s="2622"/>
      <c r="E18" s="2644"/>
      <c r="F18" s="2645" t="s">
        <v>774</v>
      </c>
      <c r="G18" s="2646" t="str">
        <f>G7</f>
        <v>该园区内是否有污染型企业，绿化情况，卫生条件，整体环境状况判断</v>
      </c>
    </row>
    <row r="19" spans="1:17" ht="25.5">
      <c r="A19" s="2641"/>
      <c r="B19" s="2645" t="s">
        <v>780</v>
      </c>
      <c r="C19" s="2647"/>
      <c r="D19" s="2615"/>
      <c r="E19" s="2644"/>
      <c r="F19" s="1538" t="s">
        <v>561</v>
      </c>
      <c r="G19" s="2646" t="str">
        <f>G5</f>
        <v>估价对象所在区域公共配套设施齐备情况</v>
      </c>
    </row>
    <row r="20" spans="1:17" ht="25.5">
      <c r="A20" s="2641"/>
      <c r="B20" s="2645" t="s">
        <v>781</v>
      </c>
      <c r="C20" s="2643" t="str">
        <f>C9</f>
        <v>区域自然环境：；人文环境；综合评价环境状况一般</v>
      </c>
      <c r="D20" s="2622"/>
      <c r="E20" s="2644"/>
      <c r="F20" s="1538" t="s">
        <v>772</v>
      </c>
      <c r="G20" s="2646" t="str">
        <f>G6</f>
        <v>估价对象所在区域基础设施水平</v>
      </c>
    </row>
    <row r="21" spans="1:17" ht="25.5">
      <c r="A21" s="2641"/>
      <c r="B21" s="1538" t="s">
        <v>561</v>
      </c>
      <c r="C21" s="2646" t="str">
        <f>C7</f>
        <v>估价对象所在区域公共配套设施齐备情况</v>
      </c>
      <c r="D21" s="2615"/>
      <c r="E21" s="2644"/>
      <c r="F21" s="2645" t="s">
        <v>782</v>
      </c>
      <c r="G21" s="2648"/>
    </row>
    <row r="22" spans="1:17" ht="13.5" customHeight="1">
      <c r="A22" s="2641"/>
      <c r="B22" s="1538" t="s">
        <v>772</v>
      </c>
      <c r="C22" s="2646" t="str">
        <f>C8</f>
        <v>估价对象所在区域基础设施水平</v>
      </c>
      <c r="D22" s="2615"/>
      <c r="E22" s="2644"/>
      <c r="F22" s="2645" t="s">
        <v>778</v>
      </c>
      <c r="G22" s="2647"/>
    </row>
    <row r="23" spans="1:17" s="2219" customFormat="1">
      <c r="A23" s="2641"/>
      <c r="B23" s="2645" t="s">
        <v>782</v>
      </c>
      <c r="C23" s="2648"/>
      <c r="D23" s="2584"/>
      <c r="E23" s="2649"/>
      <c r="F23" s="2650" t="s">
        <v>509</v>
      </c>
      <c r="G23" s="2651"/>
      <c r="H23" s="2605"/>
      <c r="I23" s="2605"/>
      <c r="J23" s="2605"/>
      <c r="K23" s="2605"/>
      <c r="L23" s="2605"/>
      <c r="M23" s="2605"/>
      <c r="N23" s="2605"/>
      <c r="O23" s="2605"/>
      <c r="P23" s="2605"/>
      <c r="Q23" s="2605"/>
    </row>
    <row r="24" spans="1:17" s="2219" customFormat="1">
      <c r="A24" s="2652"/>
      <c r="B24" s="2650" t="s">
        <v>778</v>
      </c>
      <c r="C24" s="2653">
        <f>C10</f>
        <v>0</v>
      </c>
      <c r="D24" s="2584"/>
      <c r="E24" s="2622"/>
      <c r="F24" s="2622"/>
      <c r="G24" s="2622"/>
      <c r="H24" s="2605"/>
      <c r="I24" s="2605"/>
      <c r="J24" s="2605"/>
      <c r="K24" s="2605"/>
      <c r="L24" s="2605"/>
      <c r="M24" s="2605"/>
      <c r="N24" s="2605"/>
      <c r="O24" s="2605"/>
      <c r="P24" s="2605"/>
      <c r="Q24" s="2605"/>
    </row>
    <row r="25" spans="1:17" s="2219" customFormat="1">
      <c r="B25" s="2605"/>
      <c r="C25" s="2605"/>
      <c r="D25" s="2605"/>
      <c r="H25" s="2605"/>
      <c r="I25" s="2605"/>
      <c r="J25" s="2605"/>
      <c r="K25" s="2605"/>
      <c r="L25" s="2605"/>
      <c r="M25" s="2605"/>
      <c r="N25" s="2605"/>
      <c r="O25" s="2605"/>
      <c r="P25" s="2605"/>
      <c r="Q25" s="2605"/>
    </row>
    <row r="26" spans="1:17" s="2219" customFormat="1">
      <c r="B26" s="2605"/>
      <c r="C26" s="2605"/>
      <c r="D26" s="2605"/>
      <c r="H26" s="2605"/>
      <c r="I26" s="2605"/>
      <c r="J26" s="2605"/>
      <c r="K26" s="2605"/>
      <c r="L26" s="2605"/>
      <c r="M26" s="2605"/>
      <c r="N26" s="2605"/>
      <c r="O26" s="2605"/>
      <c r="P26" s="2605"/>
      <c r="Q26" s="2605"/>
    </row>
    <row r="27" spans="1:17" s="2219" customFormat="1">
      <c r="B27" s="2605"/>
      <c r="C27" s="2605"/>
      <c r="D27" s="2605"/>
      <c r="H27" s="2605"/>
      <c r="I27" s="2605"/>
      <c r="J27" s="2605"/>
      <c r="K27" s="2605"/>
      <c r="L27" s="2605"/>
      <c r="M27" s="2605"/>
      <c r="N27" s="2605"/>
      <c r="O27" s="2605"/>
      <c r="P27" s="2605"/>
      <c r="Q27" s="2605"/>
    </row>
    <row r="28" spans="1:17" s="2219" customFormat="1">
      <c r="B28" s="2605"/>
      <c r="C28" s="2605"/>
      <c r="D28" s="2605"/>
      <c r="H28" s="2605"/>
      <c r="I28" s="2605"/>
      <c r="J28" s="2605"/>
      <c r="K28" s="2605"/>
      <c r="L28" s="2605"/>
      <c r="M28" s="2605"/>
      <c r="N28" s="2605"/>
      <c r="O28" s="2605"/>
      <c r="P28" s="2605"/>
      <c r="Q28" s="2605"/>
    </row>
    <row r="29" spans="1:17" s="2219" customFormat="1">
      <c r="B29" s="2605"/>
      <c r="C29" s="2605"/>
      <c r="D29" s="2605"/>
      <c r="H29" s="2605"/>
      <c r="I29" s="2605"/>
      <c r="J29" s="2605"/>
      <c r="K29" s="2605"/>
      <c r="L29" s="2605"/>
      <c r="M29" s="2605"/>
      <c r="N29" s="2605"/>
      <c r="O29" s="2605"/>
      <c r="P29" s="2605"/>
      <c r="Q29" s="2605"/>
    </row>
    <row r="30" spans="1:17" s="2219" customFormat="1">
      <c r="B30" s="2605"/>
      <c r="C30" s="2605"/>
      <c r="D30" s="2605"/>
      <c r="H30" s="2605"/>
      <c r="I30" s="2605"/>
      <c r="J30" s="2605"/>
      <c r="K30" s="2605"/>
      <c r="L30" s="2605"/>
      <c r="M30" s="2605"/>
      <c r="N30" s="2605"/>
      <c r="O30" s="2605"/>
      <c r="P30" s="2605"/>
      <c r="Q30" s="2605"/>
    </row>
    <row r="31" spans="1:17" s="2219" customFormat="1">
      <c r="B31" s="2605"/>
      <c r="C31" s="2605"/>
      <c r="D31" s="2605"/>
      <c r="H31" s="2605"/>
      <c r="I31" s="2605"/>
      <c r="J31" s="2605"/>
      <c r="K31" s="2605"/>
      <c r="L31" s="2605"/>
      <c r="M31" s="2605"/>
      <c r="N31" s="2605"/>
      <c r="O31" s="2605"/>
      <c r="P31" s="2605"/>
      <c r="Q31" s="2605"/>
    </row>
    <row r="32" spans="1:17" s="2219" customFormat="1">
      <c r="B32" s="2605"/>
      <c r="C32" s="2605"/>
      <c r="D32" s="2605"/>
      <c r="H32" s="2605"/>
      <c r="I32" s="2605"/>
      <c r="J32" s="2605"/>
      <c r="K32" s="2605"/>
      <c r="L32" s="2605"/>
      <c r="M32" s="2605"/>
      <c r="N32" s="2605"/>
      <c r="O32" s="2605"/>
      <c r="P32" s="2605"/>
      <c r="Q32" s="2605"/>
    </row>
    <row r="33" spans="2:17" s="2219" customFormat="1">
      <c r="B33" s="2605"/>
      <c r="C33" s="2605"/>
      <c r="D33" s="2605"/>
      <c r="H33" s="2605"/>
      <c r="I33" s="2605"/>
      <c r="J33" s="2605"/>
      <c r="K33" s="2605"/>
      <c r="L33" s="2605"/>
      <c r="M33" s="2605"/>
      <c r="N33" s="2605"/>
      <c r="O33" s="2605"/>
      <c r="P33" s="2605"/>
      <c r="Q33" s="2605"/>
    </row>
    <row r="34" spans="2:17" s="2219" customFormat="1">
      <c r="B34" s="2605"/>
      <c r="C34" s="2605"/>
      <c r="D34" s="2605"/>
      <c r="H34" s="2605"/>
      <c r="I34" s="2605"/>
      <c r="J34" s="2605"/>
      <c r="K34" s="2605"/>
      <c r="L34" s="2605"/>
      <c r="M34" s="2605"/>
      <c r="N34" s="2605"/>
      <c r="O34" s="2605"/>
      <c r="P34" s="2605"/>
      <c r="Q34" s="2605"/>
    </row>
    <row r="35" spans="2:17" s="2219" customFormat="1">
      <c r="B35" s="2605"/>
      <c r="C35" s="2605"/>
      <c r="D35" s="2605"/>
      <c r="H35" s="2605"/>
      <c r="I35" s="2605"/>
      <c r="J35" s="2605"/>
      <c r="K35" s="2605"/>
      <c r="L35" s="2605"/>
      <c r="M35" s="2605"/>
      <c r="N35" s="2605"/>
      <c r="O35" s="2605"/>
      <c r="P35" s="2605"/>
      <c r="Q35" s="2605"/>
    </row>
    <row r="36" spans="2:17" s="2219" customFormat="1">
      <c r="B36" s="2605"/>
      <c r="C36" s="2605"/>
      <c r="D36" s="2605"/>
      <c r="H36" s="2605"/>
      <c r="I36" s="2605"/>
      <c r="J36" s="2605"/>
      <c r="K36" s="2605"/>
      <c r="L36" s="2605"/>
      <c r="M36" s="2605"/>
      <c r="N36" s="2605"/>
      <c r="O36" s="2605"/>
      <c r="P36" s="2605"/>
      <c r="Q36" s="2605"/>
    </row>
    <row r="37" spans="2:17" s="2219" customFormat="1">
      <c r="B37" s="2605"/>
      <c r="C37" s="2605"/>
      <c r="D37" s="2605"/>
      <c r="H37" s="2605"/>
      <c r="I37" s="2605"/>
      <c r="J37" s="2605"/>
      <c r="K37" s="2605"/>
      <c r="L37" s="2605"/>
      <c r="M37" s="2605"/>
      <c r="N37" s="2605"/>
      <c r="O37" s="2605"/>
      <c r="P37" s="2605"/>
      <c r="Q37" s="2605"/>
    </row>
    <row r="38" spans="2:17" s="2219" customFormat="1">
      <c r="B38" s="2605"/>
      <c r="C38" s="2605"/>
      <c r="D38" s="2605"/>
      <c r="E38" s="2605"/>
      <c r="F38" s="2605"/>
      <c r="G38" s="2605"/>
      <c r="H38" s="2605"/>
      <c r="I38" s="2605"/>
      <c r="J38" s="2605"/>
      <c r="K38" s="2605"/>
      <c r="L38" s="2605"/>
      <c r="M38" s="2605"/>
      <c r="N38" s="2605"/>
      <c r="O38" s="2605"/>
      <c r="P38" s="2605"/>
      <c r="Q38" s="2605"/>
    </row>
    <row r="39" spans="2:17" s="2219" customFormat="1">
      <c r="B39" s="2605"/>
      <c r="C39" s="2605"/>
      <c r="D39" s="2605"/>
      <c r="E39" s="2605"/>
      <c r="F39" s="2605"/>
      <c r="G39" s="2605"/>
      <c r="H39" s="2605"/>
      <c r="I39" s="2605"/>
      <c r="J39" s="2605"/>
      <c r="K39" s="2605"/>
      <c r="L39" s="2605"/>
      <c r="M39" s="2605"/>
      <c r="N39" s="2605"/>
      <c r="O39" s="2605"/>
      <c r="P39" s="2605"/>
      <c r="Q39" s="2605"/>
    </row>
    <row r="40" spans="2:17" s="2219" customFormat="1">
      <c r="B40" s="2605"/>
      <c r="C40" s="2605"/>
      <c r="D40" s="2605"/>
      <c r="E40" s="2605"/>
      <c r="F40" s="2605"/>
      <c r="G40" s="2605"/>
      <c r="H40" s="2605"/>
      <c r="I40" s="2605"/>
      <c r="J40" s="2605"/>
      <c r="K40" s="2605"/>
      <c r="L40" s="2605"/>
      <c r="M40" s="2605"/>
      <c r="N40" s="2605"/>
      <c r="O40" s="2605"/>
      <c r="P40" s="2605"/>
      <c r="Q40" s="2605"/>
    </row>
    <row r="41" spans="2:17" s="2219" customFormat="1">
      <c r="B41" s="2605"/>
      <c r="C41" s="2605"/>
      <c r="D41" s="2605"/>
      <c r="E41" s="2605"/>
      <c r="F41" s="2605"/>
      <c r="G41" s="2605"/>
      <c r="H41" s="2605"/>
      <c r="I41" s="2605"/>
      <c r="J41" s="2605"/>
      <c r="K41" s="2605"/>
      <c r="L41" s="2605"/>
      <c r="M41" s="2605"/>
      <c r="N41" s="2605"/>
      <c r="O41" s="2605"/>
      <c r="P41" s="2605"/>
      <c r="Q41" s="2605"/>
    </row>
    <row r="42" spans="2:17" s="2219" customFormat="1">
      <c r="B42" s="2605"/>
      <c r="C42" s="2605"/>
      <c r="D42" s="2605"/>
      <c r="E42" s="2605"/>
      <c r="F42" s="2605"/>
      <c r="G42" s="2605"/>
      <c r="H42" s="2605"/>
      <c r="I42" s="2605"/>
      <c r="J42" s="2605"/>
      <c r="K42" s="2605"/>
      <c r="L42" s="2605"/>
      <c r="M42" s="2605"/>
      <c r="N42" s="2605"/>
      <c r="O42" s="2605"/>
      <c r="P42" s="2605"/>
      <c r="Q42" s="2605"/>
    </row>
    <row r="43" spans="2:17" s="2219" customFormat="1">
      <c r="B43" s="2605"/>
      <c r="C43" s="2605"/>
      <c r="D43" s="2605"/>
      <c r="E43" s="2605"/>
      <c r="F43" s="2605"/>
      <c r="G43" s="2605"/>
      <c r="H43" s="2605"/>
      <c r="I43" s="2605"/>
      <c r="J43" s="2605"/>
      <c r="K43" s="2605"/>
      <c r="L43" s="2605"/>
      <c r="M43" s="2605"/>
      <c r="N43" s="2605"/>
      <c r="O43" s="2605"/>
      <c r="P43" s="2605"/>
      <c r="Q43" s="2605"/>
    </row>
    <row r="44" spans="2:17" s="2219" customFormat="1">
      <c r="B44" s="2605"/>
      <c r="C44" s="2605"/>
      <c r="D44" s="2605"/>
      <c r="E44" s="2605"/>
      <c r="F44" s="2605"/>
      <c r="G44" s="2605"/>
      <c r="H44" s="2605"/>
      <c r="I44" s="2605"/>
      <c r="J44" s="2605"/>
      <c r="K44" s="2605"/>
      <c r="L44" s="2605"/>
      <c r="M44" s="2605"/>
      <c r="N44" s="2605"/>
      <c r="O44" s="2605"/>
      <c r="P44" s="2605"/>
      <c r="Q44" s="2605"/>
    </row>
    <row r="45" spans="2:17" s="2219" customFormat="1">
      <c r="B45" s="2605"/>
      <c r="C45" s="2605"/>
      <c r="D45" s="2605"/>
      <c r="E45" s="2605"/>
      <c r="F45" s="2605"/>
      <c r="G45" s="2605"/>
      <c r="H45" s="2605"/>
      <c r="I45" s="2605"/>
      <c r="J45" s="2605"/>
      <c r="K45" s="2605"/>
      <c r="L45" s="2605"/>
      <c r="M45" s="2605"/>
      <c r="N45" s="2605"/>
      <c r="O45" s="2605"/>
      <c r="P45" s="2605"/>
      <c r="Q45" s="2605"/>
    </row>
    <row r="46" spans="2:17" s="2219" customFormat="1">
      <c r="B46" s="2605"/>
      <c r="C46" s="2605"/>
      <c r="D46" s="2605"/>
      <c r="E46" s="2605"/>
      <c r="F46" s="2605"/>
      <c r="G46" s="2605"/>
      <c r="H46" s="2605"/>
      <c r="I46" s="2605"/>
      <c r="J46" s="2605"/>
      <c r="K46" s="2605"/>
      <c r="L46" s="2605"/>
      <c r="M46" s="2605"/>
      <c r="N46" s="2605"/>
      <c r="O46" s="2605"/>
      <c r="P46" s="2605"/>
      <c r="Q46" s="2605"/>
    </row>
    <row r="47" spans="2:17" s="2219" customFormat="1">
      <c r="B47" s="2605"/>
      <c r="C47" s="2605"/>
      <c r="D47" s="2605"/>
      <c r="E47" s="2605"/>
      <c r="F47" s="2605"/>
      <c r="G47" s="2605"/>
      <c r="H47" s="2605"/>
      <c r="I47" s="2605"/>
      <c r="J47" s="2605"/>
      <c r="K47" s="2605"/>
      <c r="L47" s="2605"/>
      <c r="M47" s="2605"/>
      <c r="N47" s="2605"/>
      <c r="O47" s="2605"/>
      <c r="P47" s="2605"/>
      <c r="Q47" s="2605"/>
    </row>
    <row r="48" spans="2:17" s="2219" customFormat="1">
      <c r="B48" s="2605"/>
      <c r="C48" s="2605"/>
      <c r="D48" s="2605"/>
      <c r="E48" s="2605"/>
      <c r="F48" s="2605"/>
      <c r="G48" s="2605"/>
      <c r="H48" s="2605"/>
      <c r="I48" s="2605"/>
      <c r="J48" s="2605"/>
      <c r="K48" s="2605"/>
      <c r="L48" s="2605"/>
      <c r="M48" s="2605"/>
      <c r="N48" s="2605"/>
      <c r="O48" s="2605"/>
      <c r="P48" s="2605"/>
      <c r="Q48" s="2605"/>
    </row>
    <row r="49" spans="2:17" s="2219" customFormat="1">
      <c r="B49" s="2605"/>
      <c r="C49" s="2605"/>
      <c r="D49" s="2605"/>
      <c r="E49" s="2605"/>
      <c r="F49" s="2605"/>
      <c r="G49" s="2605"/>
      <c r="H49" s="2605"/>
      <c r="I49" s="2605"/>
      <c r="J49" s="2605"/>
      <c r="K49" s="2605"/>
      <c r="L49" s="2605"/>
      <c r="M49" s="2605"/>
      <c r="N49" s="2605"/>
      <c r="O49" s="2605"/>
      <c r="P49" s="2605"/>
      <c r="Q49" s="2605"/>
    </row>
    <row r="50" spans="2:17" s="2219" customFormat="1">
      <c r="B50" s="2605"/>
      <c r="C50" s="2605"/>
      <c r="D50" s="2605"/>
      <c r="E50" s="2605"/>
      <c r="F50" s="2605"/>
      <c r="G50" s="2605"/>
      <c r="H50" s="2605"/>
      <c r="I50" s="2605"/>
      <c r="J50" s="2605"/>
      <c r="K50" s="2605"/>
      <c r="L50" s="2605"/>
      <c r="M50" s="2605"/>
      <c r="N50" s="2605"/>
      <c r="O50" s="2605"/>
      <c r="P50" s="2605"/>
      <c r="Q50" s="2605"/>
    </row>
    <row r="51" spans="2:17" s="2219" customFormat="1">
      <c r="B51" s="2605"/>
      <c r="C51" s="2605"/>
      <c r="D51" s="2605"/>
      <c r="E51" s="2605"/>
      <c r="F51" s="2605"/>
      <c r="G51" s="2605"/>
      <c r="H51" s="2605"/>
      <c r="I51" s="2605"/>
      <c r="J51" s="2605"/>
      <c r="K51" s="2605"/>
      <c r="L51" s="2605"/>
      <c r="M51" s="2605"/>
      <c r="N51" s="2605"/>
      <c r="O51" s="2605"/>
      <c r="P51" s="2605"/>
      <c r="Q51" s="2605"/>
    </row>
    <row r="52" spans="2:17" s="2219" customFormat="1">
      <c r="B52" s="2605"/>
      <c r="C52" s="2605"/>
      <c r="D52" s="2605"/>
      <c r="E52" s="2605"/>
      <c r="F52" s="2605"/>
      <c r="G52" s="2605"/>
      <c r="H52" s="2605"/>
      <c r="I52" s="2605"/>
      <c r="J52" s="2605"/>
      <c r="K52" s="2605"/>
      <c r="L52" s="2605"/>
      <c r="M52" s="2605"/>
      <c r="N52" s="2605"/>
      <c r="O52" s="2605"/>
      <c r="P52" s="2605"/>
      <c r="Q52" s="2605"/>
    </row>
    <row r="53" spans="2:17" s="2219" customFormat="1">
      <c r="B53" s="2605"/>
      <c r="C53" s="2605"/>
      <c r="D53" s="2605"/>
      <c r="E53" s="2605"/>
      <c r="F53" s="2605"/>
      <c r="G53" s="2605"/>
      <c r="H53" s="2605"/>
      <c r="I53" s="2605"/>
      <c r="J53" s="2605"/>
      <c r="K53" s="2605"/>
      <c r="L53" s="2605"/>
      <c r="M53" s="2605"/>
      <c r="N53" s="2605"/>
      <c r="O53" s="2605"/>
      <c r="P53" s="2605"/>
      <c r="Q53" s="2605"/>
    </row>
    <row r="54" spans="2:17" s="2219" customFormat="1">
      <c r="B54" s="2605"/>
      <c r="C54" s="2605"/>
      <c r="D54" s="2605"/>
      <c r="E54" s="2605"/>
      <c r="F54" s="2605"/>
      <c r="G54" s="2605"/>
      <c r="H54" s="2605"/>
      <c r="I54" s="2605"/>
      <c r="J54" s="2605"/>
      <c r="K54" s="2605"/>
      <c r="L54" s="2605"/>
      <c r="M54" s="2605"/>
      <c r="N54" s="2605"/>
      <c r="O54" s="2605"/>
      <c r="P54" s="2605"/>
      <c r="Q54" s="2605"/>
    </row>
    <row r="55" spans="2:17" s="2219" customFormat="1">
      <c r="B55" s="2605"/>
      <c r="C55" s="2605"/>
      <c r="D55" s="2605"/>
      <c r="E55" s="2605"/>
      <c r="F55" s="2605"/>
      <c r="G55" s="2605"/>
      <c r="H55" s="2605"/>
      <c r="I55" s="2605"/>
      <c r="J55" s="2605"/>
      <c r="K55" s="2605"/>
      <c r="L55" s="2605"/>
      <c r="M55" s="2605"/>
      <c r="N55" s="2605"/>
      <c r="O55" s="2605"/>
      <c r="P55" s="2605"/>
      <c r="Q55" s="2605"/>
    </row>
    <row r="56" spans="2:17" s="2219" customFormat="1">
      <c r="B56" s="2605"/>
      <c r="C56" s="2605"/>
      <c r="D56" s="2605"/>
      <c r="E56" s="2605"/>
      <c r="F56" s="2605"/>
      <c r="G56" s="2605"/>
      <c r="H56" s="2605"/>
      <c r="I56" s="2605"/>
      <c r="J56" s="2605"/>
      <c r="K56" s="2605"/>
      <c r="L56" s="2605"/>
      <c r="M56" s="2605"/>
      <c r="N56" s="2605"/>
      <c r="O56" s="2605"/>
      <c r="P56" s="2605"/>
      <c r="Q56" s="2605"/>
    </row>
    <row r="57" spans="2:17" s="2219" customFormat="1">
      <c r="B57" s="2605"/>
      <c r="C57" s="2605"/>
      <c r="D57" s="2605"/>
      <c r="E57" s="2605"/>
      <c r="F57" s="2605"/>
      <c r="G57" s="2605"/>
      <c r="H57" s="2605"/>
      <c r="I57" s="2605"/>
      <c r="J57" s="2605"/>
      <c r="K57" s="2605"/>
      <c r="L57" s="2605"/>
      <c r="M57" s="2605"/>
      <c r="N57" s="2605"/>
      <c r="O57" s="2605"/>
      <c r="P57" s="2605"/>
      <c r="Q57" s="2605"/>
    </row>
    <row r="58" spans="2:17" s="2219" customFormat="1">
      <c r="B58" s="2605"/>
      <c r="C58" s="2605"/>
      <c r="D58" s="2605"/>
      <c r="E58" s="2605"/>
      <c r="F58" s="2605"/>
      <c r="G58" s="2605"/>
      <c r="H58" s="2605"/>
      <c r="I58" s="2605"/>
      <c r="J58" s="2605"/>
      <c r="K58" s="2605"/>
      <c r="L58" s="2605"/>
      <c r="M58" s="2605"/>
      <c r="N58" s="2605"/>
      <c r="O58" s="2605"/>
      <c r="P58" s="2605"/>
      <c r="Q58" s="2605"/>
    </row>
    <row r="59" spans="2:17" s="2219" customFormat="1">
      <c r="B59" s="2605"/>
      <c r="C59" s="2605"/>
      <c r="D59" s="2605"/>
      <c r="E59" s="2605"/>
      <c r="F59" s="2605"/>
      <c r="G59" s="2605"/>
      <c r="H59" s="2605"/>
      <c r="I59" s="2605"/>
      <c r="J59" s="2605"/>
      <c r="K59" s="2605"/>
      <c r="L59" s="2605"/>
      <c r="M59" s="2605"/>
      <c r="N59" s="2605"/>
      <c r="O59" s="2605"/>
      <c r="P59" s="2605"/>
      <c r="Q59" s="2605"/>
    </row>
    <row r="60" spans="2:17" s="2219" customFormat="1">
      <c r="B60" s="2605"/>
      <c r="C60" s="2605"/>
      <c r="D60" s="2605"/>
      <c r="E60" s="2605"/>
      <c r="F60" s="2605"/>
      <c r="G60" s="2605"/>
      <c r="H60" s="2605"/>
      <c r="I60" s="2605"/>
      <c r="J60" s="2605"/>
      <c r="K60" s="2605"/>
      <c r="L60" s="2605"/>
      <c r="M60" s="2605"/>
      <c r="N60" s="2605"/>
      <c r="O60" s="2605"/>
      <c r="P60" s="2605"/>
      <c r="Q60" s="2605"/>
    </row>
    <row r="61" spans="2:17" s="2219" customFormat="1">
      <c r="B61" s="2605"/>
      <c r="C61" s="2605"/>
      <c r="D61" s="2605"/>
      <c r="E61" s="2605"/>
      <c r="F61" s="2605"/>
      <c r="G61" s="2605"/>
      <c r="H61" s="2605"/>
      <c r="I61" s="2605"/>
      <c r="J61" s="2605"/>
      <c r="K61" s="2605"/>
      <c r="L61" s="2605"/>
      <c r="M61" s="2605"/>
      <c r="N61" s="2605"/>
      <c r="O61" s="2605"/>
      <c r="P61" s="2605"/>
      <c r="Q61" s="2605"/>
    </row>
    <row r="62" spans="2:17" s="2219" customFormat="1">
      <c r="B62" s="2605"/>
      <c r="C62" s="2605"/>
      <c r="D62" s="2605"/>
      <c r="E62" s="2605"/>
      <c r="F62" s="2605"/>
      <c r="G62" s="2605"/>
      <c r="H62" s="2605"/>
      <c r="I62" s="2605"/>
      <c r="J62" s="2605"/>
      <c r="K62" s="2605"/>
      <c r="L62" s="2605"/>
      <c r="M62" s="2605"/>
      <c r="N62" s="2605"/>
      <c r="O62" s="2605"/>
      <c r="P62" s="2605"/>
      <c r="Q62" s="2605"/>
    </row>
    <row r="63" spans="2:17" s="2219" customFormat="1">
      <c r="B63" s="2605"/>
      <c r="C63" s="2605"/>
      <c r="D63" s="2605"/>
      <c r="E63" s="2605"/>
      <c r="F63" s="2605"/>
      <c r="G63" s="2605"/>
      <c r="H63" s="2605"/>
      <c r="I63" s="2605"/>
      <c r="J63" s="2605"/>
      <c r="K63" s="2605"/>
      <c r="L63" s="2605"/>
      <c r="M63" s="2605"/>
      <c r="N63" s="2605"/>
      <c r="O63" s="2605"/>
      <c r="P63" s="2605"/>
      <c r="Q63" s="2605"/>
    </row>
    <row r="64" spans="2:17" s="2219" customFormat="1">
      <c r="B64" s="2605"/>
      <c r="C64" s="2605"/>
      <c r="D64" s="2605"/>
      <c r="E64" s="2605"/>
      <c r="F64" s="2605"/>
      <c r="G64" s="2605"/>
      <c r="H64" s="2605"/>
      <c r="I64" s="2605"/>
      <c r="J64" s="2605"/>
      <c r="K64" s="2605"/>
      <c r="L64" s="2605"/>
      <c r="M64" s="2605"/>
      <c r="N64" s="2605"/>
      <c r="O64" s="2605"/>
      <c r="P64" s="2605"/>
      <c r="Q64" s="2605"/>
    </row>
    <row r="65" spans="2:17" s="2219" customFormat="1">
      <c r="B65" s="2605"/>
      <c r="C65" s="2605"/>
      <c r="D65" s="2605"/>
      <c r="E65" s="2605"/>
      <c r="F65" s="2605"/>
      <c r="G65" s="2605"/>
      <c r="H65" s="2605"/>
      <c r="I65" s="2605"/>
      <c r="J65" s="2605"/>
      <c r="K65" s="2605"/>
      <c r="L65" s="2605"/>
      <c r="M65" s="2605"/>
      <c r="N65" s="2605"/>
      <c r="O65" s="2605"/>
      <c r="P65" s="2605"/>
      <c r="Q65" s="2605"/>
    </row>
    <row r="66" spans="2:17" s="2219" customFormat="1">
      <c r="B66" s="2605"/>
      <c r="C66" s="2605"/>
      <c r="D66" s="2605"/>
      <c r="E66" s="2605"/>
      <c r="F66" s="2605"/>
      <c r="G66" s="2605"/>
      <c r="H66" s="2605"/>
      <c r="I66" s="2605"/>
      <c r="J66" s="2605"/>
      <c r="K66" s="2605"/>
      <c r="L66" s="2605"/>
      <c r="M66" s="2605"/>
      <c r="N66" s="2605"/>
      <c r="O66" s="2605"/>
      <c r="P66" s="2605"/>
      <c r="Q66" s="2605"/>
    </row>
    <row r="67" spans="2:17" s="2219" customFormat="1">
      <c r="B67" s="2605"/>
      <c r="C67" s="2605"/>
      <c r="D67" s="2605"/>
      <c r="E67" s="2605"/>
      <c r="F67" s="2605"/>
      <c r="G67" s="2605"/>
      <c r="H67" s="2605"/>
      <c r="I67" s="2605"/>
      <c r="J67" s="2605"/>
      <c r="K67" s="2605"/>
      <c r="L67" s="2605"/>
      <c r="M67" s="2605"/>
      <c r="N67" s="2605"/>
      <c r="O67" s="2605"/>
      <c r="P67" s="2605"/>
      <c r="Q67" s="2605"/>
    </row>
    <row r="68" spans="2:17" s="2219" customFormat="1">
      <c r="B68" s="2605"/>
      <c r="C68" s="2605"/>
      <c r="D68" s="2605"/>
      <c r="E68" s="2605"/>
      <c r="F68" s="2605"/>
      <c r="G68" s="2605"/>
      <c r="H68" s="2605"/>
      <c r="I68" s="2605"/>
      <c r="J68" s="2605"/>
      <c r="K68" s="2605"/>
      <c r="L68" s="2605"/>
      <c r="M68" s="2605"/>
      <c r="N68" s="2605"/>
      <c r="O68" s="2605"/>
      <c r="P68" s="2605"/>
      <c r="Q68" s="2605"/>
    </row>
    <row r="69" spans="2:17" s="2219" customFormat="1">
      <c r="B69" s="2605"/>
      <c r="C69" s="2605"/>
      <c r="D69" s="2605"/>
      <c r="E69" s="2605"/>
      <c r="F69" s="2605"/>
      <c r="G69" s="2605"/>
      <c r="H69" s="2605"/>
      <c r="I69" s="2605"/>
      <c r="J69" s="2605"/>
      <c r="K69" s="2605"/>
      <c r="L69" s="2605"/>
      <c r="M69" s="2605"/>
      <c r="N69" s="2605"/>
      <c r="O69" s="2605"/>
      <c r="P69" s="2605"/>
      <c r="Q69" s="2605"/>
    </row>
    <row r="70" spans="2:17" s="2219" customFormat="1">
      <c r="B70" s="2605"/>
      <c r="C70" s="2605"/>
      <c r="D70" s="2605"/>
      <c r="E70" s="2605"/>
      <c r="F70" s="2605"/>
      <c r="G70" s="2605"/>
      <c r="H70" s="2605"/>
      <c r="I70" s="2605"/>
      <c r="J70" s="2605"/>
      <c r="K70" s="2605"/>
      <c r="L70" s="2605"/>
      <c r="M70" s="2605"/>
      <c r="N70" s="2605"/>
      <c r="O70" s="2605"/>
      <c r="P70" s="2605"/>
      <c r="Q70" s="2605"/>
    </row>
    <row r="71" spans="2:17" s="2219" customFormat="1">
      <c r="B71" s="2605"/>
      <c r="C71" s="2605"/>
      <c r="D71" s="2605"/>
      <c r="E71" s="2605"/>
      <c r="F71" s="2605"/>
      <c r="G71" s="2605"/>
      <c r="H71" s="2605"/>
      <c r="I71" s="2605"/>
      <c r="J71" s="2605"/>
      <c r="K71" s="2605"/>
      <c r="L71" s="2605"/>
      <c r="M71" s="2605"/>
      <c r="N71" s="2605"/>
      <c r="O71" s="2605"/>
      <c r="P71" s="2605"/>
      <c r="Q71" s="2605"/>
    </row>
    <row r="72" spans="2:17" s="2219" customFormat="1">
      <c r="B72" s="2605"/>
      <c r="C72" s="2605"/>
      <c r="D72" s="2605"/>
      <c r="E72" s="2605"/>
      <c r="F72" s="2605"/>
      <c r="G72" s="2605"/>
      <c r="H72" s="2605"/>
      <c r="I72" s="2605"/>
      <c r="J72" s="2605"/>
      <c r="K72" s="2605"/>
      <c r="L72" s="2605"/>
      <c r="M72" s="2605"/>
      <c r="N72" s="2605"/>
      <c r="O72" s="2605"/>
      <c r="P72" s="2605"/>
      <c r="Q72" s="2605"/>
    </row>
    <row r="73" spans="2:17" s="2219" customFormat="1">
      <c r="B73" s="2605"/>
      <c r="C73" s="2605"/>
      <c r="D73" s="2605"/>
      <c r="E73" s="2605"/>
      <c r="F73" s="2605"/>
      <c r="G73" s="2605"/>
      <c r="H73" s="2605"/>
      <c r="I73" s="2605"/>
      <c r="J73" s="2605"/>
      <c r="K73" s="2605"/>
      <c r="L73" s="2605"/>
      <c r="M73" s="2605"/>
      <c r="N73" s="2605"/>
      <c r="O73" s="2605"/>
      <c r="P73" s="2605"/>
      <c r="Q73" s="2605"/>
    </row>
    <row r="74" spans="2:17" s="2219" customFormat="1">
      <c r="B74" s="2605"/>
      <c r="C74" s="2605"/>
      <c r="D74" s="2605"/>
      <c r="E74" s="2605"/>
      <c r="F74" s="2605"/>
      <c r="G74" s="2605"/>
      <c r="H74" s="2605"/>
      <c r="I74" s="2605"/>
      <c r="J74" s="2605"/>
      <c r="K74" s="2605"/>
      <c r="L74" s="2605"/>
      <c r="M74" s="2605"/>
      <c r="N74" s="2605"/>
      <c r="O74" s="2605"/>
      <c r="P74" s="2605"/>
      <c r="Q74" s="2605"/>
    </row>
    <row r="75" spans="2:17" s="2219" customFormat="1">
      <c r="B75" s="2605"/>
      <c r="C75" s="2605"/>
      <c r="D75" s="2605"/>
      <c r="E75" s="2605"/>
      <c r="F75" s="2605"/>
      <c r="G75" s="2605"/>
      <c r="H75" s="2605"/>
      <c r="I75" s="2605"/>
      <c r="J75" s="2605"/>
      <c r="K75" s="2605"/>
      <c r="L75" s="2605"/>
      <c r="M75" s="2605"/>
      <c r="N75" s="2605"/>
      <c r="O75" s="2605"/>
      <c r="P75" s="2605"/>
      <c r="Q75" s="2605"/>
    </row>
    <row r="76" spans="2:17" s="2219" customFormat="1">
      <c r="B76" s="2605"/>
      <c r="C76" s="2605"/>
      <c r="D76" s="2605"/>
      <c r="E76" s="2605"/>
      <c r="F76" s="2605"/>
      <c r="G76" s="2605"/>
      <c r="H76" s="2605"/>
      <c r="I76" s="2605"/>
      <c r="J76" s="2605"/>
      <c r="K76" s="2605"/>
      <c r="L76" s="2605"/>
      <c r="M76" s="2605"/>
      <c r="N76" s="2605"/>
      <c r="O76" s="2605"/>
      <c r="P76" s="2605"/>
      <c r="Q76" s="2605"/>
    </row>
    <row r="77" spans="2:17" s="2219" customFormat="1">
      <c r="B77" s="2605"/>
      <c r="C77" s="2605"/>
      <c r="D77" s="2605"/>
      <c r="E77" s="2605"/>
      <c r="F77" s="2605"/>
      <c r="G77" s="2605"/>
      <c r="H77" s="2605"/>
      <c r="I77" s="2605"/>
      <c r="J77" s="2605"/>
      <c r="K77" s="2605"/>
      <c r="L77" s="2605"/>
      <c r="M77" s="2605"/>
      <c r="N77" s="2605"/>
      <c r="O77" s="2605"/>
      <c r="P77" s="2605"/>
      <c r="Q77" s="2605"/>
    </row>
    <row r="78" spans="2:17" s="2219" customFormat="1">
      <c r="B78" s="2605"/>
      <c r="C78" s="2605"/>
      <c r="D78" s="2605"/>
      <c r="E78" s="2605"/>
      <c r="F78" s="2605"/>
      <c r="G78" s="2605"/>
      <c r="H78" s="2605"/>
      <c r="I78" s="2605"/>
      <c r="J78" s="2605"/>
      <c r="K78" s="2605"/>
      <c r="L78" s="2605"/>
      <c r="M78" s="2605"/>
      <c r="N78" s="2605"/>
      <c r="O78" s="2605"/>
      <c r="P78" s="2605"/>
      <c r="Q78" s="2605"/>
    </row>
    <row r="79" spans="2:17" s="2219" customFormat="1">
      <c r="B79" s="2605"/>
      <c r="C79" s="2605"/>
      <c r="D79" s="2605"/>
      <c r="E79" s="2605"/>
      <c r="F79" s="2605"/>
      <c r="G79" s="2605"/>
      <c r="H79" s="2605"/>
      <c r="I79" s="2605"/>
      <c r="J79" s="2605"/>
      <c r="K79" s="2605"/>
      <c r="L79" s="2605"/>
      <c r="M79" s="2605"/>
      <c r="N79" s="2605"/>
      <c r="O79" s="2605"/>
      <c r="P79" s="2605"/>
      <c r="Q79" s="2605"/>
    </row>
    <row r="80" spans="2:17" s="2219" customFormat="1">
      <c r="B80" s="2605"/>
      <c r="C80" s="2605"/>
      <c r="D80" s="2605"/>
      <c r="E80" s="2605"/>
      <c r="F80" s="2605"/>
      <c r="G80" s="2605"/>
      <c r="H80" s="2605"/>
      <c r="I80" s="2605"/>
      <c r="J80" s="2605"/>
      <c r="K80" s="2605"/>
      <c r="L80" s="2605"/>
      <c r="M80" s="2605"/>
      <c r="N80" s="2605"/>
      <c r="O80" s="2605"/>
      <c r="P80" s="2605"/>
      <c r="Q80" s="2605"/>
    </row>
    <row r="81" spans="2:17" s="2219" customFormat="1">
      <c r="B81" s="2605"/>
      <c r="C81" s="2605"/>
      <c r="D81" s="2605"/>
      <c r="E81" s="2605"/>
      <c r="F81" s="2605"/>
      <c r="G81" s="2605"/>
      <c r="H81" s="2605"/>
      <c r="I81" s="2605"/>
      <c r="J81" s="2605"/>
      <c r="K81" s="2605"/>
      <c r="L81" s="2605"/>
      <c r="M81" s="2605"/>
      <c r="N81" s="2605"/>
      <c r="O81" s="2605"/>
      <c r="P81" s="2605"/>
      <c r="Q81" s="2605"/>
    </row>
    <row r="82" spans="2:17" s="2219" customFormat="1">
      <c r="B82" s="2605"/>
      <c r="C82" s="2605"/>
      <c r="D82" s="2605"/>
      <c r="E82" s="2605"/>
      <c r="F82" s="2605"/>
      <c r="G82" s="2605"/>
      <c r="H82" s="2605"/>
      <c r="I82" s="2605"/>
      <c r="J82" s="2605"/>
      <c r="K82" s="2605"/>
      <c r="L82" s="2605"/>
      <c r="M82" s="2605"/>
      <c r="N82" s="2605"/>
      <c r="O82" s="2605"/>
      <c r="P82" s="2605"/>
      <c r="Q82" s="2605"/>
    </row>
    <row r="83" spans="2:17" s="2219" customFormat="1">
      <c r="B83" s="2605"/>
      <c r="C83" s="2605"/>
      <c r="D83" s="2605"/>
      <c r="E83" s="2605"/>
      <c r="F83" s="2605"/>
      <c r="G83" s="2605"/>
      <c r="H83" s="2605"/>
      <c r="I83" s="2605"/>
      <c r="J83" s="2605"/>
      <c r="K83" s="2605"/>
      <c r="L83" s="2605"/>
      <c r="M83" s="2605"/>
      <c r="N83" s="2605"/>
      <c r="O83" s="2605"/>
      <c r="P83" s="2605"/>
      <c r="Q83" s="2605"/>
    </row>
    <row r="84" spans="2:17" s="2219" customFormat="1">
      <c r="B84" s="2605"/>
      <c r="C84" s="2605"/>
      <c r="D84" s="2605"/>
      <c r="E84" s="2605"/>
      <c r="F84" s="2605"/>
      <c r="G84" s="2605"/>
      <c r="H84" s="2605"/>
      <c r="I84" s="2605"/>
      <c r="J84" s="2605"/>
      <c r="K84" s="2605"/>
      <c r="L84" s="2605"/>
      <c r="M84" s="2605"/>
      <c r="N84" s="2605"/>
      <c r="O84" s="2605"/>
      <c r="P84" s="2605"/>
      <c r="Q84" s="2605"/>
    </row>
    <row r="85" spans="2:17" s="2219" customFormat="1">
      <c r="B85" s="2605"/>
      <c r="C85" s="2605"/>
      <c r="D85" s="2605"/>
      <c r="E85" s="2605"/>
      <c r="F85" s="2605"/>
      <c r="G85" s="2605"/>
      <c r="H85" s="2605"/>
      <c r="I85" s="2605"/>
      <c r="J85" s="2605"/>
      <c r="K85" s="2605"/>
      <c r="L85" s="2605"/>
      <c r="M85" s="2605"/>
      <c r="N85" s="2605"/>
      <c r="O85" s="2605"/>
      <c r="P85" s="2605"/>
      <c r="Q85" s="2605"/>
    </row>
    <row r="86" spans="2:17" s="2219" customFormat="1">
      <c r="B86" s="2605"/>
      <c r="C86" s="2605"/>
      <c r="D86" s="2605"/>
      <c r="E86" s="2605"/>
      <c r="F86" s="2605"/>
      <c r="G86" s="2605"/>
      <c r="H86" s="2605"/>
      <c r="I86" s="2605"/>
      <c r="J86" s="2605"/>
      <c r="K86" s="2605"/>
      <c r="L86" s="2605"/>
      <c r="M86" s="2605"/>
      <c r="N86" s="2605"/>
      <c r="O86" s="2605"/>
      <c r="P86" s="2605"/>
      <c r="Q86" s="2605"/>
    </row>
    <row r="87" spans="2:17" s="2219" customFormat="1">
      <c r="B87" s="2605"/>
      <c r="C87" s="2605"/>
      <c r="D87" s="2605"/>
      <c r="E87" s="2605"/>
      <c r="F87" s="2605"/>
      <c r="G87" s="2605"/>
      <c r="H87" s="2605"/>
      <c r="I87" s="2605"/>
      <c r="J87" s="2605"/>
      <c r="K87" s="2605"/>
      <c r="L87" s="2605"/>
      <c r="M87" s="2605"/>
      <c r="N87" s="2605"/>
      <c r="O87" s="2605"/>
      <c r="P87" s="2605"/>
      <c r="Q87" s="2605"/>
    </row>
    <row r="88" spans="2:17" s="2219" customFormat="1">
      <c r="B88" s="2605"/>
      <c r="C88" s="2605"/>
      <c r="D88" s="2605"/>
      <c r="E88" s="2605"/>
      <c r="F88" s="2605"/>
      <c r="G88" s="2605"/>
      <c r="H88" s="2605"/>
      <c r="I88" s="2605"/>
      <c r="J88" s="2605"/>
      <c r="K88" s="2605"/>
      <c r="L88" s="2605"/>
      <c r="M88" s="2605"/>
      <c r="N88" s="2605"/>
      <c r="O88" s="2605"/>
      <c r="P88" s="2605"/>
      <c r="Q88" s="2605"/>
    </row>
    <row r="89" spans="2:17" s="2219" customFormat="1">
      <c r="B89" s="2605"/>
      <c r="C89" s="2605"/>
      <c r="D89" s="2605"/>
      <c r="E89" s="2605"/>
      <c r="F89" s="2605"/>
      <c r="G89" s="2605"/>
      <c r="H89" s="2605"/>
      <c r="I89" s="2605"/>
      <c r="J89" s="2605"/>
      <c r="K89" s="2605"/>
      <c r="L89" s="2605"/>
      <c r="M89" s="2605"/>
      <c r="N89" s="2605"/>
      <c r="O89" s="2605"/>
      <c r="P89" s="2605"/>
      <c r="Q89" s="2605"/>
    </row>
    <row r="90" spans="2:17" s="2219" customFormat="1">
      <c r="B90" s="2605"/>
      <c r="C90" s="2605"/>
      <c r="D90" s="2605"/>
      <c r="E90" s="2605"/>
      <c r="F90" s="2605"/>
      <c r="G90" s="2605"/>
      <c r="H90" s="2605"/>
      <c r="I90" s="2605"/>
      <c r="J90" s="2605"/>
      <c r="K90" s="2605"/>
      <c r="L90" s="2605"/>
      <c r="M90" s="2605"/>
      <c r="N90" s="2605"/>
      <c r="O90" s="2605"/>
      <c r="P90" s="2605"/>
      <c r="Q90" s="2605"/>
    </row>
    <row r="91" spans="2:17" s="2219" customFormat="1">
      <c r="B91" s="2605"/>
      <c r="C91" s="2605"/>
      <c r="D91" s="2605"/>
      <c r="E91" s="2605"/>
      <c r="F91" s="2605"/>
      <c r="G91" s="2605"/>
      <c r="H91" s="2605"/>
      <c r="I91" s="2605"/>
      <c r="J91" s="2605"/>
      <c r="K91" s="2605"/>
      <c r="L91" s="2605"/>
      <c r="M91" s="2605"/>
      <c r="N91" s="2605"/>
      <c r="O91" s="2605"/>
      <c r="P91" s="2605"/>
      <c r="Q91" s="2605"/>
    </row>
    <row r="92" spans="2:17" s="2219" customFormat="1">
      <c r="B92" s="2605"/>
      <c r="C92" s="2605"/>
      <c r="D92" s="2605"/>
      <c r="E92" s="2605"/>
      <c r="F92" s="2605"/>
      <c r="G92" s="2605"/>
      <c r="H92" s="2605"/>
      <c r="I92" s="2605"/>
      <c r="J92" s="2605"/>
      <c r="K92" s="2605"/>
      <c r="L92" s="2605"/>
      <c r="M92" s="2605"/>
      <c r="N92" s="2605"/>
      <c r="O92" s="2605"/>
      <c r="P92" s="2605"/>
      <c r="Q92" s="2605"/>
    </row>
    <row r="93" spans="2:17" s="2219" customFormat="1">
      <c r="B93" s="2605"/>
      <c r="C93" s="2605"/>
      <c r="D93" s="2605"/>
      <c r="E93" s="2605"/>
      <c r="F93" s="2605"/>
      <c r="G93" s="2605"/>
      <c r="H93" s="2605"/>
      <c r="I93" s="2605"/>
      <c r="J93" s="2605"/>
      <c r="K93" s="2605"/>
      <c r="L93" s="2605"/>
      <c r="M93" s="2605"/>
      <c r="N93" s="2605"/>
      <c r="O93" s="2605"/>
      <c r="P93" s="2605"/>
      <c r="Q93" s="2605"/>
    </row>
    <row r="94" spans="2:17" s="2219" customFormat="1">
      <c r="B94" s="2605"/>
      <c r="C94" s="2605"/>
      <c r="D94" s="2605"/>
      <c r="E94" s="2605"/>
      <c r="F94" s="2605"/>
      <c r="G94" s="2605"/>
      <c r="H94" s="2605"/>
      <c r="I94" s="2605"/>
      <c r="J94" s="2605"/>
      <c r="K94" s="2605"/>
      <c r="L94" s="2605"/>
      <c r="M94" s="2605"/>
      <c r="N94" s="2605"/>
      <c r="O94" s="2605"/>
      <c r="P94" s="2605"/>
      <c r="Q94" s="2605"/>
    </row>
    <row r="95" spans="2:17" s="2219" customFormat="1">
      <c r="B95" s="2605"/>
      <c r="C95" s="2605"/>
      <c r="D95" s="2605"/>
      <c r="E95" s="2605"/>
      <c r="F95" s="2605"/>
      <c r="G95" s="2605"/>
      <c r="H95" s="2605"/>
      <c r="I95" s="2605"/>
      <c r="J95" s="2605"/>
      <c r="K95" s="2605"/>
      <c r="L95" s="2605"/>
      <c r="M95" s="2605"/>
      <c r="N95" s="2605"/>
      <c r="O95" s="2605"/>
      <c r="P95" s="2605"/>
      <c r="Q95" s="2605"/>
    </row>
    <row r="96" spans="2:17" s="2219" customFormat="1">
      <c r="B96" s="2605"/>
      <c r="C96" s="2605"/>
      <c r="D96" s="2605"/>
      <c r="E96" s="2605"/>
      <c r="F96" s="2605"/>
      <c r="G96" s="2605"/>
      <c r="H96" s="2605"/>
      <c r="I96" s="2605"/>
      <c r="J96" s="2605"/>
      <c r="K96" s="2605"/>
      <c r="L96" s="2605"/>
      <c r="M96" s="2605"/>
      <c r="N96" s="2605"/>
      <c r="O96" s="2605"/>
      <c r="P96" s="2605"/>
      <c r="Q96" s="2605"/>
    </row>
    <row r="97" spans="2:17" s="2219" customFormat="1">
      <c r="B97" s="2605"/>
      <c r="C97" s="2605"/>
      <c r="D97" s="2605"/>
      <c r="E97" s="2605"/>
      <c r="F97" s="2605"/>
      <c r="G97" s="2605"/>
      <c r="H97" s="2605"/>
      <c r="I97" s="2605"/>
      <c r="J97" s="2605"/>
      <c r="K97" s="2605"/>
      <c r="L97" s="2605"/>
      <c r="M97" s="2605"/>
      <c r="N97" s="2605"/>
      <c r="O97" s="2605"/>
      <c r="P97" s="2605"/>
      <c r="Q97" s="2605"/>
    </row>
    <row r="98" spans="2:17" s="2219" customFormat="1">
      <c r="B98" s="2605"/>
      <c r="C98" s="2605"/>
      <c r="D98" s="2605"/>
      <c r="E98" s="2605"/>
      <c r="F98" s="2605"/>
      <c r="G98" s="2605"/>
      <c r="H98" s="2605"/>
      <c r="I98" s="2605"/>
      <c r="J98" s="2605"/>
      <c r="K98" s="2605"/>
      <c r="L98" s="2605"/>
      <c r="M98" s="2605"/>
      <c r="N98" s="2605"/>
      <c r="O98" s="2605"/>
      <c r="P98" s="2605"/>
      <c r="Q98" s="2605"/>
    </row>
    <row r="99" spans="2:17" s="2219" customFormat="1">
      <c r="B99" s="2605"/>
      <c r="C99" s="2605"/>
      <c r="D99" s="2605"/>
      <c r="E99" s="2605"/>
      <c r="F99" s="2605"/>
      <c r="G99" s="2605"/>
      <c r="H99" s="2605"/>
      <c r="I99" s="2605"/>
      <c r="J99" s="2605"/>
      <c r="K99" s="2605"/>
      <c r="L99" s="2605"/>
      <c r="M99" s="2605"/>
      <c r="N99" s="2605"/>
      <c r="O99" s="2605"/>
      <c r="P99" s="2605"/>
      <c r="Q99" s="2605"/>
    </row>
    <row r="100" spans="2:17" s="2219" customFormat="1">
      <c r="B100" s="2605"/>
      <c r="C100" s="2605"/>
      <c r="D100" s="2605"/>
      <c r="E100" s="2605"/>
      <c r="F100" s="2605"/>
      <c r="G100" s="2605"/>
      <c r="H100" s="2605"/>
      <c r="I100" s="2605"/>
      <c r="J100" s="2605"/>
      <c r="K100" s="2605"/>
      <c r="L100" s="2605"/>
      <c r="M100" s="2605"/>
      <c r="N100" s="2605"/>
      <c r="O100" s="2605"/>
      <c r="P100" s="2605"/>
      <c r="Q100" s="2605"/>
    </row>
    <row r="101" spans="2:17" s="2219" customFormat="1">
      <c r="B101" s="2605"/>
      <c r="C101" s="2605"/>
      <c r="D101" s="2605"/>
      <c r="E101" s="2605"/>
      <c r="F101" s="2605"/>
      <c r="G101" s="2605"/>
      <c r="H101" s="2605"/>
      <c r="I101" s="2605"/>
      <c r="J101" s="2605"/>
      <c r="K101" s="2605"/>
      <c r="L101" s="2605"/>
      <c r="M101" s="2605"/>
      <c r="N101" s="2605"/>
      <c r="O101" s="2605"/>
      <c r="P101" s="2605"/>
      <c r="Q101" s="2605"/>
    </row>
    <row r="102" spans="2:17" s="2219" customFormat="1">
      <c r="B102" s="2605"/>
      <c r="C102" s="2605"/>
      <c r="D102" s="2605"/>
      <c r="E102" s="2605"/>
      <c r="F102" s="2605"/>
      <c r="G102" s="2605"/>
      <c r="H102" s="2605"/>
      <c r="I102" s="2605"/>
      <c r="J102" s="2605"/>
      <c r="K102" s="2605"/>
      <c r="L102" s="2605"/>
      <c r="M102" s="2605"/>
      <c r="N102" s="2605"/>
      <c r="O102" s="2605"/>
      <c r="P102" s="2605"/>
      <c r="Q102" s="2605"/>
    </row>
    <row r="103" spans="2:17" s="2219" customFormat="1">
      <c r="B103" s="2605"/>
      <c r="C103" s="2605"/>
      <c r="D103" s="2605"/>
      <c r="E103" s="2605"/>
      <c r="F103" s="2605"/>
      <c r="G103" s="2605"/>
      <c r="H103" s="2605"/>
      <c r="I103" s="2605"/>
      <c r="J103" s="2605"/>
      <c r="K103" s="2605"/>
      <c r="L103" s="2605"/>
      <c r="M103" s="2605"/>
      <c r="N103" s="2605"/>
      <c r="O103" s="2605"/>
      <c r="P103" s="2605"/>
      <c r="Q103" s="2605"/>
    </row>
    <row r="104" spans="2:17" s="2219" customFormat="1">
      <c r="B104" s="2605"/>
      <c r="C104" s="2605"/>
      <c r="D104" s="2605"/>
      <c r="E104" s="2605"/>
      <c r="F104" s="2605"/>
      <c r="G104" s="2605"/>
      <c r="H104" s="2605"/>
      <c r="I104" s="2605"/>
      <c r="J104" s="2605"/>
      <c r="K104" s="2605"/>
      <c r="L104" s="2605"/>
      <c r="M104" s="2605"/>
      <c r="N104" s="2605"/>
      <c r="O104" s="2605"/>
      <c r="P104" s="2605"/>
      <c r="Q104" s="2605"/>
    </row>
    <row r="105" spans="2:17" s="2219" customFormat="1">
      <c r="B105" s="2605"/>
      <c r="C105" s="2605"/>
      <c r="D105" s="2605"/>
      <c r="E105" s="2605"/>
      <c r="F105" s="2605"/>
      <c r="G105" s="2605"/>
      <c r="H105" s="2605"/>
      <c r="I105" s="2605"/>
      <c r="J105" s="2605"/>
      <c r="K105" s="2605"/>
      <c r="L105" s="2605"/>
      <c r="M105" s="2605"/>
      <c r="N105" s="2605"/>
      <c r="O105" s="2605"/>
      <c r="P105" s="2605"/>
      <c r="Q105" s="2605"/>
    </row>
    <row r="106" spans="2:17" s="2219" customFormat="1">
      <c r="B106" s="2605"/>
      <c r="C106" s="2605"/>
      <c r="D106" s="2605"/>
      <c r="E106" s="2605"/>
      <c r="F106" s="2605"/>
      <c r="G106" s="2605"/>
      <c r="H106" s="2605"/>
      <c r="I106" s="2605"/>
      <c r="J106" s="2605"/>
      <c r="K106" s="2605"/>
      <c r="L106" s="2605"/>
      <c r="M106" s="2605"/>
      <c r="N106" s="2605"/>
      <c r="O106" s="2605"/>
      <c r="P106" s="2605"/>
      <c r="Q106" s="2605"/>
    </row>
    <row r="107" spans="2:17" s="2219" customFormat="1">
      <c r="B107" s="2605"/>
      <c r="C107" s="2605"/>
      <c r="D107" s="2605"/>
      <c r="E107" s="2605"/>
      <c r="F107" s="2605"/>
      <c r="G107" s="2605"/>
      <c r="H107" s="2605"/>
      <c r="I107" s="2605"/>
      <c r="J107" s="2605"/>
      <c r="K107" s="2605"/>
      <c r="L107" s="2605"/>
      <c r="M107" s="2605"/>
      <c r="N107" s="2605"/>
      <c r="O107" s="2605"/>
      <c r="P107" s="2605"/>
      <c r="Q107" s="2605"/>
    </row>
    <row r="108" spans="2:17" s="2219" customFormat="1">
      <c r="B108" s="2605"/>
      <c r="C108" s="2605"/>
      <c r="D108" s="2605"/>
      <c r="E108" s="2605"/>
      <c r="F108" s="2605"/>
      <c r="G108" s="2605"/>
      <c r="H108" s="2605"/>
      <c r="I108" s="2605"/>
      <c r="J108" s="2605"/>
      <c r="K108" s="2605"/>
      <c r="L108" s="2605"/>
      <c r="M108" s="2605"/>
      <c r="N108" s="2605"/>
      <c r="O108" s="2605"/>
      <c r="P108" s="2605"/>
      <c r="Q108" s="2605"/>
    </row>
    <row r="109" spans="2:17" s="2219" customFormat="1">
      <c r="B109" s="2605"/>
      <c r="C109" s="2605"/>
      <c r="D109" s="2605"/>
      <c r="E109" s="2605"/>
      <c r="F109" s="2605"/>
      <c r="G109" s="2605"/>
      <c r="H109" s="2605"/>
      <c r="I109" s="2605"/>
      <c r="J109" s="2605"/>
      <c r="K109" s="2605"/>
      <c r="L109" s="2605"/>
      <c r="M109" s="2605"/>
      <c r="N109" s="2605"/>
      <c r="O109" s="2605"/>
      <c r="P109" s="2605"/>
      <c r="Q109" s="2605"/>
    </row>
    <row r="110" spans="2:17" s="2219" customFormat="1">
      <c r="B110" s="2605"/>
      <c r="C110" s="2605"/>
      <c r="D110" s="2605"/>
      <c r="E110" s="2605"/>
      <c r="F110" s="2605"/>
      <c r="G110" s="2605"/>
      <c r="H110" s="2605"/>
      <c r="I110" s="2605"/>
      <c r="J110" s="2605"/>
      <c r="K110" s="2605"/>
      <c r="L110" s="2605"/>
      <c r="M110" s="2605"/>
      <c r="N110" s="2605"/>
      <c r="O110" s="2605"/>
      <c r="P110" s="2605"/>
      <c r="Q110" s="2605"/>
    </row>
    <row r="111" spans="2:17" s="2219" customFormat="1">
      <c r="B111" s="2605"/>
      <c r="C111" s="2605"/>
      <c r="D111" s="2605"/>
      <c r="E111" s="2605"/>
      <c r="F111" s="2605"/>
      <c r="G111" s="2605"/>
      <c r="H111" s="2605"/>
      <c r="I111" s="2605"/>
      <c r="J111" s="2605"/>
      <c r="K111" s="2605"/>
      <c r="L111" s="2605"/>
      <c r="M111" s="2605"/>
      <c r="N111" s="2605"/>
      <c r="O111" s="2605"/>
      <c r="P111" s="2605"/>
      <c r="Q111" s="2605"/>
    </row>
    <row r="112" spans="2:17" s="2219" customFormat="1">
      <c r="B112" s="2605"/>
      <c r="C112" s="2605"/>
      <c r="D112" s="2605"/>
      <c r="E112" s="2605"/>
      <c r="F112" s="2605"/>
      <c r="G112" s="2605"/>
      <c r="H112" s="2605"/>
      <c r="I112" s="2605"/>
      <c r="J112" s="2605"/>
      <c r="K112" s="2605"/>
      <c r="L112" s="2605"/>
      <c r="M112" s="2605"/>
      <c r="N112" s="2605"/>
      <c r="O112" s="2605"/>
      <c r="P112" s="2605"/>
      <c r="Q112" s="2605"/>
    </row>
    <row r="113" spans="2:17" s="2219" customFormat="1">
      <c r="B113" s="2605"/>
      <c r="C113" s="2605"/>
      <c r="D113" s="2605"/>
      <c r="E113" s="2605"/>
      <c r="F113" s="2605"/>
      <c r="G113" s="2605"/>
      <c r="H113" s="2605"/>
      <c r="I113" s="2605"/>
      <c r="J113" s="2605"/>
      <c r="K113" s="2605"/>
      <c r="L113" s="2605"/>
      <c r="M113" s="2605"/>
      <c r="N113" s="2605"/>
      <c r="O113" s="2605"/>
      <c r="P113" s="2605"/>
      <c r="Q113" s="2605"/>
    </row>
    <row r="114" spans="2:17" s="2219" customFormat="1">
      <c r="B114" s="2605"/>
      <c r="C114" s="2605"/>
      <c r="D114" s="2605"/>
      <c r="E114" s="2605"/>
      <c r="F114" s="2605"/>
      <c r="G114" s="2605"/>
      <c r="H114" s="2605"/>
      <c r="I114" s="2605"/>
      <c r="J114" s="2605"/>
      <c r="K114" s="2605"/>
      <c r="L114" s="2605"/>
      <c r="M114" s="2605"/>
      <c r="N114" s="2605"/>
      <c r="O114" s="2605"/>
      <c r="P114" s="2605"/>
      <c r="Q114" s="2605"/>
    </row>
    <row r="115" spans="2:17" s="2219" customFormat="1">
      <c r="B115" s="2605"/>
      <c r="C115" s="2605"/>
      <c r="D115" s="2605"/>
      <c r="E115" s="2605"/>
      <c r="F115" s="2605"/>
      <c r="G115" s="2605"/>
      <c r="H115" s="2605"/>
      <c r="I115" s="2605"/>
      <c r="J115" s="2605"/>
      <c r="K115" s="2605"/>
      <c r="L115" s="2605"/>
      <c r="M115" s="2605"/>
      <c r="N115" s="2605"/>
      <c r="O115" s="2605"/>
      <c r="P115" s="2605"/>
      <c r="Q115" s="2605"/>
    </row>
    <row r="116" spans="2:17" s="2219" customFormat="1">
      <c r="B116" s="2605"/>
      <c r="C116" s="2605"/>
      <c r="D116" s="2605"/>
      <c r="E116" s="2605"/>
      <c r="F116" s="2605"/>
      <c r="G116" s="2605"/>
      <c r="H116" s="2605"/>
      <c r="I116" s="2605"/>
      <c r="J116" s="2605"/>
      <c r="K116" s="2605"/>
      <c r="L116" s="2605"/>
      <c r="M116" s="2605"/>
      <c r="N116" s="2605"/>
      <c r="O116" s="2605"/>
      <c r="P116" s="2605"/>
      <c r="Q116" s="2605"/>
    </row>
    <row r="117" spans="2:17" s="2219" customFormat="1">
      <c r="B117" s="2605"/>
      <c r="C117" s="2605"/>
      <c r="D117" s="2605"/>
      <c r="E117" s="2605"/>
      <c r="F117" s="2605"/>
      <c r="G117" s="2605"/>
      <c r="H117" s="2605"/>
      <c r="I117" s="2605"/>
      <c r="J117" s="2605"/>
      <c r="K117" s="2605"/>
      <c r="L117" s="2605"/>
      <c r="M117" s="2605"/>
      <c r="N117" s="2605"/>
      <c r="O117" s="2605"/>
      <c r="P117" s="2605"/>
      <c r="Q117" s="2605"/>
    </row>
    <row r="118" spans="2:17" s="2219" customFormat="1">
      <c r="B118" s="2605"/>
      <c r="C118" s="2605"/>
      <c r="D118" s="2605"/>
      <c r="E118" s="2605"/>
      <c r="F118" s="2605"/>
      <c r="G118" s="2605"/>
      <c r="H118" s="2605"/>
      <c r="I118" s="2605"/>
      <c r="J118" s="2605"/>
      <c r="K118" s="2605"/>
      <c r="L118" s="2605"/>
      <c r="M118" s="2605"/>
      <c r="N118" s="2605"/>
      <c r="O118" s="2605"/>
      <c r="P118" s="2605"/>
      <c r="Q118" s="2605"/>
    </row>
    <row r="119" spans="2:17" s="2219" customFormat="1">
      <c r="B119" s="2605"/>
      <c r="C119" s="2605"/>
      <c r="D119" s="2605"/>
      <c r="E119" s="2605"/>
      <c r="F119" s="2605"/>
      <c r="G119" s="2605"/>
      <c r="H119" s="2605"/>
      <c r="I119" s="2605"/>
      <c r="J119" s="2605"/>
      <c r="K119" s="2605"/>
      <c r="L119" s="2605"/>
      <c r="M119" s="2605"/>
      <c r="N119" s="2605"/>
      <c r="O119" s="2605"/>
      <c r="P119" s="2605"/>
      <c r="Q119" s="2605"/>
    </row>
    <row r="120" spans="2:17" s="2219" customFormat="1">
      <c r="B120" s="2605"/>
      <c r="C120" s="2605"/>
      <c r="D120" s="2605"/>
      <c r="E120" s="2605"/>
      <c r="F120" s="2605"/>
      <c r="G120" s="2605"/>
      <c r="H120" s="2605"/>
      <c r="I120" s="2605"/>
      <c r="J120" s="2605"/>
      <c r="K120" s="2605"/>
      <c r="L120" s="2605"/>
      <c r="M120" s="2605"/>
      <c r="N120" s="2605"/>
      <c r="O120" s="2605"/>
      <c r="P120" s="2605"/>
      <c r="Q120" s="2605"/>
    </row>
    <row r="121" spans="2:17" s="2219" customFormat="1">
      <c r="B121" s="2605"/>
      <c r="C121" s="2605"/>
      <c r="D121" s="2605"/>
      <c r="E121" s="2605"/>
      <c r="F121" s="2605"/>
      <c r="G121" s="2605"/>
      <c r="H121" s="2605"/>
      <c r="I121" s="2605"/>
      <c r="J121" s="2605"/>
      <c r="K121" s="2605"/>
      <c r="L121" s="2605"/>
      <c r="M121" s="2605"/>
      <c r="N121" s="2605"/>
      <c r="O121" s="2605"/>
      <c r="P121" s="2605"/>
      <c r="Q121" s="2605"/>
    </row>
    <row r="122" spans="2:17" s="2219" customFormat="1">
      <c r="B122" s="2605"/>
      <c r="C122" s="2605"/>
      <c r="D122" s="2605"/>
      <c r="E122" s="2605"/>
      <c r="F122" s="2605"/>
      <c r="G122" s="2605"/>
      <c r="H122" s="2605"/>
      <c r="I122" s="2605"/>
      <c r="J122" s="2605"/>
      <c r="K122" s="2605"/>
      <c r="L122" s="2605"/>
      <c r="M122" s="2605"/>
      <c r="N122" s="2605"/>
      <c r="O122" s="2605"/>
      <c r="P122" s="2605"/>
      <c r="Q122" s="2605"/>
    </row>
    <row r="123" spans="2:17" s="2219" customFormat="1">
      <c r="B123" s="2605"/>
      <c r="C123" s="2605"/>
      <c r="D123" s="2605"/>
      <c r="E123" s="2605"/>
      <c r="F123" s="2605"/>
      <c r="G123" s="2605"/>
      <c r="H123" s="2605"/>
      <c r="I123" s="2605"/>
      <c r="J123" s="2605"/>
      <c r="K123" s="2605"/>
      <c r="L123" s="2605"/>
      <c r="M123" s="2605"/>
      <c r="N123" s="2605"/>
      <c r="O123" s="2605"/>
      <c r="P123" s="2605"/>
      <c r="Q123" s="2605"/>
    </row>
    <row r="124" spans="2:17" s="2219" customFormat="1">
      <c r="B124" s="2605"/>
      <c r="C124" s="2605"/>
      <c r="D124" s="2605"/>
      <c r="E124" s="2605"/>
      <c r="F124" s="2605"/>
      <c r="G124" s="2605"/>
      <c r="H124" s="2605"/>
      <c r="I124" s="2605"/>
      <c r="J124" s="2605"/>
      <c r="K124" s="2605"/>
      <c r="L124" s="2605"/>
      <c r="M124" s="2605"/>
      <c r="N124" s="2605"/>
      <c r="O124" s="2605"/>
      <c r="P124" s="2605"/>
      <c r="Q124" s="2605"/>
    </row>
    <row r="125" spans="2:17" s="2219" customFormat="1">
      <c r="B125" s="2605"/>
      <c r="C125" s="2605"/>
      <c r="D125" s="2605"/>
      <c r="E125" s="2605"/>
      <c r="F125" s="2605"/>
      <c r="G125" s="2605"/>
      <c r="H125" s="2605"/>
      <c r="I125" s="2605"/>
      <c r="J125" s="2605"/>
      <c r="K125" s="2605"/>
      <c r="L125" s="2605"/>
      <c r="M125" s="2605"/>
      <c r="N125" s="2605"/>
      <c r="O125" s="2605"/>
      <c r="P125" s="2605"/>
      <c r="Q125" s="2605"/>
    </row>
    <row r="126" spans="2:17" s="2219" customFormat="1">
      <c r="B126" s="2605"/>
      <c r="C126" s="2605"/>
      <c r="D126" s="2605"/>
      <c r="E126" s="2605"/>
      <c r="F126" s="2605"/>
      <c r="G126" s="2605"/>
      <c r="H126" s="2605"/>
      <c r="I126" s="2605"/>
      <c r="J126" s="2605"/>
      <c r="K126" s="2605"/>
      <c r="L126" s="2605"/>
      <c r="M126" s="2605"/>
      <c r="N126" s="2605"/>
      <c r="O126" s="2605"/>
      <c r="P126" s="2605"/>
      <c r="Q126" s="2605"/>
    </row>
    <row r="127" spans="2:17" s="2219" customFormat="1">
      <c r="B127" s="2605"/>
      <c r="C127" s="2605"/>
      <c r="D127" s="2605"/>
      <c r="E127" s="2605"/>
      <c r="F127" s="2605"/>
      <c r="G127" s="2605"/>
      <c r="H127" s="2605"/>
      <c r="I127" s="2605"/>
      <c r="J127" s="2605"/>
      <c r="K127" s="2605"/>
      <c r="L127" s="2605"/>
      <c r="M127" s="2605"/>
      <c r="N127" s="2605"/>
      <c r="O127" s="2605"/>
      <c r="P127" s="2605"/>
      <c r="Q127" s="2605"/>
    </row>
    <row r="128" spans="2:17" s="2219" customFormat="1">
      <c r="B128" s="2605"/>
      <c r="C128" s="2605"/>
      <c r="D128" s="2605"/>
      <c r="E128" s="2605"/>
      <c r="F128" s="2605"/>
      <c r="G128" s="2605"/>
      <c r="H128" s="2605"/>
      <c r="I128" s="2605"/>
      <c r="J128" s="2605"/>
      <c r="K128" s="2605"/>
      <c r="L128" s="2605"/>
      <c r="M128" s="2605"/>
      <c r="N128" s="2605"/>
      <c r="O128" s="2605"/>
      <c r="P128" s="2605"/>
      <c r="Q128" s="2605"/>
    </row>
    <row r="129" spans="2:17" s="2219" customFormat="1">
      <c r="B129" s="2605"/>
      <c r="C129" s="2605"/>
      <c r="D129" s="2605"/>
      <c r="E129" s="2605"/>
      <c r="F129" s="2605"/>
      <c r="G129" s="2605"/>
      <c r="H129" s="2605"/>
      <c r="I129" s="2605"/>
      <c r="J129" s="2605"/>
      <c r="K129" s="2605"/>
      <c r="L129" s="2605"/>
      <c r="M129" s="2605"/>
      <c r="N129" s="2605"/>
      <c r="O129" s="2605"/>
      <c r="P129" s="2605"/>
      <c r="Q129" s="2605"/>
    </row>
    <row r="130" spans="2:17" s="2219" customFormat="1">
      <c r="B130" s="2605"/>
      <c r="C130" s="2605"/>
      <c r="D130" s="2605"/>
      <c r="E130" s="2605"/>
      <c r="F130" s="2605"/>
      <c r="G130" s="2605"/>
      <c r="H130" s="2605"/>
      <c r="I130" s="2605"/>
      <c r="J130" s="2605"/>
      <c r="K130" s="2605"/>
      <c r="L130" s="2605"/>
      <c r="M130" s="2605"/>
      <c r="N130" s="2605"/>
      <c r="O130" s="2605"/>
      <c r="P130" s="2605"/>
      <c r="Q130" s="2605"/>
    </row>
    <row r="131" spans="2:17" s="2219" customFormat="1">
      <c r="B131" s="2605"/>
      <c r="C131" s="2605"/>
      <c r="D131" s="2605"/>
      <c r="E131" s="2605"/>
      <c r="F131" s="2605"/>
      <c r="G131" s="2605"/>
      <c r="H131" s="2605"/>
      <c r="I131" s="2605"/>
      <c r="J131" s="2605"/>
      <c r="K131" s="2605"/>
      <c r="L131" s="2605"/>
      <c r="M131" s="2605"/>
      <c r="N131" s="2605"/>
      <c r="O131" s="2605"/>
      <c r="P131" s="2605"/>
      <c r="Q131" s="2605"/>
    </row>
    <row r="132" spans="2:17" s="2219" customFormat="1">
      <c r="B132" s="2605"/>
      <c r="C132" s="2605"/>
      <c r="D132" s="2605"/>
      <c r="E132" s="2605"/>
      <c r="F132" s="2605"/>
      <c r="G132" s="2605"/>
      <c r="H132" s="2605"/>
      <c r="I132" s="2605"/>
      <c r="J132" s="2605"/>
      <c r="K132" s="2605"/>
      <c r="L132" s="2605"/>
      <c r="M132" s="2605"/>
      <c r="N132" s="2605"/>
      <c r="O132" s="2605"/>
      <c r="P132" s="2605"/>
      <c r="Q132" s="2605"/>
    </row>
    <row r="133" spans="2:17" s="2219" customFormat="1">
      <c r="B133" s="2605"/>
      <c r="C133" s="2605"/>
      <c r="D133" s="2605"/>
      <c r="E133" s="2605"/>
      <c r="F133" s="2605"/>
      <c r="G133" s="2605"/>
      <c r="H133" s="2605"/>
      <c r="I133" s="2605"/>
      <c r="J133" s="2605"/>
      <c r="K133" s="2605"/>
      <c r="L133" s="2605"/>
      <c r="M133" s="2605"/>
      <c r="N133" s="2605"/>
      <c r="O133" s="2605"/>
      <c r="P133" s="2605"/>
      <c r="Q133" s="2605"/>
    </row>
    <row r="134" spans="2:17" s="2219" customFormat="1">
      <c r="B134" s="2605"/>
      <c r="C134" s="2605"/>
      <c r="D134" s="2605"/>
      <c r="E134" s="2605"/>
      <c r="F134" s="2605"/>
      <c r="G134" s="2605"/>
      <c r="H134" s="2605"/>
      <c r="I134" s="2605"/>
      <c r="J134" s="2605"/>
      <c r="K134" s="2605"/>
      <c r="L134" s="2605"/>
      <c r="M134" s="2605"/>
      <c r="N134" s="2605"/>
      <c r="O134" s="2605"/>
      <c r="P134" s="2605"/>
      <c r="Q134" s="2605"/>
    </row>
    <row r="135" spans="2:17" s="2219" customFormat="1">
      <c r="B135" s="2605"/>
      <c r="C135" s="2605"/>
      <c r="D135" s="2605"/>
      <c r="E135" s="2605"/>
      <c r="F135" s="2605"/>
      <c r="G135" s="2605"/>
      <c r="H135" s="2605"/>
      <c r="I135" s="2605"/>
      <c r="J135" s="2605"/>
      <c r="K135" s="2605"/>
      <c r="L135" s="2605"/>
      <c r="M135" s="2605"/>
      <c r="N135" s="2605"/>
      <c r="O135" s="2605"/>
      <c r="P135" s="2605"/>
      <c r="Q135" s="2605"/>
    </row>
    <row r="136" spans="2:17" s="2219" customFormat="1">
      <c r="B136" s="2605"/>
      <c r="C136" s="2605"/>
      <c r="D136" s="2605"/>
      <c r="E136" s="2605"/>
      <c r="F136" s="2605"/>
      <c r="G136" s="2605"/>
      <c r="H136" s="2605"/>
      <c r="I136" s="2605"/>
      <c r="J136" s="2605"/>
      <c r="K136" s="2605"/>
      <c r="L136" s="2605"/>
      <c r="M136" s="2605"/>
      <c r="N136" s="2605"/>
      <c r="O136" s="2605"/>
      <c r="P136" s="2605"/>
      <c r="Q136" s="2605"/>
    </row>
    <row r="137" spans="2:17" s="2219" customFormat="1">
      <c r="B137" s="2605"/>
      <c r="C137" s="2605"/>
      <c r="D137" s="2605"/>
      <c r="E137" s="2605"/>
      <c r="F137" s="2605"/>
      <c r="G137" s="2605"/>
      <c r="H137" s="2605"/>
      <c r="I137" s="2605"/>
      <c r="J137" s="2605"/>
      <c r="K137" s="2605"/>
      <c r="L137" s="2605"/>
      <c r="M137" s="2605"/>
      <c r="N137" s="2605"/>
      <c r="O137" s="2605"/>
      <c r="P137" s="2605"/>
      <c r="Q137" s="2605"/>
    </row>
    <row r="138" spans="2:17" s="2219" customFormat="1">
      <c r="B138" s="2605"/>
      <c r="C138" s="2605"/>
      <c r="D138" s="2605"/>
      <c r="E138" s="2605"/>
      <c r="F138" s="2605"/>
      <c r="G138" s="2605"/>
      <c r="H138" s="2605"/>
      <c r="I138" s="2605"/>
      <c r="J138" s="2605"/>
      <c r="K138" s="2605"/>
      <c r="L138" s="2605"/>
      <c r="M138" s="2605"/>
      <c r="N138" s="2605"/>
      <c r="O138" s="2605"/>
      <c r="P138" s="2605"/>
      <c r="Q138" s="2605"/>
    </row>
    <row r="139" spans="2:17" s="2219" customFormat="1">
      <c r="B139" s="2605"/>
      <c r="C139" s="2605"/>
      <c r="D139" s="2605"/>
      <c r="E139" s="2605"/>
      <c r="F139" s="2605"/>
      <c r="G139" s="2605"/>
      <c r="H139" s="2605"/>
      <c r="I139" s="2605"/>
      <c r="J139" s="2605"/>
      <c r="K139" s="2605"/>
      <c r="L139" s="2605"/>
      <c r="M139" s="2605"/>
      <c r="N139" s="2605"/>
      <c r="O139" s="2605"/>
      <c r="P139" s="2605"/>
      <c r="Q139" s="2605"/>
    </row>
    <row r="140" spans="2:17" s="2219" customFormat="1">
      <c r="B140" s="2605"/>
      <c r="C140" s="2605"/>
      <c r="D140" s="2605"/>
      <c r="E140" s="2605"/>
      <c r="F140" s="2605"/>
      <c r="G140" s="2605"/>
      <c r="H140" s="2605"/>
      <c r="I140" s="2605"/>
      <c r="J140" s="2605"/>
      <c r="K140" s="2605"/>
      <c r="L140" s="2605"/>
      <c r="M140" s="2605"/>
      <c r="N140" s="2605"/>
      <c r="O140" s="2605"/>
      <c r="P140" s="2605"/>
      <c r="Q140" s="2605"/>
    </row>
    <row r="141" spans="2:17" s="2219" customFormat="1">
      <c r="B141" s="2605"/>
      <c r="C141" s="2605"/>
      <c r="D141" s="2605"/>
      <c r="E141" s="2605"/>
      <c r="F141" s="2605"/>
      <c r="G141" s="2605"/>
      <c r="H141" s="2605"/>
      <c r="I141" s="2605"/>
      <c r="J141" s="2605"/>
      <c r="K141" s="2605"/>
      <c r="L141" s="2605"/>
      <c r="M141" s="2605"/>
      <c r="N141" s="2605"/>
      <c r="O141" s="2605"/>
      <c r="P141" s="2605"/>
      <c r="Q141" s="2605"/>
    </row>
    <row r="142" spans="2:17" s="2219" customFormat="1">
      <c r="B142" s="2605"/>
      <c r="C142" s="2605"/>
      <c r="D142" s="2605"/>
      <c r="E142" s="2605"/>
      <c r="F142" s="2605"/>
      <c r="G142" s="2605"/>
      <c r="H142" s="2605"/>
      <c r="I142" s="2605"/>
      <c r="J142" s="2605"/>
      <c r="K142" s="2605"/>
      <c r="L142" s="2605"/>
      <c r="M142" s="2605"/>
      <c r="N142" s="2605"/>
      <c r="O142" s="2605"/>
      <c r="P142" s="2605"/>
      <c r="Q142" s="2605"/>
    </row>
    <row r="143" spans="2:17" s="2219" customFormat="1">
      <c r="B143" s="2605"/>
      <c r="C143" s="2605"/>
      <c r="D143" s="2605"/>
      <c r="E143" s="2605"/>
      <c r="F143" s="2605"/>
      <c r="G143" s="2605"/>
      <c r="H143" s="2605"/>
      <c r="I143" s="2605"/>
      <c r="J143" s="2605"/>
      <c r="K143" s="2605"/>
      <c r="L143" s="2605"/>
      <c r="M143" s="2605"/>
      <c r="N143" s="2605"/>
      <c r="O143" s="2605"/>
      <c r="P143" s="2605"/>
      <c r="Q143" s="2605"/>
    </row>
    <row r="144" spans="2:17" s="2219" customFormat="1">
      <c r="B144" s="2605"/>
      <c r="C144" s="2605"/>
      <c r="D144" s="2605"/>
      <c r="E144" s="2605"/>
      <c r="F144" s="2605"/>
      <c r="G144" s="2605"/>
      <c r="H144" s="2605"/>
      <c r="I144" s="2605"/>
      <c r="J144" s="2605"/>
      <c r="K144" s="2605"/>
      <c r="L144" s="2605"/>
      <c r="M144" s="2605"/>
      <c r="N144" s="2605"/>
      <c r="O144" s="2605"/>
      <c r="P144" s="2605"/>
      <c r="Q144" s="2605"/>
    </row>
    <row r="145" spans="2:17" s="2219" customFormat="1">
      <c r="B145" s="2605"/>
      <c r="C145" s="2605"/>
      <c r="D145" s="2605"/>
      <c r="E145" s="2605"/>
      <c r="F145" s="2605"/>
      <c r="G145" s="2605"/>
      <c r="H145" s="2605"/>
      <c r="I145" s="2605"/>
      <c r="J145" s="2605"/>
      <c r="K145" s="2605"/>
      <c r="L145" s="2605"/>
      <c r="M145" s="2605"/>
      <c r="N145" s="2605"/>
      <c r="O145" s="2605"/>
      <c r="P145" s="2605"/>
      <c r="Q145" s="2605"/>
    </row>
    <row r="146" spans="2:17" s="2219" customFormat="1">
      <c r="B146" s="2605"/>
      <c r="C146" s="2605"/>
      <c r="D146" s="2605"/>
      <c r="E146" s="2605"/>
      <c r="F146" s="2605"/>
      <c r="G146" s="2605"/>
      <c r="H146" s="2605"/>
      <c r="I146" s="2605"/>
      <c r="J146" s="2605"/>
      <c r="K146" s="2605"/>
      <c r="L146" s="2605"/>
      <c r="M146" s="2605"/>
      <c r="N146" s="2605"/>
      <c r="O146" s="2605"/>
      <c r="P146" s="2605"/>
      <c r="Q146" s="2605"/>
    </row>
    <row r="147" spans="2:17" s="2219" customFormat="1">
      <c r="B147" s="2605"/>
      <c r="C147" s="2605"/>
      <c r="D147" s="2605"/>
      <c r="E147" s="2605"/>
      <c r="F147" s="2605"/>
      <c r="G147" s="2605"/>
      <c r="H147" s="2605"/>
      <c r="I147" s="2605"/>
      <c r="J147" s="2605"/>
      <c r="K147" s="2605"/>
      <c r="L147" s="2605"/>
      <c r="M147" s="2605"/>
      <c r="N147" s="2605"/>
      <c r="O147" s="2605"/>
      <c r="P147" s="2605"/>
      <c r="Q147" s="2605"/>
    </row>
    <row r="148" spans="2:17" s="2219" customFormat="1">
      <c r="B148" s="2605"/>
      <c r="C148" s="2605"/>
      <c r="D148" s="2605"/>
      <c r="E148" s="2605"/>
      <c r="F148" s="2605"/>
      <c r="G148" s="2605"/>
      <c r="H148" s="2605"/>
      <c r="I148" s="2605"/>
      <c r="J148" s="2605"/>
      <c r="K148" s="2605"/>
      <c r="L148" s="2605"/>
      <c r="M148" s="2605"/>
      <c r="N148" s="2605"/>
      <c r="O148" s="2605"/>
      <c r="P148" s="2605"/>
      <c r="Q148" s="2605"/>
    </row>
    <row r="149" spans="2:17" s="2219" customFormat="1">
      <c r="B149" s="2605"/>
      <c r="C149" s="2605"/>
      <c r="D149" s="2605"/>
      <c r="E149" s="2605"/>
      <c r="F149" s="2605"/>
      <c r="G149" s="2605"/>
      <c r="H149" s="2605"/>
      <c r="I149" s="2605"/>
      <c r="J149" s="2605"/>
      <c r="K149" s="2605"/>
      <c r="L149" s="2605"/>
      <c r="M149" s="2605"/>
      <c r="N149" s="2605"/>
      <c r="O149" s="2605"/>
      <c r="P149" s="2605"/>
      <c r="Q149" s="2605"/>
    </row>
    <row r="150" spans="2:17" s="2219" customFormat="1">
      <c r="B150" s="2605"/>
      <c r="C150" s="2605"/>
      <c r="D150" s="2605"/>
      <c r="E150" s="2605"/>
      <c r="F150" s="2605"/>
      <c r="G150" s="2605"/>
      <c r="H150" s="2605"/>
      <c r="I150" s="2605"/>
      <c r="J150" s="2605"/>
      <c r="K150" s="2605"/>
      <c r="L150" s="2605"/>
      <c r="M150" s="2605"/>
      <c r="N150" s="2605"/>
      <c r="O150" s="2605"/>
      <c r="P150" s="2605"/>
      <c r="Q150" s="2605"/>
    </row>
    <row r="151" spans="2:17" s="2219" customFormat="1">
      <c r="B151" s="2605"/>
      <c r="C151" s="2605"/>
      <c r="D151" s="2605"/>
      <c r="E151" s="2605"/>
      <c r="F151" s="2605"/>
      <c r="G151" s="2605"/>
      <c r="H151" s="2605"/>
      <c r="I151" s="2605"/>
      <c r="J151" s="2605"/>
      <c r="K151" s="2605"/>
      <c r="L151" s="2605"/>
      <c r="M151" s="2605"/>
      <c r="N151" s="2605"/>
      <c r="O151" s="2605"/>
      <c r="P151" s="2605"/>
      <c r="Q151" s="2605"/>
    </row>
    <row r="152" spans="2:17" s="2219" customFormat="1">
      <c r="B152" s="2605"/>
      <c r="C152" s="2605"/>
      <c r="D152" s="2605"/>
      <c r="E152" s="2605"/>
      <c r="F152" s="2605"/>
      <c r="G152" s="2605"/>
      <c r="H152" s="2605"/>
      <c r="I152" s="2605"/>
      <c r="J152" s="2605"/>
      <c r="K152" s="2605"/>
      <c r="L152" s="2605"/>
      <c r="M152" s="2605"/>
      <c r="N152" s="2605"/>
      <c r="O152" s="2605"/>
      <c r="P152" s="2605"/>
      <c r="Q152" s="2605"/>
    </row>
    <row r="153" spans="2:17" s="2219" customFormat="1">
      <c r="B153" s="2605"/>
      <c r="C153" s="2605"/>
      <c r="D153" s="2605"/>
      <c r="E153" s="2605"/>
      <c r="F153" s="2605"/>
      <c r="G153" s="2605"/>
      <c r="H153" s="2605"/>
      <c r="I153" s="2605"/>
      <c r="J153" s="2605"/>
      <c r="K153" s="2605"/>
      <c r="L153" s="2605"/>
      <c r="M153" s="2605"/>
      <c r="N153" s="2605"/>
      <c r="O153" s="2605"/>
      <c r="P153" s="2605"/>
      <c r="Q153" s="2605"/>
    </row>
    <row r="154" spans="2:17" s="2219" customFormat="1">
      <c r="B154" s="2605"/>
      <c r="C154" s="2605"/>
      <c r="D154" s="2605"/>
      <c r="E154" s="2605"/>
      <c r="F154" s="2605"/>
      <c r="G154" s="2605"/>
      <c r="H154" s="2605"/>
      <c r="I154" s="2605"/>
      <c r="J154" s="2605"/>
      <c r="K154" s="2605"/>
      <c r="L154" s="2605"/>
      <c r="M154" s="2605"/>
      <c r="N154" s="2605"/>
      <c r="O154" s="2605"/>
      <c r="P154" s="2605"/>
      <c r="Q154" s="2605"/>
    </row>
    <row r="155" spans="2:17" s="2219" customFormat="1">
      <c r="B155" s="2605"/>
      <c r="C155" s="2605"/>
      <c r="D155" s="2605"/>
      <c r="E155" s="2605"/>
      <c r="F155" s="2605"/>
      <c r="G155" s="2605"/>
      <c r="H155" s="2605"/>
      <c r="I155" s="2605"/>
      <c r="J155" s="2605"/>
      <c r="K155" s="2605"/>
      <c r="L155" s="2605"/>
      <c r="M155" s="2605"/>
      <c r="N155" s="2605"/>
      <c r="O155" s="2605"/>
      <c r="P155" s="2605"/>
      <c r="Q155" s="2605"/>
    </row>
    <row r="156" spans="2:17" s="2219" customFormat="1">
      <c r="B156" s="2605"/>
      <c r="C156" s="2605"/>
      <c r="D156" s="2605"/>
      <c r="E156" s="2605"/>
      <c r="F156" s="2605"/>
      <c r="G156" s="2605"/>
      <c r="H156" s="2605"/>
      <c r="I156" s="2605"/>
      <c r="J156" s="2605"/>
      <c r="K156" s="2605"/>
      <c r="L156" s="2605"/>
      <c r="M156" s="2605"/>
      <c r="N156" s="2605"/>
      <c r="O156" s="2605"/>
      <c r="P156" s="2605"/>
      <c r="Q156" s="2605"/>
    </row>
    <row r="157" spans="2:17" s="2219" customFormat="1">
      <c r="B157" s="2605"/>
      <c r="C157" s="2605"/>
      <c r="D157" s="2605"/>
      <c r="E157" s="2605"/>
      <c r="F157" s="2605"/>
      <c r="G157" s="2605"/>
      <c r="H157" s="2605"/>
      <c r="I157" s="2605"/>
      <c r="J157" s="2605"/>
      <c r="K157" s="2605"/>
      <c r="L157" s="2605"/>
      <c r="M157" s="2605"/>
      <c r="N157" s="2605"/>
      <c r="O157" s="2605"/>
      <c r="P157" s="2605"/>
      <c r="Q157" s="2605"/>
    </row>
    <row r="158" spans="2:17" s="2219" customFormat="1">
      <c r="B158" s="2605"/>
      <c r="C158" s="2605"/>
      <c r="D158" s="2605"/>
      <c r="E158" s="2605"/>
      <c r="F158" s="2605"/>
      <c r="G158" s="2605"/>
      <c r="H158" s="2605"/>
      <c r="I158" s="2605"/>
      <c r="J158" s="2605"/>
      <c r="K158" s="2605"/>
      <c r="L158" s="2605"/>
      <c r="M158" s="2605"/>
      <c r="N158" s="2605"/>
      <c r="O158" s="2605"/>
      <c r="P158" s="2605"/>
      <c r="Q158" s="2605"/>
    </row>
    <row r="159" spans="2:17" s="2219" customFormat="1">
      <c r="B159" s="2605"/>
      <c r="C159" s="2605"/>
      <c r="D159" s="2605"/>
      <c r="E159" s="2605"/>
      <c r="F159" s="2605"/>
      <c r="G159" s="2605"/>
      <c r="H159" s="2605"/>
      <c r="I159" s="2605"/>
      <c r="J159" s="2605"/>
      <c r="K159" s="2605"/>
      <c r="L159" s="2605"/>
      <c r="M159" s="2605"/>
      <c r="N159" s="2605"/>
      <c r="O159" s="2605"/>
      <c r="P159" s="2605"/>
      <c r="Q159" s="2605"/>
    </row>
    <row r="160" spans="2:17" s="2219" customFormat="1">
      <c r="B160" s="2605"/>
      <c r="C160" s="2605"/>
      <c r="D160" s="2605"/>
      <c r="E160" s="2605"/>
      <c r="F160" s="2605"/>
      <c r="G160" s="2605"/>
      <c r="H160" s="2605"/>
      <c r="I160" s="2605"/>
      <c r="J160" s="2605"/>
      <c r="K160" s="2605"/>
      <c r="L160" s="2605"/>
      <c r="M160" s="2605"/>
      <c r="N160" s="2605"/>
      <c r="O160" s="2605"/>
      <c r="P160" s="2605"/>
      <c r="Q160" s="2605"/>
    </row>
    <row r="161" spans="2:17" s="2219" customFormat="1">
      <c r="B161" s="2605"/>
      <c r="C161" s="2605"/>
      <c r="D161" s="2605"/>
      <c r="E161" s="2605"/>
      <c r="F161" s="2605"/>
      <c r="G161" s="2605"/>
      <c r="H161" s="2605"/>
      <c r="I161" s="2605"/>
      <c r="J161" s="2605"/>
      <c r="K161" s="2605"/>
      <c r="L161" s="2605"/>
      <c r="M161" s="2605"/>
      <c r="N161" s="2605"/>
      <c r="O161" s="2605"/>
      <c r="P161" s="2605"/>
      <c r="Q161" s="2605"/>
    </row>
    <row r="162" spans="2:17" s="2219" customFormat="1">
      <c r="B162" s="2605"/>
      <c r="C162" s="2605"/>
      <c r="D162" s="2605"/>
      <c r="E162" s="2605"/>
      <c r="F162" s="2605"/>
      <c r="G162" s="2605"/>
      <c r="H162" s="2605"/>
      <c r="I162" s="2605"/>
      <c r="J162" s="2605"/>
      <c r="K162" s="2605"/>
      <c r="L162" s="2605"/>
      <c r="M162" s="2605"/>
      <c r="N162" s="2605"/>
      <c r="O162" s="2605"/>
      <c r="P162" s="2605"/>
      <c r="Q162" s="2605"/>
    </row>
    <row r="163" spans="2:17" s="2219" customFormat="1">
      <c r="B163" s="2605"/>
      <c r="C163" s="2605"/>
      <c r="D163" s="2605"/>
      <c r="E163" s="2605"/>
      <c r="F163" s="2605"/>
      <c r="G163" s="2605"/>
      <c r="H163" s="2605"/>
      <c r="I163" s="2605"/>
      <c r="J163" s="2605"/>
      <c r="K163" s="2605"/>
      <c r="L163" s="2605"/>
      <c r="M163" s="2605"/>
      <c r="N163" s="2605"/>
      <c r="O163" s="2605"/>
      <c r="P163" s="2605"/>
      <c r="Q163" s="2605"/>
    </row>
    <row r="164" spans="2:17" s="2219" customFormat="1">
      <c r="B164" s="2605"/>
      <c r="C164" s="2605"/>
      <c r="D164" s="2605"/>
      <c r="E164" s="2605"/>
      <c r="F164" s="2605"/>
      <c r="G164" s="2605"/>
      <c r="H164" s="2605"/>
      <c r="I164" s="2605"/>
      <c r="J164" s="2605"/>
      <c r="K164" s="2605"/>
      <c r="L164" s="2605"/>
      <c r="M164" s="2605"/>
      <c r="N164" s="2605"/>
      <c r="O164" s="2605"/>
      <c r="P164" s="2605"/>
      <c r="Q164" s="2605"/>
    </row>
    <row r="165" spans="2:17" s="2219" customFormat="1">
      <c r="B165" s="2605"/>
      <c r="C165" s="2605"/>
      <c r="D165" s="2605"/>
      <c r="E165" s="2605"/>
      <c r="F165" s="2605"/>
      <c r="G165" s="2605"/>
      <c r="H165" s="2605"/>
      <c r="I165" s="2605"/>
      <c r="J165" s="2605"/>
      <c r="K165" s="2605"/>
      <c r="L165" s="2605"/>
      <c r="M165" s="2605"/>
      <c r="N165" s="2605"/>
      <c r="O165" s="2605"/>
      <c r="P165" s="2605"/>
      <c r="Q165" s="2605"/>
    </row>
    <row r="166" spans="2:17" s="2219" customFormat="1">
      <c r="B166" s="2605"/>
      <c r="C166" s="2605"/>
      <c r="D166" s="2605"/>
      <c r="E166" s="2605"/>
      <c r="F166" s="2605"/>
      <c r="G166" s="2605"/>
      <c r="H166" s="2605"/>
      <c r="I166" s="2605"/>
      <c r="J166" s="2605"/>
      <c r="K166" s="2605"/>
      <c r="L166" s="2605"/>
      <c r="M166" s="2605"/>
      <c r="N166" s="2605"/>
      <c r="O166" s="2605"/>
      <c r="P166" s="2605"/>
      <c r="Q166" s="2605"/>
    </row>
    <row r="167" spans="2:17" s="2219" customFormat="1">
      <c r="B167" s="2605"/>
      <c r="C167" s="2605"/>
      <c r="D167" s="2605"/>
      <c r="E167" s="2605"/>
      <c r="F167" s="2605"/>
      <c r="G167" s="2605"/>
      <c r="H167" s="2605"/>
      <c r="I167" s="2605"/>
      <c r="J167" s="2605"/>
      <c r="K167" s="2605"/>
      <c r="L167" s="2605"/>
      <c r="M167" s="2605"/>
      <c r="N167" s="2605"/>
      <c r="O167" s="2605"/>
      <c r="P167" s="2605"/>
      <c r="Q167" s="2605"/>
    </row>
    <row r="168" spans="2:17" s="2219" customFormat="1">
      <c r="B168" s="2605"/>
      <c r="C168" s="2605"/>
      <c r="D168" s="2605"/>
      <c r="E168" s="2605"/>
      <c r="F168" s="2605"/>
      <c r="G168" s="2605"/>
      <c r="H168" s="2605"/>
      <c r="I168" s="2605"/>
      <c r="J168" s="2605"/>
      <c r="K168" s="2605"/>
      <c r="L168" s="2605"/>
      <c r="M168" s="2605"/>
      <c r="N168" s="2605"/>
      <c r="O168" s="2605"/>
      <c r="P168" s="2605"/>
      <c r="Q168" s="2605"/>
    </row>
    <row r="169" spans="2:17" s="2219" customFormat="1">
      <c r="B169" s="2605"/>
      <c r="C169" s="2605"/>
      <c r="D169" s="2605"/>
      <c r="E169" s="2605"/>
      <c r="F169" s="2605"/>
      <c r="G169" s="2605"/>
      <c r="H169" s="2605"/>
      <c r="I169" s="2605"/>
      <c r="J169" s="2605"/>
      <c r="K169" s="2605"/>
      <c r="L169" s="2605"/>
      <c r="M169" s="2605"/>
      <c r="N169" s="2605"/>
      <c r="O169" s="2605"/>
      <c r="P169" s="2605"/>
      <c r="Q169" s="2605"/>
    </row>
    <row r="170" spans="2:17" s="2219" customFormat="1">
      <c r="B170" s="2605"/>
      <c r="C170" s="2605"/>
      <c r="D170" s="2605"/>
      <c r="E170" s="2605"/>
      <c r="F170" s="2605"/>
      <c r="G170" s="2605"/>
      <c r="H170" s="2605"/>
      <c r="I170" s="2605"/>
      <c r="J170" s="2605"/>
      <c r="K170" s="2605"/>
      <c r="L170" s="2605"/>
      <c r="M170" s="2605"/>
      <c r="N170" s="2605"/>
      <c r="O170" s="2605"/>
      <c r="P170" s="2605"/>
      <c r="Q170" s="2605"/>
    </row>
    <row r="171" spans="2:17" s="2219" customFormat="1">
      <c r="B171" s="2605"/>
      <c r="C171" s="2605"/>
      <c r="D171" s="2605"/>
      <c r="E171" s="2605"/>
      <c r="F171" s="2605"/>
      <c r="G171" s="2605"/>
      <c r="H171" s="2605"/>
      <c r="I171" s="2605"/>
      <c r="J171" s="2605"/>
      <c r="K171" s="2605"/>
      <c r="L171" s="2605"/>
      <c r="M171" s="2605"/>
      <c r="N171" s="2605"/>
      <c r="O171" s="2605"/>
      <c r="P171" s="2605"/>
      <c r="Q171" s="2605"/>
    </row>
    <row r="172" spans="2:17" s="2219" customFormat="1">
      <c r="B172" s="2605"/>
      <c r="C172" s="2605"/>
      <c r="D172" s="2605"/>
      <c r="E172" s="2605"/>
      <c r="F172" s="2605"/>
      <c r="G172" s="2605"/>
      <c r="H172" s="2605"/>
      <c r="I172" s="2605"/>
      <c r="J172" s="2605"/>
      <c r="K172" s="2605"/>
      <c r="L172" s="2605"/>
      <c r="M172" s="2605"/>
      <c r="N172" s="2605"/>
      <c r="O172" s="2605"/>
      <c r="P172" s="2605"/>
      <c r="Q172" s="2605"/>
    </row>
    <row r="173" spans="2:17" s="2219" customFormat="1">
      <c r="B173" s="2605"/>
      <c r="C173" s="2605"/>
      <c r="D173" s="2605"/>
      <c r="E173" s="2605"/>
      <c r="F173" s="2605"/>
      <c r="G173" s="2605"/>
      <c r="H173" s="2605"/>
      <c r="I173" s="2605"/>
      <c r="J173" s="2605"/>
      <c r="K173" s="2605"/>
      <c r="L173" s="2605"/>
      <c r="M173" s="2605"/>
      <c r="N173" s="2605"/>
      <c r="O173" s="2605"/>
      <c r="P173" s="2605"/>
      <c r="Q173" s="2605"/>
    </row>
    <row r="174" spans="2:17" s="2219" customFormat="1">
      <c r="B174" s="2605"/>
      <c r="C174" s="2605"/>
      <c r="D174" s="2605"/>
      <c r="E174" s="2605"/>
      <c r="F174" s="2605"/>
      <c r="G174" s="2605"/>
      <c r="H174" s="2605"/>
      <c r="I174" s="2605"/>
      <c r="J174" s="2605"/>
      <c r="K174" s="2605"/>
      <c r="L174" s="2605"/>
      <c r="M174" s="2605"/>
      <c r="N174" s="2605"/>
      <c r="O174" s="2605"/>
      <c r="P174" s="2605"/>
      <c r="Q174" s="2605"/>
    </row>
    <row r="175" spans="2:17" s="2219" customFormat="1">
      <c r="B175" s="2605"/>
      <c r="C175" s="2605"/>
      <c r="D175" s="2605"/>
      <c r="E175" s="2605"/>
      <c r="F175" s="2605"/>
      <c r="G175" s="2605"/>
      <c r="H175" s="2605"/>
      <c r="I175" s="2605"/>
      <c r="J175" s="2605"/>
      <c r="K175" s="2605"/>
      <c r="L175" s="2605"/>
      <c r="M175" s="2605"/>
      <c r="N175" s="2605"/>
      <c r="O175" s="2605"/>
      <c r="P175" s="2605"/>
      <c r="Q175" s="2605"/>
    </row>
    <row r="176" spans="2:17" s="2219" customFormat="1">
      <c r="B176" s="2605"/>
      <c r="C176" s="2605"/>
      <c r="D176" s="2605"/>
      <c r="E176" s="2605"/>
      <c r="F176" s="2605"/>
      <c r="G176" s="2605"/>
      <c r="H176" s="2605"/>
      <c r="I176" s="2605"/>
      <c r="J176" s="2605"/>
      <c r="K176" s="2605"/>
      <c r="L176" s="2605"/>
      <c r="M176" s="2605"/>
      <c r="N176" s="2605"/>
      <c r="O176" s="2605"/>
      <c r="P176" s="2605"/>
      <c r="Q176" s="2605"/>
    </row>
    <row r="177" spans="1:17" s="2219" customFormat="1">
      <c r="B177" s="2605"/>
      <c r="C177" s="2605"/>
      <c r="D177" s="2605"/>
      <c r="E177" s="2605"/>
      <c r="F177" s="2605"/>
      <c r="G177" s="2605"/>
      <c r="H177" s="2605"/>
      <c r="I177" s="2605"/>
      <c r="J177" s="2605"/>
      <c r="K177" s="2605"/>
      <c r="L177" s="2605"/>
      <c r="M177" s="2605"/>
      <c r="N177" s="2605"/>
      <c r="O177" s="2605"/>
      <c r="P177" s="2605"/>
      <c r="Q177" s="2605"/>
    </row>
    <row r="178" spans="1:17" s="2219" customFormat="1">
      <c r="B178" s="2605"/>
      <c r="C178" s="2605"/>
      <c r="D178" s="2605"/>
      <c r="E178" s="2605"/>
      <c r="F178" s="2605"/>
      <c r="G178" s="2605"/>
      <c r="H178" s="2605"/>
      <c r="I178" s="2605"/>
      <c r="J178" s="2605"/>
      <c r="K178" s="2605"/>
      <c r="L178" s="2605"/>
      <c r="M178" s="2605"/>
      <c r="N178" s="2605"/>
      <c r="O178" s="2605"/>
      <c r="P178" s="2605"/>
      <c r="Q178" s="2605"/>
    </row>
    <row r="179" spans="1:17" s="2219" customFormat="1">
      <c r="B179" s="2605"/>
      <c r="C179" s="2605"/>
      <c r="D179" s="2605"/>
      <c r="E179" s="2605"/>
      <c r="F179" s="2605"/>
      <c r="G179" s="2605"/>
      <c r="H179" s="2605"/>
      <c r="I179" s="2605"/>
      <c r="J179" s="2605"/>
      <c r="K179" s="2605"/>
      <c r="L179" s="2605"/>
      <c r="M179" s="2605"/>
      <c r="N179" s="2605"/>
      <c r="O179" s="2605"/>
      <c r="P179" s="2605"/>
      <c r="Q179" s="2605"/>
    </row>
    <row r="180" spans="1:17" s="2219" customFormat="1">
      <c r="B180" s="2605"/>
      <c r="C180" s="2605"/>
      <c r="D180" s="2605"/>
      <c r="E180" s="2605"/>
      <c r="F180" s="2605"/>
      <c r="G180" s="2605"/>
      <c r="H180" s="2605"/>
      <c r="I180" s="2605"/>
      <c r="J180" s="2605"/>
      <c r="K180" s="2605"/>
      <c r="L180" s="2605"/>
      <c r="M180" s="2605"/>
      <c r="N180" s="2605"/>
      <c r="O180" s="2605"/>
      <c r="P180" s="2605"/>
      <c r="Q180" s="2605"/>
    </row>
    <row r="181" spans="1:17" s="2219" customFormat="1">
      <c r="B181" s="2605"/>
      <c r="C181" s="2605"/>
      <c r="D181" s="2605"/>
      <c r="E181" s="2605"/>
      <c r="F181" s="2605"/>
      <c r="G181" s="2605"/>
      <c r="H181" s="2605"/>
      <c r="I181" s="2605"/>
      <c r="J181" s="2605"/>
      <c r="K181" s="2605"/>
      <c r="L181" s="2605"/>
      <c r="M181" s="2605"/>
      <c r="N181" s="2605"/>
      <c r="O181" s="2605"/>
      <c r="P181" s="2605"/>
      <c r="Q181" s="2605"/>
    </row>
    <row r="182" spans="1:17" s="2219" customFormat="1">
      <c r="B182" s="2605"/>
      <c r="C182" s="2605"/>
      <c r="D182" s="2605"/>
      <c r="E182" s="2605"/>
      <c r="F182" s="2605"/>
      <c r="G182" s="2605"/>
      <c r="H182" s="2605"/>
      <c r="I182" s="2605"/>
      <c r="J182" s="2605"/>
      <c r="K182" s="2605"/>
      <c r="L182" s="2605"/>
      <c r="M182" s="2605"/>
      <c r="N182" s="2605"/>
      <c r="O182" s="2605"/>
      <c r="P182" s="2605"/>
      <c r="Q182" s="2605"/>
    </row>
    <row r="183" spans="1:17" s="2219" customFormat="1">
      <c r="B183" s="2605"/>
      <c r="C183" s="2605"/>
      <c r="D183" s="2605"/>
      <c r="E183" s="2605"/>
      <c r="F183" s="2605"/>
      <c r="G183" s="2605"/>
      <c r="H183" s="2605"/>
      <c r="I183" s="2605"/>
      <c r="J183" s="2605"/>
      <c r="K183" s="2605"/>
      <c r="L183" s="2605"/>
      <c r="M183" s="2605"/>
      <c r="N183" s="2605"/>
      <c r="O183" s="2605"/>
      <c r="P183" s="2605"/>
      <c r="Q183" s="2605"/>
    </row>
    <row r="184" spans="1:17" s="2219" customFormat="1">
      <c r="B184" s="2605"/>
      <c r="C184" s="2605"/>
      <c r="D184" s="2605"/>
      <c r="E184" s="2605"/>
      <c r="F184" s="2605"/>
      <c r="G184" s="2605"/>
      <c r="H184" s="2605"/>
      <c r="I184" s="2605"/>
      <c r="J184" s="2605"/>
      <c r="K184" s="2605"/>
      <c r="L184" s="2605"/>
      <c r="M184" s="2605"/>
      <c r="N184" s="2605"/>
      <c r="O184" s="2605"/>
      <c r="P184" s="2605"/>
      <c r="Q184" s="2605"/>
    </row>
    <row r="185" spans="1:17" s="2219" customFormat="1">
      <c r="B185" s="2605"/>
      <c r="C185" s="2605"/>
      <c r="D185" s="2605"/>
      <c r="E185" s="2605"/>
      <c r="F185" s="2605"/>
      <c r="G185" s="2605"/>
      <c r="H185" s="2605"/>
      <c r="I185" s="2605"/>
      <c r="J185" s="2605"/>
      <c r="K185" s="2605"/>
      <c r="L185" s="2605"/>
      <c r="M185" s="2605"/>
      <c r="N185" s="2605"/>
      <c r="O185" s="2605"/>
      <c r="P185" s="2605"/>
      <c r="Q185" s="2605"/>
    </row>
    <row r="186" spans="1:17">
      <c r="A186" s="2219"/>
      <c r="B186" s="2605"/>
      <c r="C186" s="2605"/>
      <c r="E186" s="2605"/>
      <c r="F186" s="2605"/>
      <c r="G186" s="2605"/>
    </row>
    <row r="187" spans="1:17">
      <c r="A187" s="2219"/>
      <c r="B187" s="2605"/>
      <c r="C187" s="2605"/>
      <c r="E187" s="2605"/>
      <c r="F187" s="2605"/>
      <c r="G187" s="2605"/>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589" customWidth="1"/>
    <col min="2" max="9" width="15.75" style="2589" customWidth="1"/>
    <col min="10" max="16384" width="9" style="2589"/>
  </cols>
  <sheetData>
    <row r="1" spans="1:11" ht="16.5">
      <c r="A1" s="2590" t="s">
        <v>783</v>
      </c>
      <c r="B1" s="2590">
        <f>SUM(B14:B23)</f>
        <v>596993.59</v>
      </c>
      <c r="C1" s="2591"/>
      <c r="D1" s="2591"/>
      <c r="E1" s="2591"/>
      <c r="F1" s="2591"/>
      <c r="G1" s="2592"/>
      <c r="H1" s="2592"/>
      <c r="I1" s="2592"/>
      <c r="J1" s="2592"/>
      <c r="K1" s="2592"/>
    </row>
    <row r="2" spans="1:11" ht="16.5">
      <c r="A2" s="2590" t="s">
        <v>784</v>
      </c>
      <c r="B2" s="2590">
        <f>SUM(C14:C23)</f>
        <v>175003.3</v>
      </c>
      <c r="C2" s="2591"/>
      <c r="D2" s="2591"/>
      <c r="E2" s="2591"/>
      <c r="F2" s="2591"/>
      <c r="G2" s="2592"/>
      <c r="H2" s="2592"/>
      <c r="I2" s="2592"/>
      <c r="J2" s="2592"/>
      <c r="K2" s="2592"/>
    </row>
    <row r="3" spans="1:11" ht="16.5">
      <c r="A3" s="2590" t="s">
        <v>785</v>
      </c>
      <c r="B3" s="2593">
        <f>项目基本情况!D3</f>
        <v>45798</v>
      </c>
      <c r="C3" s="2591"/>
      <c r="D3" s="2591"/>
      <c r="E3" s="2591"/>
      <c r="F3" s="2591"/>
      <c r="G3" s="2592"/>
      <c r="H3" s="2592"/>
      <c r="I3" s="2592"/>
      <c r="J3" s="2592"/>
      <c r="K3" s="2592"/>
    </row>
    <row r="4" spans="1:11" ht="33">
      <c r="A4" s="2590" t="s">
        <v>786</v>
      </c>
      <c r="B4" s="2590" t="s">
        <v>787</v>
      </c>
      <c r="C4" s="2590" t="s">
        <v>788</v>
      </c>
      <c r="D4" s="2590" t="s">
        <v>789</v>
      </c>
      <c r="E4" s="2591"/>
      <c r="F4" s="2592"/>
      <c r="G4" s="2592"/>
      <c r="H4" s="2592"/>
      <c r="I4" s="2592"/>
      <c r="J4" s="2592"/>
      <c r="K4" s="2592"/>
    </row>
    <row r="5" spans="1:11" ht="16.5">
      <c r="A5" s="2590" t="s">
        <v>790</v>
      </c>
      <c r="B5" s="2590">
        <f ca="1">SUM(D14:D23)</f>
        <v>1111879</v>
      </c>
      <c r="C5" s="2590">
        <f ca="1">IF(B5=D14,结果表!H102,ROUND(B5*10000/$B$1,0))</f>
        <v>18625</v>
      </c>
      <c r="D5" s="2590">
        <f ca="1">ROUND(B5*10000/$B$2,0)</f>
        <v>63535</v>
      </c>
      <c r="E5" s="2591"/>
      <c r="F5" s="2592"/>
      <c r="G5" s="2592"/>
      <c r="H5" s="2592"/>
      <c r="I5" s="2592"/>
      <c r="J5" s="2592"/>
      <c r="K5" s="2592"/>
    </row>
    <row r="6" spans="1:11" ht="16.5">
      <c r="A6" s="2590" t="s">
        <v>791</v>
      </c>
      <c r="B6" s="2590">
        <f ca="1">SUM(G14:G23)</f>
        <v>1111879</v>
      </c>
      <c r="C6" s="2590">
        <f ca="1">IF(B6=G14,结果表!H108,ROUND(B6*10000/$B$1,0))</f>
        <v>18625</v>
      </c>
      <c r="D6" s="2590">
        <f ca="1">ROUND(B6*10000/$B$2,0)</f>
        <v>63535</v>
      </c>
      <c r="E6" s="2591"/>
      <c r="F6" s="2592"/>
      <c r="G6" s="2592"/>
      <c r="H6" s="2592"/>
      <c r="I6" s="2592"/>
      <c r="J6" s="2592"/>
      <c r="K6" s="2592"/>
    </row>
    <row r="7" spans="1:11" ht="16.5">
      <c r="A7" s="2590" t="s">
        <v>792</v>
      </c>
      <c r="B7" s="2590">
        <f>SUM(H14:H23)</f>
        <v>0</v>
      </c>
      <c r="C7" s="2590" t="str">
        <f>IF(B7=H14,结果表!H110,ROUND(B7*10000/$B$1,0))</f>
        <v>——</v>
      </c>
      <c r="D7" s="2590">
        <f>ROUND(B7*10000/$B$2,0)</f>
        <v>0</v>
      </c>
      <c r="E7" s="2591"/>
      <c r="F7" s="2592"/>
      <c r="G7" s="2592"/>
      <c r="H7" s="2592"/>
      <c r="I7" s="2592"/>
      <c r="J7" s="2592"/>
      <c r="K7" s="2592"/>
    </row>
    <row r="8" spans="1:11" ht="16.5">
      <c r="A8" s="2590" t="s">
        <v>336</v>
      </c>
      <c r="B8" s="2590">
        <f>SUM(I14:I23)</f>
        <v>0</v>
      </c>
      <c r="C8" s="2590" t="str">
        <f>IF(B8=I14,结果表!H112,ROUND(B8*10000/$B$1,0))</f>
        <v>——</v>
      </c>
      <c r="D8" s="2590">
        <f>ROUND(B8*10000/$B$2,0)</f>
        <v>0</v>
      </c>
      <c r="E8" s="2591"/>
      <c r="F8" s="2592"/>
      <c r="G8" s="2592"/>
      <c r="H8" s="2592"/>
      <c r="I8" s="2592"/>
      <c r="J8" s="2592"/>
      <c r="K8" s="2592"/>
    </row>
    <row r="9" spans="1:11" ht="16.5">
      <c r="A9" s="2590" t="s">
        <v>793</v>
      </c>
      <c r="B9" s="2594"/>
      <c r="C9" s="2591"/>
      <c r="D9" s="2591"/>
      <c r="E9" s="2591"/>
      <c r="F9" s="2592"/>
      <c r="G9" s="2592"/>
      <c r="H9" s="2592"/>
      <c r="I9" s="2592"/>
      <c r="J9" s="2592"/>
      <c r="K9" s="2592"/>
    </row>
    <row r="10" spans="1:11" ht="16.5">
      <c r="A10" s="2590" t="s">
        <v>794</v>
      </c>
      <c r="B10" s="2590">
        <f>IF(E10="",0,ROUND(B1*(E10*365/G10)/10000,0))</f>
        <v>0</v>
      </c>
      <c r="C10" s="2590" t="s">
        <v>795</v>
      </c>
      <c r="D10" s="2590" t="s">
        <v>794</v>
      </c>
      <c r="E10" s="2595"/>
      <c r="F10" s="2596" t="s">
        <v>796</v>
      </c>
      <c r="G10" s="2597"/>
      <c r="H10" s="2592"/>
      <c r="I10" s="2592"/>
      <c r="J10" s="2592"/>
      <c r="K10" s="2592"/>
    </row>
    <row r="11" spans="1:11" ht="16.5">
      <c r="A11" s="2590" t="s">
        <v>797</v>
      </c>
      <c r="B11" s="2594"/>
      <c r="C11" s="2591"/>
      <c r="D11" s="2591"/>
      <c r="E11" s="2591"/>
      <c r="F11" s="2592"/>
      <c r="G11" s="2592"/>
      <c r="H11" s="2592"/>
      <c r="I11" s="2592"/>
      <c r="J11" s="2592"/>
      <c r="K11" s="2592"/>
    </row>
    <row r="12" spans="1:11" ht="16.5">
      <c r="A12" s="2591"/>
      <c r="B12" s="2591"/>
      <c r="C12" s="2591"/>
      <c r="D12" s="2591"/>
      <c r="E12" s="2591"/>
      <c r="F12" s="2592"/>
      <c r="G12" s="2592"/>
      <c r="H12" s="2592"/>
      <c r="I12" s="2592"/>
      <c r="J12" s="2592"/>
      <c r="K12" s="2592"/>
    </row>
    <row r="13" spans="1:11" ht="33">
      <c r="A13" s="2598" t="s">
        <v>798</v>
      </c>
      <c r="B13" s="2599" t="s">
        <v>783</v>
      </c>
      <c r="C13" s="2599" t="s">
        <v>784</v>
      </c>
      <c r="D13" s="2599" t="s">
        <v>799</v>
      </c>
      <c r="E13" s="2590" t="s">
        <v>788</v>
      </c>
      <c r="F13" s="2590" t="s">
        <v>789</v>
      </c>
      <c r="G13" s="2599" t="s">
        <v>800</v>
      </c>
      <c r="H13" s="2599" t="s">
        <v>801</v>
      </c>
      <c r="I13" s="2599" t="s">
        <v>802</v>
      </c>
      <c r="J13" s="2592"/>
      <c r="K13" s="2592"/>
    </row>
    <row r="14" spans="1:11" ht="16.5">
      <c r="A14" s="2600" t="s">
        <v>803</v>
      </c>
      <c r="B14" s="2601">
        <f>'数据-汇总表'!E31</f>
        <v>596993.59</v>
      </c>
      <c r="C14" s="2601">
        <f>'数据-汇总表'!D31</f>
        <v>175003.3</v>
      </c>
      <c r="D14" s="2601">
        <f ca="1">结果表!G19</f>
        <v>1111879</v>
      </c>
      <c r="E14" s="2601">
        <f ca="1">ROUND(D14*10000/B14,0)</f>
        <v>18625</v>
      </c>
      <c r="F14" s="2601">
        <f ca="1">ROUND(D14*10000/C14,0)</f>
        <v>63535</v>
      </c>
      <c r="G14" s="2601">
        <f ca="1">D14</f>
        <v>1111879</v>
      </c>
      <c r="H14" s="2601"/>
      <c r="I14" s="2601"/>
      <c r="J14" s="2592"/>
      <c r="K14" s="2592"/>
    </row>
    <row r="15" spans="1:11" ht="16.5">
      <c r="A15" s="2600" t="s">
        <v>804</v>
      </c>
      <c r="B15" s="2602"/>
      <c r="C15" s="2602"/>
      <c r="D15" s="2602"/>
      <c r="E15" s="2601" t="e">
        <f t="shared" ref="E15:E23" si="0">ROUND(D15*10000/B15,0)</f>
        <v>#DIV/0!</v>
      </c>
      <c r="F15" s="2601" t="e">
        <f t="shared" ref="F15:F23" si="1">ROUND(D15*10000/C15,0)</f>
        <v>#DIV/0!</v>
      </c>
      <c r="G15" s="2594"/>
      <c r="H15" s="2594"/>
      <c r="I15" s="2602"/>
      <c r="J15" s="2592"/>
      <c r="K15" s="2592"/>
    </row>
    <row r="16" spans="1:11" ht="16.5">
      <c r="A16" s="2600" t="s">
        <v>805</v>
      </c>
      <c r="B16" s="2602"/>
      <c r="C16" s="2602"/>
      <c r="D16" s="2602"/>
      <c r="E16" s="2601" t="e">
        <f t="shared" si="0"/>
        <v>#DIV/0!</v>
      </c>
      <c r="F16" s="2601" t="e">
        <f t="shared" si="1"/>
        <v>#DIV/0!</v>
      </c>
      <c r="G16" s="2594"/>
      <c r="H16" s="2594"/>
      <c r="I16" s="2602"/>
      <c r="J16" s="2592"/>
      <c r="K16" s="2592"/>
    </row>
    <row r="17" spans="1:11" ht="16.5">
      <c r="A17" s="2600" t="s">
        <v>806</v>
      </c>
      <c r="B17" s="2602"/>
      <c r="C17" s="2602"/>
      <c r="D17" s="2602"/>
      <c r="E17" s="2601" t="e">
        <f t="shared" si="0"/>
        <v>#DIV/0!</v>
      </c>
      <c r="F17" s="2601" t="e">
        <f t="shared" si="1"/>
        <v>#DIV/0!</v>
      </c>
      <c r="G17" s="2594"/>
      <c r="H17" s="2594"/>
      <c r="I17" s="2602"/>
      <c r="J17" s="2592"/>
      <c r="K17" s="2592"/>
    </row>
    <row r="18" spans="1:11" ht="16.5">
      <c r="A18" s="2600" t="s">
        <v>807</v>
      </c>
      <c r="B18" s="2602"/>
      <c r="C18" s="2602"/>
      <c r="D18" s="2602"/>
      <c r="E18" s="2601" t="e">
        <f t="shared" si="0"/>
        <v>#DIV/0!</v>
      </c>
      <c r="F18" s="2601" t="e">
        <f t="shared" si="1"/>
        <v>#DIV/0!</v>
      </c>
      <c r="G18" s="2602"/>
      <c r="H18" s="2602"/>
      <c r="I18" s="2602"/>
      <c r="J18" s="2592"/>
      <c r="K18" s="2592"/>
    </row>
    <row r="19" spans="1:11" ht="16.5">
      <c r="A19" s="2600" t="s">
        <v>808</v>
      </c>
      <c r="B19" s="2602"/>
      <c r="C19" s="2602"/>
      <c r="D19" s="2602"/>
      <c r="E19" s="2601" t="e">
        <f t="shared" si="0"/>
        <v>#DIV/0!</v>
      </c>
      <c r="F19" s="2601" t="e">
        <f t="shared" si="1"/>
        <v>#DIV/0!</v>
      </c>
      <c r="G19" s="2602"/>
      <c r="H19" s="2602"/>
      <c r="I19" s="2602"/>
      <c r="J19" s="2592"/>
      <c r="K19" s="2592"/>
    </row>
    <row r="20" spans="1:11" ht="16.5">
      <c r="A20" s="2600" t="s">
        <v>809</v>
      </c>
      <c r="B20" s="2602"/>
      <c r="C20" s="2602"/>
      <c r="D20" s="2602"/>
      <c r="E20" s="2601" t="e">
        <f t="shared" si="0"/>
        <v>#DIV/0!</v>
      </c>
      <c r="F20" s="2601" t="e">
        <f t="shared" si="1"/>
        <v>#DIV/0!</v>
      </c>
      <c r="G20" s="2602"/>
      <c r="H20" s="2602"/>
      <c r="I20" s="2602"/>
      <c r="J20" s="2592"/>
      <c r="K20" s="2592"/>
    </row>
    <row r="21" spans="1:11" ht="16.5">
      <c r="A21" s="2600" t="s">
        <v>810</v>
      </c>
      <c r="B21" s="2602"/>
      <c r="C21" s="2602"/>
      <c r="D21" s="2602"/>
      <c r="E21" s="2601" t="e">
        <f t="shared" si="0"/>
        <v>#DIV/0!</v>
      </c>
      <c r="F21" s="2601" t="e">
        <f t="shared" si="1"/>
        <v>#DIV/0!</v>
      </c>
      <c r="G21" s="2602"/>
      <c r="H21" s="2602"/>
      <c r="I21" s="2602"/>
      <c r="J21" s="2592"/>
      <c r="K21" s="2592"/>
    </row>
    <row r="22" spans="1:11" ht="16.5">
      <c r="A22" s="2600" t="s">
        <v>811</v>
      </c>
      <c r="B22" s="2602"/>
      <c r="C22" s="2602"/>
      <c r="D22" s="2602"/>
      <c r="E22" s="2601" t="e">
        <f t="shared" si="0"/>
        <v>#DIV/0!</v>
      </c>
      <c r="F22" s="2601" t="e">
        <f t="shared" si="1"/>
        <v>#DIV/0!</v>
      </c>
      <c r="G22" s="2602"/>
      <c r="H22" s="2602"/>
      <c r="I22" s="2602"/>
      <c r="J22" s="2592"/>
      <c r="K22" s="2592"/>
    </row>
    <row r="23" spans="1:11" ht="16.5">
      <c r="A23" s="2600" t="s">
        <v>812</v>
      </c>
      <c r="B23" s="2602"/>
      <c r="C23" s="2602"/>
      <c r="D23" s="2602"/>
      <c r="E23" s="2594" t="e">
        <f t="shared" si="0"/>
        <v>#DIV/0!</v>
      </c>
      <c r="F23" s="2594" t="e">
        <f t="shared" si="1"/>
        <v>#DIV/0!</v>
      </c>
      <c r="G23" s="2602"/>
      <c r="H23" s="2602"/>
      <c r="I23" s="2602"/>
      <c r="J23" s="2592"/>
      <c r="K23" s="2592"/>
    </row>
    <row r="24" spans="1:11">
      <c r="A24" s="2592"/>
      <c r="B24" s="2592"/>
      <c r="C24" s="2592"/>
      <c r="D24" s="2592"/>
      <c r="E24" s="2592"/>
      <c r="F24" s="2592"/>
      <c r="G24" s="2592"/>
      <c r="H24" s="2592"/>
      <c r="I24" s="2592"/>
      <c r="J24" s="2592"/>
      <c r="K24" s="2592"/>
    </row>
    <row r="25" spans="1:11">
      <c r="A25" s="2592"/>
      <c r="B25" s="2592"/>
      <c r="C25" s="2592"/>
      <c r="D25" s="2592"/>
      <c r="E25" s="2592"/>
      <c r="F25" s="2592"/>
      <c r="G25" s="2592"/>
      <c r="H25" s="2592"/>
      <c r="I25" s="2592"/>
      <c r="J25" s="2592"/>
      <c r="K25" s="2592"/>
    </row>
    <row r="26" spans="1:11">
      <c r="A26" s="2592"/>
      <c r="B26" s="2592"/>
      <c r="C26" s="2592"/>
      <c r="D26" s="2592"/>
      <c r="E26" s="2592"/>
      <c r="F26" s="2592"/>
      <c r="G26" s="2592"/>
      <c r="H26" s="2592"/>
      <c r="I26" s="2592"/>
      <c r="J26" s="2592"/>
      <c r="K26" s="2592"/>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D33" sqref="D33"/>
    </sheetView>
  </sheetViews>
  <sheetFormatPr defaultColWidth="12.625" defaultRowHeight="21.75" customHeight="1"/>
  <cols>
    <col min="1" max="2" width="12.625" style="2323"/>
    <col min="3" max="4" width="12.625" style="2323" customWidth="1"/>
    <col min="5" max="9" width="12.625" style="2323"/>
    <col min="10" max="11" width="12.625" style="517" customWidth="1"/>
    <col min="12" max="12" width="12.625" style="517"/>
    <col min="13" max="13" width="14.125" style="517" customWidth="1"/>
    <col min="14" max="26" width="12.625" style="517"/>
    <col min="27" max="35" width="12.625" style="2322"/>
    <col min="36" max="16384" width="12.625" style="2323"/>
  </cols>
  <sheetData>
    <row r="1" spans="1:12" ht="21.75" customHeight="1">
      <c r="A1" s="2324" t="s">
        <v>813</v>
      </c>
      <c r="B1" s="1640"/>
      <c r="C1" s="2325"/>
      <c r="D1" s="1640"/>
      <c r="E1" s="1640"/>
      <c r="F1" s="2326" t="s">
        <v>814</v>
      </c>
      <c r="G1" s="2327"/>
      <c r="H1" s="2326" t="str">
        <f>IF(G1="现房","——","估价对象范围")</f>
        <v>估价对象范围</v>
      </c>
      <c r="I1" s="2454"/>
    </row>
    <row r="2" spans="1:12" ht="21.75" customHeight="1">
      <c r="A2" s="3377" t="str">
        <f>项目基本情况!S2</f>
        <v>北京市房地产</v>
      </c>
      <c r="B2" s="3378"/>
      <c r="C2" s="3378"/>
      <c r="D2" s="3378"/>
      <c r="E2" s="3378"/>
      <c r="F2" s="3378"/>
      <c r="G2" s="3378"/>
      <c r="H2" s="3378"/>
      <c r="I2" s="3379"/>
    </row>
    <row r="3" spans="1:12" ht="12.75">
      <c r="A3" s="3380" t="s">
        <v>815</v>
      </c>
      <c r="B3" s="3381"/>
      <c r="C3" s="3381"/>
      <c r="D3" s="3381"/>
      <c r="E3" s="3381"/>
      <c r="F3" s="3381"/>
      <c r="G3" s="3381"/>
      <c r="H3" s="3381"/>
      <c r="I3" s="3381"/>
    </row>
    <row r="4" spans="1:12" ht="14.25">
      <c r="A4" s="2328" t="s">
        <v>816</v>
      </c>
      <c r="B4" s="2329" t="s">
        <v>817</v>
      </c>
      <c r="C4" s="2330" t="s">
        <v>818</v>
      </c>
      <c r="D4" s="2330" t="s">
        <v>665</v>
      </c>
      <c r="E4" s="3382" t="s">
        <v>819</v>
      </c>
      <c r="F4" s="3383"/>
      <c r="G4" s="3383"/>
      <c r="H4" s="3383"/>
      <c r="I4" s="3384"/>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427" t="s">
        <v>820</v>
      </c>
      <c r="B5" s="3465">
        <v>25</v>
      </c>
      <c r="C5" s="3397"/>
      <c r="D5" s="3396"/>
      <c r="E5" s="1537" t="s">
        <v>821</v>
      </c>
      <c r="F5" s="2334"/>
      <c r="G5" s="2334"/>
      <c r="H5" s="2334"/>
      <c r="I5" s="1856"/>
    </row>
    <row r="6" spans="1:12" ht="12.75">
      <c r="A6" s="3427"/>
      <c r="B6" s="3465"/>
      <c r="C6" s="3398"/>
      <c r="D6" s="3396"/>
      <c r="E6" s="1537" t="s">
        <v>822</v>
      </c>
      <c r="F6" s="2334"/>
      <c r="G6" s="2334"/>
      <c r="H6" s="2334"/>
      <c r="I6" s="1856"/>
    </row>
    <row r="7" spans="1:12" ht="12.75">
      <c r="A7" s="3427"/>
      <c r="B7" s="3465"/>
      <c r="C7" s="3399"/>
      <c r="D7" s="3396"/>
      <c r="E7" s="1537" t="s">
        <v>823</v>
      </c>
      <c r="F7" s="2334"/>
      <c r="G7" s="2334"/>
      <c r="H7" s="2334"/>
      <c r="I7" s="1856"/>
    </row>
    <row r="8" spans="1:12" ht="12.75">
      <c r="A8" s="3427" t="s">
        <v>824</v>
      </c>
      <c r="B8" s="3465">
        <v>15</v>
      </c>
      <c r="C8" s="3397"/>
      <c r="D8" s="3396"/>
      <c r="E8" s="1537" t="s">
        <v>825</v>
      </c>
      <c r="F8" s="2334"/>
      <c r="G8" s="2334"/>
      <c r="H8" s="2334"/>
      <c r="I8" s="1856"/>
    </row>
    <row r="9" spans="1:12" ht="12.75">
      <c r="A9" s="3427"/>
      <c r="B9" s="3465"/>
      <c r="C9" s="3399"/>
      <c r="D9" s="3396"/>
      <c r="E9" s="1537" t="s">
        <v>826</v>
      </c>
      <c r="F9" s="2334"/>
      <c r="G9" s="2334"/>
      <c r="H9" s="2334"/>
      <c r="I9" s="1856"/>
    </row>
    <row r="10" spans="1:12" ht="12.75">
      <c r="A10" s="3427" t="s">
        <v>827</v>
      </c>
      <c r="B10" s="3465">
        <v>15</v>
      </c>
      <c r="C10" s="3397"/>
      <c r="D10" s="3396"/>
      <c r="E10" s="1537" t="s">
        <v>828</v>
      </c>
      <c r="F10" s="2334"/>
      <c r="G10" s="2334"/>
      <c r="H10" s="2334"/>
      <c r="I10" s="1856"/>
    </row>
    <row r="11" spans="1:12" ht="12.75">
      <c r="A11" s="3427"/>
      <c r="B11" s="3465"/>
      <c r="C11" s="3399"/>
      <c r="D11" s="3396"/>
      <c r="E11" s="1537" t="s">
        <v>829</v>
      </c>
      <c r="F11" s="2334"/>
      <c r="G11" s="2334"/>
      <c r="H11" s="2334"/>
      <c r="I11" s="1856"/>
    </row>
    <row r="12" spans="1:12" ht="12.75">
      <c r="A12" s="3427" t="s">
        <v>830</v>
      </c>
      <c r="B12" s="3465">
        <v>15</v>
      </c>
      <c r="C12" s="3397"/>
      <c r="D12" s="3396"/>
      <c r="E12" s="1537" t="s">
        <v>831</v>
      </c>
      <c r="F12" s="2334"/>
      <c r="G12" s="2334"/>
      <c r="H12" s="2334"/>
      <c r="I12" s="1856"/>
    </row>
    <row r="13" spans="1:12" ht="12.75">
      <c r="A13" s="3427"/>
      <c r="B13" s="3465"/>
      <c r="C13" s="3399"/>
      <c r="D13" s="3396"/>
      <c r="E13" s="1537" t="s">
        <v>832</v>
      </c>
      <c r="F13" s="2334"/>
      <c r="G13" s="2334"/>
      <c r="H13" s="2334"/>
      <c r="I13" s="1856"/>
    </row>
    <row r="14" spans="1:12" ht="12.75">
      <c r="A14" s="3427" t="s">
        <v>833</v>
      </c>
      <c r="B14" s="3465">
        <v>30</v>
      </c>
      <c r="C14" s="3397">
        <v>5</v>
      </c>
      <c r="D14" s="3396">
        <v>5</v>
      </c>
      <c r="E14" s="1537" t="s">
        <v>834</v>
      </c>
      <c r="F14" s="2334"/>
      <c r="G14" s="2334"/>
      <c r="H14" s="2334"/>
      <c r="I14" s="1856"/>
    </row>
    <row r="15" spans="1:12" ht="12.75">
      <c r="A15" s="3427"/>
      <c r="B15" s="3465"/>
      <c r="C15" s="3398"/>
      <c r="D15" s="3396"/>
      <c r="E15" s="1537" t="s">
        <v>835</v>
      </c>
      <c r="F15" s="2334"/>
      <c r="G15" s="2334"/>
      <c r="H15" s="2334"/>
      <c r="I15" s="1856"/>
    </row>
    <row r="16" spans="1:12" ht="12.75">
      <c r="A16" s="3427"/>
      <c r="B16" s="3465"/>
      <c r="C16" s="3399"/>
      <c r="D16" s="3396"/>
      <c r="E16" s="1537" t="s">
        <v>836</v>
      </c>
      <c r="F16" s="2334"/>
      <c r="G16" s="2334"/>
      <c r="H16" s="2334"/>
      <c r="I16" s="1856"/>
    </row>
    <row r="17" spans="1:36" ht="15">
      <c r="A17" s="2335" t="s">
        <v>837</v>
      </c>
      <c r="B17" s="2336"/>
      <c r="C17" s="2337">
        <f>SUM(C5:C16)</f>
        <v>5</v>
      </c>
      <c r="D17" s="2337">
        <f>SUM(D5:D16)</f>
        <v>5</v>
      </c>
      <c r="E17" s="560"/>
      <c r="F17" s="560"/>
      <c r="G17" s="560"/>
      <c r="H17" s="560"/>
      <c r="I17" s="560"/>
      <c r="K17" s="1497"/>
      <c r="L17" s="1497" t="s">
        <v>838</v>
      </c>
      <c r="M17" s="1497" t="s">
        <v>839</v>
      </c>
    </row>
    <row r="18" spans="1:36" ht="31.9" customHeight="1">
      <c r="A18" s="2338" t="s">
        <v>840</v>
      </c>
      <c r="B18" s="2339"/>
      <c r="C18" s="2340">
        <f>ROUND(C17/SUM(C17:D17),2)</f>
        <v>0.5</v>
      </c>
      <c r="D18" s="2340">
        <f>1-C18</f>
        <v>0.5</v>
      </c>
      <c r="E18" s="3385" t="s">
        <v>841</v>
      </c>
      <c r="F18" s="3386"/>
      <c r="G18" s="3386"/>
      <c r="H18" s="3386"/>
      <c r="I18" s="3386"/>
      <c r="K18" s="1497" t="s">
        <v>469</v>
      </c>
      <c r="L18" s="1497">
        <f>IF(C1="",'数据-汇总表'!E3,SUMIF(项目类型,C1,'数据-汇总表'!E17:E26)+SUMIF(项目类型,C1,'数据-汇总表'!I17:I26))</f>
        <v>596993.59</v>
      </c>
      <c r="M18" s="1497">
        <f>IF(C1="",'数据-汇总表'!E3,SUMIF(项目类型,C1,'数据-汇总表'!E17:E26))</f>
        <v>596993.59</v>
      </c>
    </row>
    <row r="19" spans="1:36" ht="15">
      <c r="A19" s="869" t="s">
        <v>842</v>
      </c>
      <c r="B19" s="2341" t="s">
        <v>843</v>
      </c>
      <c r="C19" s="2342">
        <f ca="1">SUMIF(INDIRECT("'"&amp;C4&amp;"'"&amp;"!A:A"),结果表!B19,INDIRECT("'"&amp;C4&amp;"'"&amp;"!B:B"))</f>
        <v>1210080</v>
      </c>
      <c r="D19" s="986">
        <f ca="1">SUMIF(INDIRECT("'"&amp;D4&amp;"'"&amp;"!A:A"),结果表!B19,INDIRECT("'"&amp;D4&amp;"'"&amp;"!B:B"))</f>
        <v>1013677</v>
      </c>
      <c r="E19" s="869" t="s">
        <v>844</v>
      </c>
      <c r="F19" s="2341" t="s">
        <v>843</v>
      </c>
      <c r="G19" s="2343">
        <f ca="1">ROUND(C19*$C$18+D19*$D$18,0)</f>
        <v>1111879</v>
      </c>
      <c r="H19" s="2344" t="s">
        <v>845</v>
      </c>
      <c r="I19" s="560"/>
      <c r="K19" s="1497" t="s">
        <v>473</v>
      </c>
      <c r="L19" s="1497">
        <f>IF(C1="",'数据-汇总表'!D3,SUMIF(项目类型,C1,'数据-汇总表'!D17:D26)+SUMIF(项目类型,C1,'数据-汇总表'!H17:H27))</f>
        <v>175003.3</v>
      </c>
      <c r="M19" s="1497">
        <f>IF(C1="",'数据-汇总表'!D3,SUMIF(项目类型,C1,'数据-汇总表'!D17:D26))</f>
        <v>175003.3</v>
      </c>
    </row>
    <row r="20" spans="1:36" ht="15">
      <c r="A20" s="2345"/>
      <c r="B20" s="2346" t="s">
        <v>846</v>
      </c>
      <c r="C20" s="1239">
        <f ca="1">SUMIF(INDIRECT("'"&amp;C4&amp;"'"&amp;"!A:A"),结果表!B20,INDIRECT("'"&amp;C4&amp;"'"&amp;"!B:B"))</f>
        <v>20591</v>
      </c>
      <c r="D20" s="1242">
        <f ca="1">SUMIF(INDIRECT("'"&amp;D4&amp;"'"&amp;"!A:A"),结果表!B20,INDIRECT("'"&amp;D4&amp;"'"&amp;"!B:B"))</f>
        <v>17249</v>
      </c>
      <c r="E20" s="2345"/>
      <c r="F20" s="2346" t="s">
        <v>846</v>
      </c>
      <c r="G20" s="2347">
        <f ca="1">ROUND(C20*$C$18+D20*$D$18,0)</f>
        <v>18920</v>
      </c>
      <c r="H20" s="1649" t="s">
        <v>847</v>
      </c>
      <c r="I20" s="560"/>
    </row>
    <row r="21" spans="1:36" ht="15" customHeight="1">
      <c r="A21" s="875"/>
      <c r="B21" s="2348" t="s">
        <v>848</v>
      </c>
      <c r="C21" s="2349">
        <f ca="1">ROUND(C19*10000/L19,0)</f>
        <v>69146</v>
      </c>
      <c r="D21" s="2350">
        <f ca="1">ROUND(D19*10000/L19,0)</f>
        <v>57923</v>
      </c>
      <c r="E21" s="875"/>
      <c r="F21" s="2348" t="s">
        <v>848</v>
      </c>
      <c r="G21" s="2351">
        <f ca="1">ROUND(G19*10000/L19,0)</f>
        <v>63535</v>
      </c>
      <c r="H21" s="2352" t="s">
        <v>847</v>
      </c>
      <c r="I21" s="560"/>
    </row>
    <row r="22" spans="1:36" ht="14.25">
      <c r="A22" s="2353" t="s">
        <v>849</v>
      </c>
      <c r="B22" s="2354"/>
      <c r="C22" s="2355"/>
      <c r="D22" s="2356">
        <f ca="1">IF(C19&lt;D19,D19/C19-1,C19/D19-1)</f>
        <v>0.19375303967634672</v>
      </c>
      <c r="E22" s="560"/>
      <c r="F22" s="560"/>
      <c r="G22" s="560"/>
      <c r="H22" s="560"/>
      <c r="I22" s="560"/>
    </row>
    <row r="23" spans="1:36" ht="12.75">
      <c r="A23" s="1640"/>
      <c r="B23" s="1640"/>
      <c r="C23" s="1640"/>
      <c r="D23" s="1640"/>
      <c r="E23" s="560"/>
      <c r="F23" s="560"/>
      <c r="G23" s="560"/>
      <c r="H23" s="560"/>
      <c r="I23" s="560"/>
    </row>
    <row r="24" spans="1:36" ht="14.25">
      <c r="A24" s="3458" t="s">
        <v>850</v>
      </c>
      <c r="B24" s="2341" t="s">
        <v>843</v>
      </c>
      <c r="C24" s="2343">
        <f>IF(B30=0,0,D30)</f>
        <v>0</v>
      </c>
      <c r="D24" s="2357"/>
      <c r="E24" s="560"/>
      <c r="F24" s="560"/>
      <c r="G24" s="560"/>
      <c r="H24" s="560"/>
      <c r="I24" s="560"/>
    </row>
    <row r="25" spans="1:36" ht="14.25">
      <c r="A25" s="3459"/>
      <c r="B25" s="2346" t="s">
        <v>846</v>
      </c>
      <c r="C25" s="2358">
        <f>IF(B30=0,0,C30)</f>
        <v>0</v>
      </c>
      <c r="D25" s="2359"/>
      <c r="E25" s="560"/>
      <c r="F25" s="560"/>
      <c r="G25" s="560"/>
      <c r="H25" s="560"/>
      <c r="I25" s="560"/>
    </row>
    <row r="26" spans="1:36" ht="13.5" customHeight="1">
      <c r="A26" s="2360" t="s">
        <v>851</v>
      </c>
      <c r="B26" s="2361" t="s">
        <v>852</v>
      </c>
      <c r="C26" s="2361" t="s">
        <v>853</v>
      </c>
      <c r="D26" s="2362" t="s">
        <v>854</v>
      </c>
      <c r="E26" s="560"/>
      <c r="F26" s="560"/>
      <c r="G26" s="560"/>
      <c r="H26" s="560"/>
      <c r="I26" s="560"/>
    </row>
    <row r="27" spans="1:36" ht="14.25">
      <c r="A27" s="2360"/>
      <c r="B27" s="2361">
        <v>0</v>
      </c>
      <c r="C27" s="2361">
        <v>0</v>
      </c>
      <c r="D27" s="2362">
        <f>ROUND(C27*B27/10000,0)</f>
        <v>0</v>
      </c>
      <c r="E27" s="560"/>
      <c r="F27" s="560"/>
      <c r="G27" s="560"/>
      <c r="H27" s="560"/>
      <c r="I27" s="560"/>
    </row>
    <row r="28" spans="1:36" ht="14.25">
      <c r="A28" s="2360"/>
      <c r="B28" s="2361"/>
      <c r="C28" s="2361"/>
      <c r="D28" s="2362">
        <f ca="1">G19/'数据-汇总表'!F31</f>
        <v>3.7609524715072622</v>
      </c>
      <c r="E28" s="560"/>
      <c r="F28" s="560"/>
      <c r="G28" s="560"/>
      <c r="H28" s="560"/>
      <c r="I28" s="560"/>
    </row>
    <row r="29" spans="1:36" ht="14.25">
      <c r="A29" s="2360"/>
      <c r="B29" s="2361"/>
      <c r="C29" s="2361"/>
      <c r="D29" s="2362"/>
      <c r="E29" s="560"/>
      <c r="F29" s="560"/>
      <c r="G29" s="560"/>
      <c r="H29" s="560"/>
      <c r="I29" s="560"/>
    </row>
    <row r="30" spans="1:36" ht="14.25">
      <c r="A30" s="2361" t="s">
        <v>855</v>
      </c>
      <c r="B30" s="2361"/>
      <c r="C30" s="2361"/>
      <c r="D30" s="2361"/>
      <c r="E30" s="2363" t="s">
        <v>856</v>
      </c>
      <c r="F30" s="560"/>
      <c r="G30" s="560"/>
      <c r="H30" s="560"/>
      <c r="I30" s="560"/>
    </row>
    <row r="31" spans="1:36" s="2321" customFormat="1" ht="26.45" customHeight="1">
      <c r="A31" s="2364"/>
      <c r="B31" s="2365"/>
      <c r="C31" s="2365"/>
      <c r="D31" s="2365"/>
      <c r="E31" s="2365"/>
      <c r="F31" s="2365"/>
      <c r="G31" s="2365"/>
      <c r="H31" s="2365"/>
      <c r="I31" s="2456" t="s">
        <v>857</v>
      </c>
      <c r="J31" s="2457"/>
      <c r="K31" s="2458"/>
      <c r="L31" s="2458"/>
      <c r="M31" s="2458"/>
      <c r="N31" s="2458"/>
      <c r="O31" s="2458"/>
      <c r="P31" s="2458"/>
      <c r="Q31" s="2458"/>
      <c r="R31" s="2458"/>
      <c r="S31" s="2458"/>
      <c r="T31" s="2458"/>
      <c r="U31" s="2458"/>
      <c r="V31" s="2458"/>
      <c r="W31" s="2458"/>
      <c r="X31" s="2458"/>
      <c r="Y31" s="2458"/>
      <c r="Z31" s="2458"/>
      <c r="AA31" s="2458"/>
      <c r="AB31" s="2486"/>
      <c r="AC31" s="2486"/>
      <c r="AD31" s="2486"/>
      <c r="AE31" s="2486"/>
      <c r="AF31" s="2486"/>
      <c r="AG31" s="2486"/>
      <c r="AH31" s="2486"/>
      <c r="AI31" s="2486"/>
      <c r="AJ31" s="2486"/>
    </row>
    <row r="32" spans="1:36" ht="15">
      <c r="A32" s="2366" t="s">
        <v>858</v>
      </c>
      <c r="B32" s="2367"/>
      <c r="C32" s="2368">
        <f ca="1">IF(D32="总价",G19-C24,G20-C25)</f>
        <v>1111879</v>
      </c>
      <c r="D32" s="2369" t="s">
        <v>859</v>
      </c>
      <c r="E32" s="560"/>
      <c r="F32" s="560"/>
      <c r="G32" s="560"/>
      <c r="H32" s="560"/>
      <c r="I32" s="560"/>
    </row>
    <row r="33" spans="1:15" ht="15">
      <c r="A33" s="2235" t="s">
        <v>860</v>
      </c>
      <c r="B33" s="1537"/>
      <c r="C33" s="2370" t="s">
        <v>3845</v>
      </c>
      <c r="D33" s="2371" t="s">
        <v>665</v>
      </c>
      <c r="E33" s="2372" t="s">
        <v>861</v>
      </c>
      <c r="F33" s="2373" t="str">
        <f>IF(D32="楼面单价","取值（单价）","取值（总价）")</f>
        <v>取值（总价）</v>
      </c>
      <c r="G33" s="560"/>
      <c r="H33" s="560"/>
      <c r="I33" s="560"/>
    </row>
    <row r="34" spans="1:15" ht="15">
      <c r="A34" s="2374"/>
      <c r="B34" s="2375" t="s">
        <v>862</v>
      </c>
      <c r="C34" s="2376">
        <f ca="1">IF(C33="自定义",F34,C32-C35)</f>
        <v>274634</v>
      </c>
      <c r="D34" s="2377">
        <f ca="1">IF(C33="自定义",ROUND(C34/C32,3),IF(C33="收益比率",SUMIF(INDIRECT("'"&amp;D33&amp;"'"&amp;"!b:b"),"土地收益比率",INDIRECT("'"&amp;D33&amp;"'"&amp;"!c:c")),SUMIF(INDIRECT("'"&amp;D33&amp;"'"&amp;"!b:b"),"土地成本比率",INDIRECT("'"&amp;D33&amp;"'"&amp;"!c:c"))))</f>
        <v>0.247</v>
      </c>
      <c r="E34" s="2378" t="s">
        <v>863</v>
      </c>
      <c r="F34" s="2379"/>
      <c r="G34" s="560"/>
      <c r="H34" s="560"/>
      <c r="I34" s="560"/>
    </row>
    <row r="35" spans="1:15" ht="15">
      <c r="A35" s="2380"/>
      <c r="B35" s="2381" t="s">
        <v>864</v>
      </c>
      <c r="C35" s="2382">
        <f ca="1">IF(C33="自定义",F35,ROUND(C32*D35,0))</f>
        <v>837245</v>
      </c>
      <c r="D35" s="2383">
        <f ca="1">IF(C33="自定义",ROUND(C35/C32,3),IF(C33="收益比率",SUMIF(INDIRECT("'"&amp;D33&amp;"'"&amp;"!b:b"),"建筑物收益比率",INDIRECT("'"&amp;D33&amp;"'"&amp;"!c:c")),SUMIF(INDIRECT("'"&amp;D33&amp;"'"&amp;"!b:b"),"建筑物成本比率",INDIRECT("'"&amp;D33&amp;"'"&amp;"!c:c"))))</f>
        <v>0.753</v>
      </c>
      <c r="E35" s="2384" t="s">
        <v>865</v>
      </c>
      <c r="F35" s="2385"/>
      <c r="G35" s="560"/>
      <c r="H35" s="560"/>
      <c r="I35" s="560"/>
    </row>
    <row r="36" spans="1:15" ht="15">
      <c r="A36" s="3460" t="s">
        <v>866</v>
      </c>
      <c r="B36" s="2386" t="s">
        <v>867</v>
      </c>
      <c r="C36" s="2387"/>
      <c r="D36" s="2388"/>
      <c r="E36" s="2389"/>
      <c r="F36" s="2390"/>
      <c r="G36" s="560"/>
      <c r="H36" s="560"/>
      <c r="I36" s="560"/>
    </row>
    <row r="37" spans="1:15" ht="15">
      <c r="A37" s="3461"/>
      <c r="B37" s="2391" t="s">
        <v>868</v>
      </c>
      <c r="C37" s="2392"/>
      <c r="D37" s="2393"/>
      <c r="E37" s="2393"/>
      <c r="F37" s="2390"/>
      <c r="G37" s="560"/>
      <c r="H37" s="560"/>
      <c r="I37" s="560"/>
    </row>
    <row r="38" spans="1:15" ht="15">
      <c r="A38" s="3462"/>
      <c r="B38" s="2394" t="s">
        <v>869</v>
      </c>
      <c r="C38" s="2395"/>
      <c r="D38" s="2396" t="s">
        <v>870</v>
      </c>
      <c r="E38" s="2393"/>
      <c r="F38" s="2390"/>
      <c r="G38" s="560"/>
      <c r="H38" s="560"/>
      <c r="I38" s="560"/>
    </row>
    <row r="39" spans="1:15" ht="15">
      <c r="A39" s="2345" t="s">
        <v>871</v>
      </c>
      <c r="B39" s="2397" t="s">
        <v>852</v>
      </c>
      <c r="C39" s="2398" t="s">
        <v>853</v>
      </c>
      <c r="D39" s="2398" t="s">
        <v>872</v>
      </c>
      <c r="E39" s="2399" t="s">
        <v>854</v>
      </c>
      <c r="F39" s="2390"/>
      <c r="G39" s="560"/>
      <c r="H39" s="560"/>
      <c r="I39" s="560"/>
    </row>
    <row r="40" spans="1:15" ht="14.25">
      <c r="A40" s="2400" t="s">
        <v>873</v>
      </c>
      <c r="B40" s="2401"/>
      <c r="C40" s="578"/>
      <c r="D40" s="578"/>
      <c r="E40" s="2402"/>
      <c r="F40" s="2390"/>
      <c r="G40" s="560"/>
      <c r="H40" s="560"/>
      <c r="I40" s="560"/>
    </row>
    <row r="41" spans="1:15" ht="14.25">
      <c r="A41" s="2400" t="s">
        <v>874</v>
      </c>
      <c r="B41" s="2401"/>
      <c r="C41" s="578"/>
      <c r="D41" s="578"/>
      <c r="E41" s="2402"/>
      <c r="F41" s="2390"/>
      <c r="G41" s="560"/>
      <c r="H41" s="560"/>
      <c r="I41" s="560"/>
    </row>
    <row r="42" spans="1:15" ht="14.25">
      <c r="A42" s="2403"/>
      <c r="B42" s="2404"/>
      <c r="C42" s="2405"/>
      <c r="D42" s="2405"/>
      <c r="E42" s="2385"/>
      <c r="F42" s="2390"/>
      <c r="G42" s="560"/>
      <c r="H42" s="560"/>
      <c r="I42" s="560"/>
    </row>
    <row r="43" spans="1:15" ht="12.75">
      <c r="A43" s="2406"/>
      <c r="B43" s="2406"/>
      <c r="C43" s="2406"/>
      <c r="D43" s="2406"/>
      <c r="E43" s="2406"/>
      <c r="F43" s="2407"/>
      <c r="G43" s="2407"/>
      <c r="H43" s="2407"/>
      <c r="I43" s="2459"/>
    </row>
    <row r="44" spans="1:15" ht="18.75">
      <c r="A44" s="2408" t="s">
        <v>875</v>
      </c>
      <c r="B44" s="2409"/>
      <c r="C44" s="2409"/>
      <c r="D44" s="2410"/>
      <c r="E44" s="2410"/>
      <c r="F44" s="2411"/>
      <c r="G44" s="2411"/>
      <c r="H44" s="2411"/>
      <c r="I44" s="2411"/>
      <c r="J44" s="2188" t="s">
        <v>876</v>
      </c>
      <c r="K44" s="500"/>
      <c r="L44" s="500"/>
      <c r="M44" s="500"/>
      <c r="N44" s="500"/>
      <c r="O44" s="500"/>
    </row>
    <row r="45" spans="1:15" ht="14.25" customHeight="1">
      <c r="A45" s="3387" t="s">
        <v>877</v>
      </c>
      <c r="B45" s="3388"/>
      <c r="C45" s="3389"/>
      <c r="D45" s="1496">
        <f ca="1">ROUND(H101*F45,0)</f>
        <v>1111879</v>
      </c>
      <c r="E45" s="2412" t="s">
        <v>878</v>
      </c>
      <c r="F45" s="2413">
        <v>1</v>
      </c>
      <c r="G45" s="1507" t="s">
        <v>879</v>
      </c>
      <c r="H45" s="560"/>
      <c r="I45" s="560"/>
      <c r="J45" s="3390" t="s">
        <v>880</v>
      </c>
      <c r="K45" s="3390"/>
      <c r="L45" s="3390"/>
      <c r="M45" s="3390"/>
      <c r="N45" s="3390"/>
      <c r="O45" s="3390"/>
    </row>
    <row r="46" spans="1:15" ht="14.25" customHeight="1">
      <c r="A46" s="3391" t="s">
        <v>881</v>
      </c>
      <c r="B46" s="3392"/>
      <c r="C46" s="3392"/>
      <c r="D46" s="3392"/>
      <c r="E46" s="3392"/>
      <c r="F46" s="3392"/>
      <c r="G46" s="3393"/>
      <c r="H46" s="2414"/>
      <c r="I46" s="561"/>
      <c r="J46" s="1934">
        <v>1</v>
      </c>
      <c r="K46" s="3394" t="s">
        <v>882</v>
      </c>
      <c r="L46" s="3394"/>
      <c r="M46" s="3395"/>
      <c r="N46" s="3395"/>
      <c r="O46" s="3395"/>
    </row>
    <row r="47" spans="1:15" ht="12" customHeight="1">
      <c r="A47" s="2415" t="s">
        <v>883</v>
      </c>
      <c r="B47" s="2416"/>
      <c r="C47" s="2417"/>
      <c r="D47" s="1546" t="s">
        <v>884</v>
      </c>
      <c r="E47" s="1497" t="s">
        <v>885</v>
      </c>
      <c r="F47" s="2418" t="s">
        <v>886</v>
      </c>
      <c r="G47" s="2419" t="s">
        <v>887</v>
      </c>
      <c r="H47" s="2420"/>
      <c r="I47" s="561"/>
      <c r="J47" s="1934">
        <v>2</v>
      </c>
      <c r="K47" s="3394" t="s">
        <v>888</v>
      </c>
      <c r="L47" s="3394"/>
      <c r="M47" s="3400">
        <f>'数据-取费表'!B2</f>
        <v>45798</v>
      </c>
      <c r="N47" s="3400"/>
      <c r="O47" s="3400"/>
    </row>
    <row r="48" spans="1:15" ht="25.5">
      <c r="A48" s="3401" t="s">
        <v>889</v>
      </c>
      <c r="B48" s="3402"/>
      <c r="C48" s="3402"/>
      <c r="D48" s="1647" t="b">
        <f>IF(H48="情况1",0,IF(H48="情况2",D52,IF(H48="情况3",D53,IF(H48="情况4",D54))))</f>
        <v>0</v>
      </c>
      <c r="E48" s="1550" t="str">
        <f>IF(H48="情况4","(销售额-原购置价)×税（费）率","销售额×税（费）率")</f>
        <v>销售额×税（费）率</v>
      </c>
      <c r="F48" s="2422">
        <f>IF(H48="情况1","免征",'数据-取费表'!B41)</f>
        <v>5.5000000000000007E-2</v>
      </c>
      <c r="G48" s="2423" t="s">
        <v>890</v>
      </c>
      <c r="H48" s="2424"/>
      <c r="I48" s="2414"/>
      <c r="J48" s="1934">
        <v>3</v>
      </c>
      <c r="K48" s="3394" t="s">
        <v>891</v>
      </c>
      <c r="L48" s="3394"/>
      <c r="M48" s="3403">
        <f ca="1">H101</f>
        <v>1111879</v>
      </c>
      <c r="N48" s="3403"/>
      <c r="O48" s="3403"/>
    </row>
    <row r="49" spans="1:35" ht="25.5" customHeight="1">
      <c r="A49" s="2421" t="s">
        <v>892</v>
      </c>
      <c r="B49" s="3404" t="s">
        <v>893</v>
      </c>
      <c r="C49" s="3404"/>
      <c r="D49" s="2425">
        <v>0</v>
      </c>
      <c r="E49" s="1556" t="s">
        <v>894</v>
      </c>
      <c r="F49" s="2426" t="s">
        <v>124</v>
      </c>
      <c r="G49" s="3410"/>
      <c r="H49" s="2427" t="s">
        <v>895</v>
      </c>
      <c r="I49" s="2461"/>
      <c r="J49" s="1934">
        <v>4</v>
      </c>
      <c r="K49" s="3394" t="str">
        <f>IF(项目基本情况!E8="房地产抵押价值","房地产抵押价值","抵押担保权已注销时的房地产抵押价值")</f>
        <v>房地产抵押价值</v>
      </c>
      <c r="L49" s="3394"/>
      <c r="M49" s="3403">
        <f ca="1">IF(项目基本情况!E8="房地产抵押价值",H107,H109)</f>
        <v>1111879</v>
      </c>
      <c r="N49" s="3403"/>
      <c r="O49" s="3403"/>
    </row>
    <row r="50" spans="1:35" ht="25.5" customHeight="1">
      <c r="A50" s="2428"/>
      <c r="B50" s="3404" t="s">
        <v>896</v>
      </c>
      <c r="C50" s="3404"/>
      <c r="D50" s="2429"/>
      <c r="E50" s="1571"/>
      <c r="F50" s="2426"/>
      <c r="G50" s="3411"/>
      <c r="H50" s="2430" t="s">
        <v>897</v>
      </c>
      <c r="I50" s="2461"/>
      <c r="J50" s="3390" t="s">
        <v>898</v>
      </c>
      <c r="K50" s="3390"/>
      <c r="L50" s="3390"/>
      <c r="M50" s="3390"/>
      <c r="N50" s="3390"/>
      <c r="O50" s="3390"/>
    </row>
    <row r="51" spans="1:35" ht="20.45" customHeight="1">
      <c r="A51" s="2431"/>
      <c r="B51" s="3404" t="s">
        <v>899</v>
      </c>
      <c r="C51" s="3404"/>
      <c r="D51" s="1546"/>
      <c r="E51" s="1560"/>
      <c r="F51" s="2426"/>
      <c r="G51" s="3412"/>
      <c r="H51" s="2430" t="s">
        <v>900</v>
      </c>
      <c r="I51" s="2461"/>
      <c r="J51" s="2460" t="s">
        <v>901</v>
      </c>
      <c r="K51" s="3394" t="s">
        <v>902</v>
      </c>
      <c r="L51" s="3394"/>
      <c r="M51" s="2460" t="s">
        <v>903</v>
      </c>
      <c r="N51" s="2460" t="s">
        <v>904</v>
      </c>
      <c r="O51" s="2460" t="s">
        <v>905</v>
      </c>
    </row>
    <row r="52" spans="1:35" ht="24" customHeight="1">
      <c r="A52" s="2432" t="s">
        <v>906</v>
      </c>
      <c r="B52" s="3404" t="s">
        <v>907</v>
      </c>
      <c r="C52" s="3404"/>
      <c r="D52" s="1546">
        <f ca="1">ROUND(D45*'数据-取费表'!B41/(1+'数据-取费表'!C42),0)</f>
        <v>58241</v>
      </c>
      <c r="E52" s="1550" t="s">
        <v>908</v>
      </c>
      <c r="F52" s="2433">
        <f>'数据-取费表'!B41</f>
        <v>5.5000000000000007E-2</v>
      </c>
      <c r="G52" s="2434"/>
      <c r="H52" s="1661"/>
      <c r="I52" s="2462"/>
      <c r="J52" s="1934">
        <v>1</v>
      </c>
      <c r="K52" s="3406" t="s">
        <v>909</v>
      </c>
      <c r="L52" s="3406"/>
      <c r="M52" s="2463" t="b">
        <f>D48</f>
        <v>0</v>
      </c>
      <c r="N52" s="1934" t="str">
        <f>E48</f>
        <v>销售额×税（费）率</v>
      </c>
      <c r="O52" s="2464">
        <f>F48</f>
        <v>5.5000000000000007E-2</v>
      </c>
    </row>
    <row r="53" spans="1:35" ht="12" customHeight="1">
      <c r="A53" s="2432" t="s">
        <v>910</v>
      </c>
      <c r="B53" s="3407" t="s">
        <v>911</v>
      </c>
      <c r="C53" s="3408"/>
      <c r="D53" s="1546">
        <f ca="1">ROUND(D45*'数据-取费表'!B41/(1+'数据-取费表'!C42),0)</f>
        <v>58241</v>
      </c>
      <c r="E53" s="1550" t="s">
        <v>908</v>
      </c>
      <c r="F53" s="2433">
        <f>'数据-取费表'!B41</f>
        <v>5.5000000000000007E-2</v>
      </c>
      <c r="G53" s="2434"/>
      <c r="H53" s="1661"/>
      <c r="I53" s="2462"/>
      <c r="J53" s="1934">
        <v>2</v>
      </c>
      <c r="K53" s="3406" t="s">
        <v>912</v>
      </c>
      <c r="L53" s="3406"/>
      <c r="M53" s="2463">
        <f t="shared" ref="M53:O54" ca="1" si="0">D55</f>
        <v>556</v>
      </c>
      <c r="N53" s="1934" t="str">
        <f t="shared" si="0"/>
        <v>销售额×税（费）率</v>
      </c>
      <c r="O53" s="2464" t="str">
        <f t="shared" si="0"/>
        <v>免征</v>
      </c>
    </row>
    <row r="54" spans="1:35" ht="12" customHeight="1">
      <c r="A54" s="2432" t="s">
        <v>913</v>
      </c>
      <c r="B54" s="3407" t="s">
        <v>914</v>
      </c>
      <c r="C54" s="3408"/>
      <c r="D54" s="1546">
        <f ca="1">C68</f>
        <v>58241</v>
      </c>
      <c r="E54" s="1560" t="s">
        <v>915</v>
      </c>
      <c r="F54" s="2433">
        <f>'数据-取费表'!B41</f>
        <v>5.5000000000000007E-2</v>
      </c>
      <c r="G54" s="2434"/>
      <c r="H54" s="2435"/>
      <c r="I54" s="2462"/>
      <c r="J54" s="1934">
        <v>3</v>
      </c>
      <c r="K54" s="3406" t="s">
        <v>916</v>
      </c>
      <c r="L54" s="3406"/>
      <c r="M54" s="2463">
        <f t="shared" ca="1" si="0"/>
        <v>630329</v>
      </c>
      <c r="N54" s="1934" t="str">
        <f t="shared" si="0"/>
        <v>增值额×税（费）率</v>
      </c>
      <c r="O54" s="2465" t="str">
        <f t="shared" si="0"/>
        <v>免征</v>
      </c>
    </row>
    <row r="55" spans="1:35" ht="24" customHeight="1">
      <c r="A55" s="3409" t="s">
        <v>917</v>
      </c>
      <c r="B55" s="3402"/>
      <c r="C55" s="3402"/>
      <c r="D55" s="1647">
        <f ca="1">IF(H55="个人住宅",0,ROUND(D45*I55,0))</f>
        <v>556</v>
      </c>
      <c r="E55" s="1550" t="s">
        <v>918</v>
      </c>
      <c r="F55" s="2433" t="str">
        <f>IF(H55="正常",I55,"免征")</f>
        <v>免征</v>
      </c>
      <c r="G55" s="2434"/>
      <c r="H55" s="2424"/>
      <c r="I55" s="2466">
        <f>'数据-取费表'!B49</f>
        <v>5.0000000000000001E-4</v>
      </c>
      <c r="J55" s="1934">
        <f>IF(H59="非个人房产","",4)</f>
        <v>4</v>
      </c>
      <c r="K55" s="3406" t="str">
        <f>IF(H59="非个人房产","——","个人所得税")</f>
        <v>个人所得税</v>
      </c>
      <c r="L55" s="3406"/>
      <c r="M55" s="2467">
        <f ca="1">D59</f>
        <v>10589</v>
      </c>
      <c r="N55" s="1915" t="str">
        <f>E59</f>
        <v>差额计税</v>
      </c>
      <c r="O55" s="2468">
        <f>F59</f>
        <v>0.01</v>
      </c>
    </row>
    <row r="56" spans="1:35" ht="24.75">
      <c r="A56" s="3409" t="s">
        <v>919</v>
      </c>
      <c r="B56" s="3402"/>
      <c r="C56" s="3402"/>
      <c r="D56" s="1647">
        <f ca="1">IF(H56="个人住宅",D57,D58)</f>
        <v>630329</v>
      </c>
      <c r="E56" s="1550" t="s">
        <v>920</v>
      </c>
      <c r="F56" s="2433" t="str">
        <f>IF(H56="正常",F58,"免征")</f>
        <v>免征</v>
      </c>
      <c r="G56" s="2436" t="s">
        <v>921</v>
      </c>
      <c r="H56" s="2437"/>
      <c r="I56" s="2446"/>
      <c r="J56" s="1934" t="str">
        <f>IF(项目基本情况!K6="上海银行",IF(J55="",4,J55+1),"")</f>
        <v/>
      </c>
      <c r="K56" s="3413" t="str">
        <f>IF(项目基本情况!K6="上海银行","其他处置费用","")</f>
        <v/>
      </c>
      <c r="L56" s="3414"/>
      <c r="M56" s="2463" t="str">
        <f>IF(项目基本情况!K6="上海银行",M69,"")</f>
        <v/>
      </c>
      <c r="N56" s="3413" t="str">
        <f>IF(项目基本情况!K6="上海银行","包含处置中涉及的律师、诉讼、拍卖、评估等费用","")</f>
        <v/>
      </c>
      <c r="O56" s="3415"/>
    </row>
    <row r="57" spans="1:35" ht="12.75">
      <c r="A57" s="2432" t="s">
        <v>892</v>
      </c>
      <c r="B57" s="3407" t="s">
        <v>922</v>
      </c>
      <c r="C57" s="3408"/>
      <c r="D57" s="2425">
        <v>0</v>
      </c>
      <c r="E57" s="1556" t="s">
        <v>894</v>
      </c>
      <c r="F57" s="1497"/>
      <c r="G57" s="2434"/>
      <c r="H57" s="2438"/>
      <c r="I57" s="2446"/>
      <c r="J57" s="3406">
        <f>IF(AND(J55="",J56=""),4,IF(项目基本情况!K6="上海银行",结果表!J56+1,结果表!J55+1))</f>
        <v>5</v>
      </c>
      <c r="K57" s="3406" t="s">
        <v>923</v>
      </c>
      <c r="L57" s="2469" t="s">
        <v>924</v>
      </c>
      <c r="M57" s="2470"/>
      <c r="N57" s="2471">
        <f ca="1">SUMIF(M52:M56,"&lt;9e307")</f>
        <v>641474</v>
      </c>
      <c r="O57" s="2472"/>
      <c r="P57" s="2473">
        <f ca="1">N57/M49</f>
        <v>0.57692788513858073</v>
      </c>
    </row>
    <row r="58" spans="1:35" ht="24.75">
      <c r="A58" s="2432" t="s">
        <v>906</v>
      </c>
      <c r="B58" s="3407" t="s">
        <v>925</v>
      </c>
      <c r="C58" s="3404"/>
      <c r="D58" s="1647">
        <f ca="1">IF(H58="转让取得",C81,C97)</f>
        <v>630329</v>
      </c>
      <c r="E58" s="1550" t="s">
        <v>920</v>
      </c>
      <c r="F58" s="1497" t="s">
        <v>124</v>
      </c>
      <c r="G58" s="2434"/>
      <c r="H58" s="2437"/>
      <c r="I58" s="2446"/>
      <c r="J58" s="3406"/>
      <c r="K58" s="3406"/>
      <c r="L58" s="2469" t="s">
        <v>926</v>
      </c>
      <c r="M58" s="2474"/>
      <c r="N58" s="2475" t="str">
        <f ca="1">NUMBERSTRING(INT(N57*10000),2)&amp;"元整"</f>
        <v>陆拾肆亿壹仟肆佰柒拾肆万元整</v>
      </c>
      <c r="O58" s="2476"/>
    </row>
    <row r="59" spans="1:35" ht="24">
      <c r="A59" s="3416" t="s">
        <v>927</v>
      </c>
      <c r="B59" s="3417"/>
      <c r="C59" s="3417"/>
      <c r="D59" s="2439">
        <f ca="1">IF(H59="非个人房产","——",IF(H59="个人住宅（满五唯一有凭证）",0,IF(H59="个人其他（无凭证）",ROUND(D45*F59,0),ROUND(C67*F59,0))))</f>
        <v>10589</v>
      </c>
      <c r="E59" s="2440" t="str">
        <f>IF(H59="非个人房产","——",IF(H59="个人其他（无凭证）","销售额×税（费）率",IF(H59="个人住宅（满五唯一有凭证）","免征","差额计税")))</f>
        <v>差额计税</v>
      </c>
      <c r="F59" s="2441">
        <f>IF(OR(H59="非个人房产",H59="个人住宅（满五唯一有凭证）"),"——",IF(H59="个人其他（有凭证）",20%,1%))</f>
        <v>0.01</v>
      </c>
      <c r="G59" s="2442" t="s">
        <v>921</v>
      </c>
      <c r="H59" s="2443"/>
      <c r="I59" s="2477" t="s">
        <v>928</v>
      </c>
      <c r="J59" s="3421">
        <f>J57+1</f>
        <v>6</v>
      </c>
      <c r="K59" s="3406" t="s">
        <v>929</v>
      </c>
      <c r="L59" s="1934" t="s">
        <v>924</v>
      </c>
      <c r="M59" s="2478"/>
      <c r="N59" s="2479">
        <f ca="1">M49-N57</f>
        <v>470405</v>
      </c>
      <c r="O59" s="2480"/>
    </row>
    <row r="60" spans="1:35" ht="12" customHeight="1">
      <c r="A60" s="2444"/>
      <c r="B60" s="1640"/>
      <c r="C60" s="1640"/>
      <c r="D60" s="1640"/>
      <c r="E60" s="2445"/>
      <c r="F60" s="2446"/>
      <c r="G60" s="2446"/>
      <c r="H60" s="561"/>
      <c r="I60" s="560"/>
      <c r="J60" s="3422"/>
      <c r="K60" s="3406"/>
      <c r="L60" s="2469" t="s">
        <v>926</v>
      </c>
      <c r="M60" s="2474"/>
      <c r="N60" s="2475" t="str">
        <f ca="1">NUMBERSTRING(INT(N59*10000),2)&amp;"元整"</f>
        <v>肆拾柒亿零肆佰零伍万元整</v>
      </c>
      <c r="O60" s="2476"/>
    </row>
    <row r="61" spans="1:35" ht="12.75">
      <c r="A61" s="3418" t="s">
        <v>930</v>
      </c>
      <c r="B61" s="3418"/>
      <c r="C61" s="3418"/>
      <c r="D61" s="3418"/>
      <c r="E61" s="3418"/>
      <c r="F61" s="2446"/>
      <c r="G61" s="2446"/>
      <c r="H61" s="561"/>
      <c r="I61" s="560"/>
      <c r="J61" s="1934">
        <f>J59+1</f>
        <v>7</v>
      </c>
      <c r="K61" s="3406" t="s">
        <v>931</v>
      </c>
      <c r="L61" s="3406"/>
      <c r="M61" s="2481"/>
      <c r="N61" s="2482">
        <f ca="1">ROUND(N59*10000/'数据-汇总表'!E3,0)</f>
        <v>7880</v>
      </c>
      <c r="O61" s="2483"/>
    </row>
    <row r="62" spans="1:35" ht="12.75">
      <c r="A62" s="3419" t="s">
        <v>932</v>
      </c>
      <c r="B62" s="3420"/>
      <c r="C62" s="1887"/>
      <c r="D62" s="1887" t="s">
        <v>933</v>
      </c>
      <c r="E62" s="2447" t="s">
        <v>887</v>
      </c>
      <c r="F62" s="2446"/>
      <c r="G62" s="2446"/>
      <c r="H62" s="561"/>
      <c r="I62" s="560"/>
    </row>
    <row r="63" spans="1:35" ht="12.75">
      <c r="A63" s="2448" t="s">
        <v>934</v>
      </c>
      <c r="B63" s="1944" t="s">
        <v>935</v>
      </c>
      <c r="C63" s="2449">
        <f ca="1">ROUND((C64+C65)/(1+'数据-取费表'!C42),0)</f>
        <v>1058932</v>
      </c>
      <c r="D63" s="1944"/>
      <c r="E63" s="2450"/>
      <c r="F63" s="2446"/>
      <c r="G63" s="2446"/>
      <c r="H63" s="561"/>
      <c r="I63" s="560"/>
      <c r="J63" s="3405" t="s">
        <v>936</v>
      </c>
      <c r="K63" s="2484" t="s">
        <v>937</v>
      </c>
      <c r="L63" s="2484">
        <f ca="1">IF(M49&gt;10000,M49*0.5%,IF(AND(M49&gt;1000,M49&lt;=10000),M49*1%,IF(AND(M49&gt;100,M49&lt;=1000),M49*3%,IF(AND(M49&gt;10,M49&lt;=100),M49*5%,M49*8%))))</f>
        <v>5559.3950000000004</v>
      </c>
      <c r="M63" s="1497">
        <f ca="1">ROUND(L63,1)</f>
        <v>5559.4</v>
      </c>
      <c r="N63" s="2485"/>
      <c r="Z63" s="2322"/>
      <c r="AI63" s="2323"/>
    </row>
    <row r="64" spans="1:35" ht="14.25" customHeight="1">
      <c r="A64" s="2451" t="s">
        <v>938</v>
      </c>
      <c r="B64" s="1869" t="s">
        <v>939</v>
      </c>
      <c r="C64" s="2452">
        <f ca="1">D45</f>
        <v>1111879</v>
      </c>
      <c r="D64" s="1869" t="s">
        <v>124</v>
      </c>
      <c r="E64" s="2453"/>
      <c r="F64" s="2446"/>
      <c r="G64" s="2446"/>
      <c r="H64" s="561"/>
      <c r="I64" s="560"/>
      <c r="J64" s="3405"/>
      <c r="K64" s="2484" t="s">
        <v>940</v>
      </c>
      <c r="L64" s="2484">
        <f ca="1">IF(M49&gt;2000,M49*0.5%,IF(AND(M49&gt;1000,M49&lt;=2000),M49*0.6%,IF(AND(M49&gt;500,M49&lt;=1000),M49*0.7%,IF(AND(M49&gt;200,M49&lt;=500),M49*0.8%,IF(AND(M49&gt;100,M49&lt;=200),M49*0.9%,IF(AND(M49&gt;50,M49&lt;=100),M49*1%,IF(AND(M49&gt;20,M49&lt;=50),M49*1.5%,IF(AND(M49&gt;10,M49&lt;=20),M49*2%,IF(AND(M49&gt;1,M49&lt;=10),M49*2.5%)))))))))</f>
        <v>5559.3950000000004</v>
      </c>
      <c r="M64" s="1497">
        <f t="shared" ref="M64:M65" ca="1" si="1">ROUND(L64,1)</f>
        <v>5559.4</v>
      </c>
      <c r="N64" s="1661" t="s">
        <v>941</v>
      </c>
      <c r="Z64" s="2322"/>
      <c r="AI64" s="2323"/>
    </row>
    <row r="65" spans="1:35" ht="14.25" customHeight="1">
      <c r="A65" s="2451" t="s">
        <v>942</v>
      </c>
      <c r="B65" s="1869" t="s">
        <v>943</v>
      </c>
      <c r="C65" s="2487"/>
      <c r="D65" s="1869"/>
      <c r="E65" s="2453"/>
      <c r="F65" s="2446"/>
      <c r="G65" s="2446"/>
      <c r="H65" s="561"/>
      <c r="I65" s="560"/>
      <c r="J65" s="3405"/>
      <c r="K65" s="2484" t="s">
        <v>944</v>
      </c>
      <c r="L65" s="2484">
        <f ca="1">IF(M49&gt;1000,M49*0.1%,IF(AND(M49&gt;500,M49&lt;=1000),M49*0.5%,IF(AND(M49&gt;50,M49&lt;=500),M49*1%,IF(AND(M49&gt;1,M49&lt;=50),M49*1.5%))))</f>
        <v>1111.8790000000001</v>
      </c>
      <c r="M65" s="1497">
        <f t="shared" ca="1" si="1"/>
        <v>1111.9000000000001</v>
      </c>
      <c r="N65" s="1661" t="s">
        <v>941</v>
      </c>
      <c r="Z65" s="2322"/>
      <c r="AI65" s="2323"/>
    </row>
    <row r="66" spans="1:35" ht="14.25" customHeight="1">
      <c r="A66" s="2448" t="s">
        <v>945</v>
      </c>
      <c r="B66" s="2488" t="s">
        <v>946</v>
      </c>
      <c r="C66" s="2489"/>
      <c r="D66" s="2488" t="s">
        <v>124</v>
      </c>
      <c r="E66" s="2490" t="s">
        <v>947</v>
      </c>
      <c r="F66" s="2446"/>
      <c r="G66" s="2446"/>
      <c r="H66" s="561"/>
      <c r="I66" s="560"/>
      <c r="J66" s="3405"/>
      <c r="K66" s="2484" t="s">
        <v>948</v>
      </c>
      <c r="L66" s="2484">
        <f ca="1">M49*0.5%</f>
        <v>5559.3950000000004</v>
      </c>
      <c r="M66" s="1497">
        <f ca="1">IF(L66&gt;0.5,0.5,ROUND(L66,0))</f>
        <v>0.5</v>
      </c>
      <c r="N66" s="1661" t="s">
        <v>949</v>
      </c>
      <c r="Z66" s="2322"/>
      <c r="AI66" s="2323"/>
    </row>
    <row r="67" spans="1:35" ht="14.25" customHeight="1">
      <c r="A67" s="2448" t="s">
        <v>950</v>
      </c>
      <c r="B67" s="2488" t="s">
        <v>951</v>
      </c>
      <c r="C67" s="2491">
        <f ca="1">C63-C66</f>
        <v>1058932</v>
      </c>
      <c r="D67" s="1869" t="s">
        <v>124</v>
      </c>
      <c r="E67" s="2453"/>
      <c r="F67" s="2446"/>
      <c r="G67" s="2446"/>
      <c r="H67" s="561"/>
      <c r="I67" s="560"/>
      <c r="J67" s="3405"/>
      <c r="K67" s="2484" t="s">
        <v>952</v>
      </c>
      <c r="L67" s="2484">
        <f ca="1">IF(M49&gt;=10000,(8.25+(M49-10000)*0.01%),IF(AND(M49&gt;=8000,M49&lt;10000),(7.85+(M49-8000)*0.02%),IF(AND(M49&gt;=5000,M49&lt;8000),(6.65+(M49-5000)*0.04%),IF(AND(M49&gt;=2000,M49&lt;5000),(4.25+(PM49-2000)*0.08%),IF(AND(M49&gt;=1000,M49&lt;2000),(2.75+(M49-1000)*0.15%),IF(AND(M49&gt;=100,M49&lt;1000),(0.5+(M49-100)*0.25%),IF(AND(M49&gt;0,M49&lt;100),M49*0.5%)))))))</f>
        <v>118.4379</v>
      </c>
      <c r="M67" s="1497">
        <f ca="1">ROUND(L67*0.9,1)</f>
        <v>106.6</v>
      </c>
      <c r="N67" s="2485"/>
      <c r="Z67" s="2322"/>
      <c r="AI67" s="2323"/>
    </row>
    <row r="68" spans="1:35" ht="14.25" customHeight="1">
      <c r="A68" s="2492" t="s">
        <v>953</v>
      </c>
      <c r="B68" s="2493" t="s">
        <v>954</v>
      </c>
      <c r="C68" s="2494">
        <f ca="1">IF(C67&lt;=0,0,ROUND(C67*D68,0))</f>
        <v>58241</v>
      </c>
      <c r="D68" s="2116">
        <f>'数据-取费表'!B41</f>
        <v>5.5000000000000007E-2</v>
      </c>
      <c r="E68" s="2495"/>
      <c r="F68" s="2446"/>
      <c r="G68" s="2446"/>
      <c r="H68" s="561"/>
      <c r="I68" s="560"/>
      <c r="J68" s="3405"/>
      <c r="K68" s="2484" t="s">
        <v>955</v>
      </c>
      <c r="L68" s="2484">
        <f ca="1">IF(M49&gt;10000,M49*0.5%,IF(AND(M49&gt;5000,M49&lt;=10000),M49*1%,IF(AND(M49&gt;1000,M49&lt;=5000),M49*2%,IF(AND(M49&gt;200,M49&lt;=1000),M49*3%,M49*5%))))</f>
        <v>5559.3950000000004</v>
      </c>
      <c r="M68" s="1497">
        <f ca="1">ROUND(L68,1)</f>
        <v>5559.4</v>
      </c>
      <c r="N68" s="2485"/>
      <c r="Z68" s="2322"/>
      <c r="AI68" s="2323"/>
    </row>
    <row r="69" spans="1:35" ht="16.5" customHeight="1">
      <c r="A69" s="2496"/>
      <c r="B69" s="2497"/>
      <c r="C69" s="2498"/>
      <c r="D69" s="2043"/>
      <c r="E69" s="2499"/>
      <c r="F69" s="2445"/>
      <c r="G69" s="2445"/>
      <c r="H69" s="2406"/>
      <c r="I69" s="1640"/>
      <c r="J69" s="3405"/>
      <c r="K69" s="2484" t="s">
        <v>956</v>
      </c>
      <c r="L69" s="2484"/>
      <c r="M69" s="1497">
        <f ca="1">ROUND(SUM(M63:M68),0)</f>
        <v>17897</v>
      </c>
      <c r="N69" s="2559">
        <f ca="1">M69/M49</f>
        <v>1.6096175932812835E-2</v>
      </c>
      <c r="Z69" s="2322"/>
      <c r="AI69" s="2323"/>
    </row>
    <row r="70" spans="1:35" s="498" customFormat="1" ht="14.25">
      <c r="A70" s="3443" t="s">
        <v>957</v>
      </c>
      <c r="B70" s="3444"/>
      <c r="C70" s="3444"/>
      <c r="D70" s="3444"/>
      <c r="E70" s="3444"/>
      <c r="F70" s="3444"/>
      <c r="G70" s="3444"/>
      <c r="H70" s="3444"/>
      <c r="I70" s="2560"/>
      <c r="J70" s="1141"/>
      <c r="K70" s="1141"/>
      <c r="L70" s="1141"/>
      <c r="M70" s="1141"/>
      <c r="N70" s="2561"/>
      <c r="O70" s="2561"/>
      <c r="P70" s="2561"/>
      <c r="Q70" s="2561"/>
      <c r="R70" s="2561"/>
      <c r="S70" s="2561"/>
      <c r="T70" s="2561"/>
      <c r="U70" s="2561"/>
      <c r="V70" s="2561"/>
      <c r="W70" s="2561"/>
      <c r="X70" s="2561"/>
      <c r="Y70" s="2561"/>
      <c r="Z70" s="2561"/>
      <c r="AA70" s="2567"/>
      <c r="AB70" s="2567"/>
      <c r="AC70" s="2567"/>
      <c r="AD70" s="2567"/>
      <c r="AE70" s="2567"/>
      <c r="AF70" s="2567"/>
      <c r="AG70" s="2567"/>
      <c r="AH70" s="2567"/>
      <c r="AI70" s="2567"/>
    </row>
    <row r="71" spans="1:35" s="498" customFormat="1" ht="14.25">
      <c r="A71" s="3419" t="s">
        <v>932</v>
      </c>
      <c r="B71" s="3420"/>
      <c r="C71" s="1887"/>
      <c r="D71" s="1887" t="s">
        <v>933</v>
      </c>
      <c r="E71" s="2500" t="s">
        <v>887</v>
      </c>
      <c r="F71" s="2501"/>
      <c r="G71" s="2501"/>
      <c r="H71" s="2502"/>
      <c r="I71" s="2562"/>
      <c r="J71" s="1141"/>
      <c r="K71" s="1141"/>
      <c r="L71" s="1141"/>
      <c r="M71" s="1141"/>
      <c r="N71" s="2561"/>
      <c r="O71" s="2561"/>
      <c r="P71" s="2561"/>
      <c r="Q71" s="2561"/>
      <c r="R71" s="2561"/>
      <c r="S71" s="2561"/>
      <c r="T71" s="2561"/>
      <c r="U71" s="2561"/>
      <c r="V71" s="2561"/>
      <c r="W71" s="2561"/>
      <c r="X71" s="2561"/>
      <c r="Y71" s="2561"/>
      <c r="Z71" s="2561"/>
      <c r="AA71" s="2567"/>
      <c r="AB71" s="2567"/>
      <c r="AC71" s="2567"/>
      <c r="AD71" s="2567"/>
      <c r="AE71" s="2567"/>
      <c r="AF71" s="2567"/>
      <c r="AG71" s="2567"/>
      <c r="AH71" s="2567"/>
      <c r="AI71" s="2567"/>
    </row>
    <row r="72" spans="1:35" s="498" customFormat="1" ht="14.25">
      <c r="A72" s="2448" t="s">
        <v>934</v>
      </c>
      <c r="B72" s="2488" t="s">
        <v>958</v>
      </c>
      <c r="C72" s="2491">
        <f ca="1">ROUND(D45/(1+'数据-取费表'!C42),0)</f>
        <v>1058932</v>
      </c>
      <c r="D72" s="1869" t="s">
        <v>124</v>
      </c>
      <c r="E72" s="1528"/>
      <c r="F72" s="1529"/>
      <c r="G72" s="1529"/>
      <c r="H72" s="2503"/>
      <c r="I72" s="2562"/>
      <c r="J72" s="1141"/>
      <c r="K72" s="1141"/>
      <c r="L72" s="1141"/>
      <c r="M72" s="1141"/>
      <c r="N72" s="2561"/>
      <c r="O72" s="2561"/>
      <c r="P72" s="2561"/>
      <c r="Q72" s="2561"/>
      <c r="R72" s="2561"/>
      <c r="S72" s="2561"/>
      <c r="T72" s="2561"/>
      <c r="U72" s="2561"/>
      <c r="V72" s="2561"/>
      <c r="W72" s="2561"/>
      <c r="X72" s="2561"/>
      <c r="Y72" s="2561"/>
      <c r="Z72" s="2561"/>
      <c r="AA72" s="2567"/>
      <c r="AB72" s="2567"/>
      <c r="AC72" s="2567"/>
      <c r="AD72" s="2567"/>
      <c r="AE72" s="2567"/>
      <c r="AF72" s="2567"/>
      <c r="AG72" s="2567"/>
      <c r="AH72" s="2567"/>
      <c r="AI72" s="2567"/>
    </row>
    <row r="73" spans="1:35" s="498" customFormat="1" ht="14.25">
      <c r="A73" s="2448" t="s">
        <v>945</v>
      </c>
      <c r="B73" s="2418" t="s">
        <v>959</v>
      </c>
      <c r="C73" s="2491">
        <f ca="1">C74+C78</f>
        <v>5295</v>
      </c>
      <c r="D73" s="1869" t="s">
        <v>124</v>
      </c>
      <c r="E73" s="1528"/>
      <c r="F73" s="1529"/>
      <c r="G73" s="1529"/>
      <c r="H73" s="2503"/>
      <c r="I73" s="2562"/>
      <c r="J73" s="2561"/>
      <c r="K73" s="2561"/>
      <c r="L73" s="2561"/>
      <c r="M73" s="2561"/>
      <c r="N73" s="2561"/>
      <c r="O73" s="2561"/>
      <c r="P73" s="2561"/>
      <c r="Q73" s="2561"/>
      <c r="R73" s="2561"/>
      <c r="S73" s="2561"/>
      <c r="T73" s="2561"/>
      <c r="U73" s="2561"/>
      <c r="V73" s="2561"/>
      <c r="W73" s="2561"/>
      <c r="X73" s="2561"/>
      <c r="Y73" s="2561"/>
      <c r="Z73" s="2561"/>
      <c r="AA73" s="2567"/>
      <c r="AB73" s="2567"/>
      <c r="AC73" s="2567"/>
      <c r="AD73" s="2567"/>
      <c r="AE73" s="2567"/>
      <c r="AF73" s="2567"/>
      <c r="AG73" s="2567"/>
      <c r="AH73" s="2567"/>
      <c r="AI73" s="2567"/>
    </row>
    <row r="74" spans="1:35" s="498" customFormat="1" ht="24">
      <c r="A74" s="2451" t="s">
        <v>938</v>
      </c>
      <c r="B74" s="1869" t="s">
        <v>960</v>
      </c>
      <c r="C74" s="1869">
        <f>ROUND(IF(G77="2016年5月1日后购买",C75/(1+'数据-取费表'!C42)+C76+C77,C75+C76+C77),0)</f>
        <v>0</v>
      </c>
      <c r="D74" s="1869" t="s">
        <v>124</v>
      </c>
      <c r="E74" s="1528"/>
      <c r="F74" s="1529"/>
      <c r="G74" s="1529"/>
      <c r="H74" s="2503"/>
      <c r="I74" s="2562"/>
      <c r="J74" s="2561"/>
      <c r="K74" s="2561"/>
      <c r="L74" s="2561"/>
      <c r="M74" s="2561"/>
      <c r="N74" s="2561"/>
      <c r="O74" s="2561"/>
      <c r="P74" s="2561"/>
      <c r="Q74" s="2561"/>
      <c r="R74" s="2561"/>
      <c r="S74" s="2561"/>
      <c r="T74" s="2561"/>
      <c r="U74" s="2561"/>
      <c r="V74" s="2561"/>
      <c r="W74" s="2561"/>
      <c r="X74" s="2561"/>
      <c r="Y74" s="2561"/>
      <c r="Z74" s="2561"/>
      <c r="AA74" s="2567"/>
      <c r="AB74" s="2567"/>
      <c r="AC74" s="2567"/>
      <c r="AD74" s="2567"/>
      <c r="AE74" s="2567"/>
      <c r="AF74" s="2567"/>
      <c r="AG74" s="2567"/>
      <c r="AH74" s="2567"/>
      <c r="AI74" s="2567"/>
    </row>
    <row r="75" spans="1:35" s="498" customFormat="1" ht="14.25">
      <c r="A75" s="2451" t="s">
        <v>961</v>
      </c>
      <c r="B75" s="1869" t="s">
        <v>962</v>
      </c>
      <c r="C75" s="1937"/>
      <c r="D75" s="1869" t="s">
        <v>124</v>
      </c>
      <c r="E75" s="2504" t="s">
        <v>963</v>
      </c>
      <c r="F75" s="2505"/>
      <c r="G75" s="2504" t="s">
        <v>964</v>
      </c>
      <c r="H75" s="2506"/>
      <c r="I75" s="2133"/>
      <c r="J75" s="2561"/>
      <c r="K75" s="2561"/>
      <c r="L75" s="2561"/>
      <c r="M75" s="2561"/>
      <c r="N75" s="2561"/>
      <c r="O75" s="2561"/>
      <c r="P75" s="2561"/>
      <c r="Q75" s="2561"/>
      <c r="R75" s="2561"/>
      <c r="S75" s="2561"/>
      <c r="T75" s="2561"/>
      <c r="U75" s="2561"/>
      <c r="V75" s="2561"/>
      <c r="W75" s="2561"/>
      <c r="X75" s="2561"/>
      <c r="Y75" s="2561"/>
      <c r="Z75" s="2561"/>
      <c r="AA75" s="2567"/>
      <c r="AB75" s="2567"/>
      <c r="AC75" s="2567"/>
      <c r="AD75" s="2567"/>
      <c r="AE75" s="2567"/>
      <c r="AF75" s="2567"/>
      <c r="AG75" s="2567"/>
      <c r="AH75" s="2567"/>
      <c r="AI75" s="2567"/>
    </row>
    <row r="76" spans="1:35" s="498" customFormat="1" ht="24.75" customHeight="1">
      <c r="A76" s="2451" t="s">
        <v>965</v>
      </c>
      <c r="B76" s="2507" t="s">
        <v>966</v>
      </c>
      <c r="C76" s="1869">
        <f>IF(F75="购房发票",ROUND(C75*H75*D76,0),0)</f>
        <v>0</v>
      </c>
      <c r="D76" s="2508">
        <v>0.05</v>
      </c>
      <c r="E76" s="3407" t="s">
        <v>967</v>
      </c>
      <c r="F76" s="3404"/>
      <c r="G76" s="3404"/>
      <c r="H76" s="3445"/>
      <c r="I76" s="2562"/>
      <c r="J76" s="2561"/>
      <c r="K76" s="2561"/>
      <c r="L76" s="2561"/>
      <c r="M76" s="2561"/>
      <c r="N76" s="2561"/>
      <c r="O76" s="2561"/>
      <c r="P76" s="2561"/>
      <c r="Q76" s="2561"/>
      <c r="R76" s="2561"/>
      <c r="S76" s="2561"/>
      <c r="T76" s="2561"/>
      <c r="U76" s="2561"/>
      <c r="V76" s="2561"/>
      <c r="W76" s="2561"/>
      <c r="X76" s="2561"/>
      <c r="Y76" s="2561"/>
      <c r="Z76" s="2561"/>
      <c r="AA76" s="2567"/>
      <c r="AB76" s="2567"/>
      <c r="AC76" s="2567"/>
      <c r="AD76" s="2567"/>
      <c r="AE76" s="2567"/>
      <c r="AF76" s="2567"/>
      <c r="AG76" s="2567"/>
      <c r="AH76" s="2567"/>
      <c r="AI76" s="2567"/>
    </row>
    <row r="77" spans="1:35" s="498" customFormat="1" ht="24.75" customHeight="1">
      <c r="A77" s="2451" t="s">
        <v>968</v>
      </c>
      <c r="B77" s="1869" t="s">
        <v>969</v>
      </c>
      <c r="C77" s="1869">
        <f>ROUND(IF(G77="个人住宅",0,IF(G77="2016年5月1日前购买",C75*D77,C75*D77/(1+'数据-取费表'!C42))),0)</f>
        <v>0</v>
      </c>
      <c r="D77" s="2510">
        <f>'数据-取费表'!B48+'数据-取费表'!B49</f>
        <v>3.0499999999999999E-2</v>
      </c>
      <c r="E77" s="1647" t="s">
        <v>970</v>
      </c>
      <c r="F77" s="2511"/>
      <c r="G77" s="2512"/>
      <c r="H77" s="2509" t="str">
        <f>IF(G77="个人买卖住房","免征印花税"," ")</f>
        <v xml:space="preserve"> </v>
      </c>
      <c r="I77" s="2562"/>
      <c r="J77" s="2561"/>
      <c r="K77" s="2561"/>
      <c r="L77" s="2561"/>
      <c r="M77" s="2561"/>
      <c r="N77" s="2561"/>
      <c r="O77" s="2561"/>
      <c r="P77" s="2561"/>
      <c r="Q77" s="2561"/>
      <c r="R77" s="2561"/>
      <c r="S77" s="2561"/>
      <c r="T77" s="2561"/>
      <c r="U77" s="2561"/>
      <c r="V77" s="2561"/>
      <c r="W77" s="2561"/>
      <c r="X77" s="2561"/>
      <c r="Y77" s="2561"/>
      <c r="Z77" s="2561"/>
      <c r="AA77" s="2567"/>
      <c r="AB77" s="2567"/>
      <c r="AC77" s="2567"/>
      <c r="AD77" s="2567"/>
      <c r="AE77" s="2567"/>
      <c r="AF77" s="2567"/>
      <c r="AG77" s="2567"/>
      <c r="AH77" s="2567"/>
      <c r="AI77" s="2567"/>
    </row>
    <row r="78" spans="1:35" s="498" customFormat="1" ht="24.75" customHeight="1">
      <c r="A78" s="2451" t="s">
        <v>942</v>
      </c>
      <c r="B78" s="1869" t="s">
        <v>971</v>
      </c>
      <c r="C78" s="2513">
        <f ca="1">ROUND(D45*D78/(1+'数据-取费表'!C42),0)</f>
        <v>5295</v>
      </c>
      <c r="D78" s="2514">
        <f>'数据-取费表'!B43</f>
        <v>5.000000000000001E-3</v>
      </c>
      <c r="E78" s="3446" t="s">
        <v>972</v>
      </c>
      <c r="F78" s="3447"/>
      <c r="G78" s="3447"/>
      <c r="H78" s="3448"/>
      <c r="I78" s="2563"/>
      <c r="J78" s="2561"/>
      <c r="K78" s="2561"/>
      <c r="L78" s="2561"/>
      <c r="M78" s="2561"/>
      <c r="N78" s="2561"/>
      <c r="O78" s="2561"/>
      <c r="P78" s="2561"/>
      <c r="Q78" s="2561"/>
      <c r="R78" s="2561"/>
      <c r="S78" s="2561"/>
      <c r="T78" s="2561"/>
      <c r="U78" s="2561"/>
      <c r="V78" s="2561"/>
      <c r="W78" s="2561"/>
      <c r="X78" s="2561"/>
      <c r="Y78" s="2561"/>
      <c r="Z78" s="2561"/>
      <c r="AA78" s="2567"/>
      <c r="AB78" s="2567"/>
      <c r="AC78" s="2567"/>
      <c r="AD78" s="2567"/>
      <c r="AE78" s="2567"/>
      <c r="AF78" s="2567"/>
      <c r="AG78" s="2567"/>
      <c r="AH78" s="2567"/>
      <c r="AI78" s="2567"/>
    </row>
    <row r="79" spans="1:35" s="498" customFormat="1" ht="14.25">
      <c r="A79" s="2448" t="s">
        <v>950</v>
      </c>
      <c r="B79" s="2488" t="s">
        <v>973</v>
      </c>
      <c r="C79" s="2491">
        <f ca="1">C72-C73</f>
        <v>1053637</v>
      </c>
      <c r="D79" s="1869" t="s">
        <v>124</v>
      </c>
      <c r="E79" s="1528"/>
      <c r="F79" s="1529"/>
      <c r="G79" s="1529"/>
      <c r="H79" s="2503"/>
      <c r="I79" s="2562"/>
      <c r="J79" s="2561"/>
      <c r="K79" s="2561"/>
      <c r="L79" s="2561"/>
      <c r="M79" s="2561"/>
      <c r="N79" s="2561"/>
      <c r="O79" s="2561"/>
      <c r="P79" s="2561"/>
      <c r="Q79" s="2561"/>
      <c r="R79" s="2561"/>
      <c r="S79" s="2561"/>
      <c r="T79" s="2561"/>
      <c r="U79" s="2561"/>
      <c r="V79" s="2561"/>
      <c r="W79" s="2561"/>
      <c r="X79" s="2561"/>
      <c r="Y79" s="2561"/>
      <c r="Z79" s="2561"/>
      <c r="AA79" s="2567"/>
      <c r="AB79" s="2567"/>
      <c r="AC79" s="2567"/>
      <c r="AD79" s="2567"/>
      <c r="AE79" s="2567"/>
      <c r="AF79" s="2567"/>
      <c r="AG79" s="2567"/>
      <c r="AH79" s="2567"/>
      <c r="AI79" s="2567"/>
    </row>
    <row r="80" spans="1:35" s="498" customFormat="1" ht="24">
      <c r="A80" s="2448" t="s">
        <v>953</v>
      </c>
      <c r="B80" s="2488" t="s">
        <v>974</v>
      </c>
      <c r="C80" s="2518">
        <f ca="1">IF(C79&lt;=0,0,C79/C73)</f>
        <v>198.98715769593957</v>
      </c>
      <c r="D80" s="1869" t="s">
        <v>124</v>
      </c>
      <c r="E80" s="1647" t="str">
        <f ca="1">IF(C80&gt;=200%,"增值额超过扣除项目金额200%",IF(C80&gt;=100%,"增值额超过扣除项目金额100%，未超过200%",IF(C80&gt;=50%,"增值额超过扣除项目金额50%，未超过100%",IF(C80&lt;50%,"增值额未超过扣除项目金额50%"))))</f>
        <v>增值额超过扣除项目金额200%</v>
      </c>
      <c r="F80" s="1529"/>
      <c r="G80" s="1529"/>
      <c r="H80" s="2503"/>
      <c r="I80" s="2562"/>
      <c r="J80" s="2561"/>
      <c r="K80" s="2561"/>
      <c r="L80" s="2561"/>
      <c r="M80" s="2561"/>
      <c r="N80" s="2561"/>
      <c r="O80" s="2561"/>
      <c r="P80" s="2561"/>
      <c r="Q80" s="2561"/>
      <c r="R80" s="2561"/>
      <c r="S80" s="2561"/>
      <c r="T80" s="2561"/>
      <c r="U80" s="2561"/>
      <c r="V80" s="2561"/>
      <c r="W80" s="2561"/>
      <c r="X80" s="2561"/>
      <c r="Y80" s="2561"/>
      <c r="Z80" s="2561"/>
      <c r="AA80" s="2567"/>
      <c r="AB80" s="2567"/>
      <c r="AC80" s="2567"/>
      <c r="AD80" s="2567"/>
      <c r="AE80" s="2567"/>
      <c r="AF80" s="2567"/>
      <c r="AG80" s="2567"/>
      <c r="AH80" s="2567"/>
      <c r="AI80" s="2567"/>
    </row>
    <row r="81" spans="1:35" s="498" customFormat="1" ht="24">
      <c r="A81" s="2492" t="s">
        <v>975</v>
      </c>
      <c r="B81" s="2493" t="s">
        <v>976</v>
      </c>
      <c r="C81" s="2519">
        <f ca="1">ROUND(IF(C79&lt;=0,0,IF(C80&gt;=200%,C79*60%-C73*35%,IF(C80&gt;=100%,C79*50%-C73*15%,IF(C80&gt;=50%,C79*40%-C73*5%,IF(C80&lt;50%,C79*30%,0))))),0)</f>
        <v>630329</v>
      </c>
      <c r="D81" s="2123" t="s">
        <v>124</v>
      </c>
      <c r="E81" s="25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1"/>
      <c r="G81" s="2521"/>
      <c r="H81" s="2522"/>
      <c r="I81" s="2562"/>
      <c r="J81" s="2561"/>
      <c r="K81" s="2561"/>
      <c r="L81" s="2561"/>
      <c r="M81" s="2561"/>
      <c r="N81" s="2561"/>
      <c r="O81" s="2561"/>
      <c r="P81" s="2561"/>
      <c r="Q81" s="2561"/>
      <c r="R81" s="2561"/>
      <c r="S81" s="2561"/>
      <c r="T81" s="2561"/>
      <c r="U81" s="2561"/>
      <c r="V81" s="2561"/>
      <c r="W81" s="2561"/>
      <c r="X81" s="2561"/>
      <c r="Y81" s="2561"/>
      <c r="Z81" s="2561"/>
      <c r="AA81" s="2567"/>
      <c r="AB81" s="2567"/>
      <c r="AC81" s="2567"/>
      <c r="AD81" s="2567"/>
      <c r="AE81" s="2567"/>
      <c r="AF81" s="2567"/>
      <c r="AG81" s="2567"/>
      <c r="AH81" s="2567"/>
      <c r="AI81" s="2567"/>
    </row>
    <row r="82" spans="1:35" s="498" customFormat="1" ht="7.5" customHeight="1">
      <c r="A82" s="500"/>
      <c r="B82" s="2523"/>
      <c r="C82" s="500"/>
      <c r="D82" s="500"/>
      <c r="E82" s="2523"/>
      <c r="F82" s="2523"/>
      <c r="G82" s="2523"/>
      <c r="H82" s="2524"/>
      <c r="I82" s="2563"/>
      <c r="J82" s="2561"/>
      <c r="K82" s="2561"/>
      <c r="L82" s="2561"/>
      <c r="M82" s="2561"/>
      <c r="N82" s="2561"/>
      <c r="O82" s="2561"/>
      <c r="P82" s="2561"/>
      <c r="Q82" s="2561"/>
      <c r="R82" s="2561"/>
      <c r="S82" s="2561"/>
      <c r="T82" s="2561"/>
      <c r="U82" s="2561"/>
      <c r="V82" s="2561"/>
      <c r="W82" s="2561"/>
      <c r="X82" s="2561"/>
      <c r="Y82" s="2561"/>
      <c r="Z82" s="2561"/>
      <c r="AA82" s="2567"/>
      <c r="AB82" s="2567"/>
      <c r="AC82" s="2567"/>
      <c r="AD82" s="2567"/>
      <c r="AE82" s="2567"/>
      <c r="AF82" s="2567"/>
      <c r="AG82" s="2567"/>
      <c r="AH82" s="2567"/>
      <c r="AI82" s="2567"/>
    </row>
    <row r="83" spans="1:35" s="498" customFormat="1" ht="14.25">
      <c r="A83" s="3443" t="s">
        <v>977</v>
      </c>
      <c r="B83" s="3444"/>
      <c r="C83" s="3444"/>
      <c r="D83" s="3444"/>
      <c r="E83" s="3444"/>
      <c r="F83" s="3444"/>
      <c r="G83" s="3444"/>
      <c r="H83" s="3444"/>
      <c r="I83" s="2133"/>
      <c r="J83" s="2561"/>
      <c r="K83" s="2561"/>
      <c r="L83" s="2561"/>
      <c r="M83" s="2561"/>
      <c r="N83" s="2561"/>
      <c r="O83" s="2561"/>
      <c r="P83" s="2561"/>
      <c r="Q83" s="2561"/>
      <c r="R83" s="2561"/>
      <c r="S83" s="2561"/>
      <c r="T83" s="2561"/>
      <c r="U83" s="2561"/>
      <c r="V83" s="2561"/>
      <c r="W83" s="2561"/>
      <c r="X83" s="2561"/>
      <c r="Y83" s="2561"/>
      <c r="Z83" s="2561"/>
      <c r="AA83" s="2567"/>
      <c r="AB83" s="2567"/>
      <c r="AC83" s="2567"/>
      <c r="AD83" s="2567"/>
      <c r="AE83" s="2567"/>
      <c r="AF83" s="2567"/>
      <c r="AG83" s="2567"/>
      <c r="AH83" s="2567"/>
      <c r="AI83" s="2567"/>
    </row>
    <row r="84" spans="1:35" s="498" customFormat="1" ht="14.25">
      <c r="A84" s="3419" t="s">
        <v>932</v>
      </c>
      <c r="B84" s="3420"/>
      <c r="C84" s="1887"/>
      <c r="D84" s="1887" t="s">
        <v>933</v>
      </c>
      <c r="E84" s="2500" t="s">
        <v>887</v>
      </c>
      <c r="F84" s="2501"/>
      <c r="G84" s="2501"/>
      <c r="H84" s="2525"/>
      <c r="I84" s="2133"/>
      <c r="J84" s="2561"/>
      <c r="K84" s="2561"/>
      <c r="L84" s="2561"/>
      <c r="M84" s="2561"/>
      <c r="N84" s="2561"/>
      <c r="O84" s="2561"/>
      <c r="P84" s="2561"/>
      <c r="Q84" s="2561"/>
      <c r="R84" s="2561"/>
      <c r="S84" s="2561"/>
      <c r="T84" s="2561"/>
      <c r="U84" s="2561"/>
      <c r="V84" s="2561"/>
      <c r="W84" s="2561"/>
      <c r="X84" s="2561"/>
      <c r="Y84" s="2561"/>
      <c r="Z84" s="2561"/>
      <c r="AA84" s="2567"/>
      <c r="AB84" s="2567"/>
      <c r="AC84" s="2567"/>
      <c r="AD84" s="2567"/>
      <c r="AE84" s="2567"/>
      <c r="AF84" s="2567"/>
      <c r="AG84" s="2567"/>
      <c r="AH84" s="2567"/>
      <c r="AI84" s="2567"/>
    </row>
    <row r="85" spans="1:35" s="498" customFormat="1" ht="14.25">
      <c r="A85" s="2448" t="s">
        <v>934</v>
      </c>
      <c r="B85" s="2488" t="s">
        <v>958</v>
      </c>
      <c r="C85" s="2491">
        <f ca="1">ROUND(D45/(1+'数据-取费表'!C42),0)</f>
        <v>1058932</v>
      </c>
      <c r="D85" s="1869" t="s">
        <v>124</v>
      </c>
      <c r="E85" s="1528"/>
      <c r="F85" s="1529"/>
      <c r="G85" s="1529"/>
      <c r="H85" s="2526"/>
      <c r="I85" s="2133"/>
      <c r="J85" s="2561"/>
      <c r="K85" s="2561"/>
      <c r="L85" s="2561"/>
      <c r="M85" s="2561"/>
      <c r="N85" s="2561"/>
      <c r="O85" s="2561"/>
      <c r="P85" s="2561"/>
      <c r="Q85" s="2561"/>
      <c r="R85" s="2561"/>
      <c r="S85" s="2561"/>
      <c r="T85" s="2561"/>
      <c r="U85" s="2561"/>
      <c r="V85" s="2561"/>
      <c r="W85" s="2561"/>
      <c r="X85" s="2561"/>
      <c r="Y85" s="2561"/>
      <c r="Z85" s="2561"/>
      <c r="AA85" s="2567"/>
      <c r="AB85" s="2567"/>
      <c r="AC85" s="2567"/>
      <c r="AD85" s="2567"/>
      <c r="AE85" s="2567"/>
      <c r="AF85" s="2567"/>
      <c r="AG85" s="2567"/>
      <c r="AH85" s="2567"/>
      <c r="AI85" s="2567"/>
    </row>
    <row r="86" spans="1:35" s="498" customFormat="1" ht="14.25">
      <c r="A86" s="2448" t="s">
        <v>945</v>
      </c>
      <c r="B86" s="2418" t="s">
        <v>959</v>
      </c>
      <c r="C86" s="2491">
        <f ca="1">IF(H88="仅含出让金",C87+C90+C91+C92+C93+C94,C87+C91+C92+C93+C94)</f>
        <v>5295</v>
      </c>
      <c r="D86" s="2527"/>
      <c r="E86" s="1528"/>
      <c r="F86" s="1529"/>
      <c r="G86" s="1529"/>
      <c r="H86" s="2526"/>
      <c r="I86" s="2133"/>
      <c r="J86" s="2561"/>
      <c r="K86" s="2561"/>
      <c r="L86" s="2561"/>
      <c r="M86" s="2561"/>
      <c r="N86" s="2561"/>
      <c r="O86" s="2561"/>
      <c r="P86" s="2561"/>
      <c r="Q86" s="2561"/>
      <c r="R86" s="2561"/>
      <c r="S86" s="2561"/>
      <c r="T86" s="2561"/>
      <c r="U86" s="2561"/>
      <c r="V86" s="2561"/>
      <c r="W86" s="2561"/>
      <c r="X86" s="2561"/>
      <c r="Y86" s="2561"/>
      <c r="Z86" s="2561"/>
      <c r="AA86" s="2567"/>
      <c r="AB86" s="2567"/>
      <c r="AC86" s="2567"/>
      <c r="AD86" s="2567"/>
      <c r="AE86" s="2567"/>
      <c r="AF86" s="2567"/>
      <c r="AG86" s="2567"/>
      <c r="AH86" s="2567"/>
      <c r="AI86" s="2567"/>
    </row>
    <row r="87" spans="1:35" s="498" customFormat="1" ht="14.25">
      <c r="A87" s="2451" t="s">
        <v>938</v>
      </c>
      <c r="B87" s="1869" t="s">
        <v>978</v>
      </c>
      <c r="C87" s="2513">
        <f>C88+C89</f>
        <v>0</v>
      </c>
      <c r="D87" s="2514"/>
      <c r="E87" s="2515"/>
      <c r="F87" s="2516"/>
      <c r="G87" s="2516"/>
      <c r="H87" s="2517"/>
      <c r="I87" s="2133"/>
      <c r="J87" s="2561"/>
      <c r="K87" s="2561"/>
      <c r="L87" s="2561"/>
      <c r="M87" s="2561"/>
      <c r="N87" s="2561"/>
      <c r="O87" s="2561"/>
      <c r="P87" s="2561"/>
      <c r="Q87" s="2561"/>
      <c r="R87" s="2561"/>
      <c r="S87" s="2561"/>
      <c r="T87" s="2561"/>
      <c r="U87" s="2561"/>
      <c r="V87" s="2561"/>
      <c r="W87" s="2561"/>
      <c r="X87" s="2561"/>
      <c r="Y87" s="2561"/>
      <c r="Z87" s="2561"/>
      <c r="AA87" s="2567"/>
      <c r="AB87" s="2567"/>
      <c r="AC87" s="2567"/>
      <c r="AD87" s="2567"/>
      <c r="AE87" s="2567"/>
      <c r="AF87" s="2567"/>
      <c r="AG87" s="2567"/>
      <c r="AH87" s="2567"/>
      <c r="AI87" s="2567"/>
    </row>
    <row r="88" spans="1:35" s="498" customFormat="1" ht="14.25">
      <c r="A88" s="2451" t="s">
        <v>961</v>
      </c>
      <c r="B88" s="1869" t="s">
        <v>979</v>
      </c>
      <c r="C88" s="2528"/>
      <c r="D88" s="2514"/>
      <c r="E88" s="2529" t="s">
        <v>980</v>
      </c>
      <c r="F88" s="2516"/>
      <c r="G88" s="2530" t="s">
        <v>981</v>
      </c>
      <c r="H88" s="2531"/>
      <c r="I88" s="2133"/>
      <c r="J88" s="2564" t="s">
        <v>982</v>
      </c>
      <c r="K88" s="2561"/>
      <c r="L88" s="2561"/>
      <c r="M88" s="2561"/>
      <c r="N88" s="2561"/>
      <c r="O88" s="2561"/>
      <c r="P88" s="2561"/>
      <c r="Q88" s="2561"/>
      <c r="R88" s="2561"/>
      <c r="S88" s="2561"/>
      <c r="T88" s="2561"/>
      <c r="U88" s="2561"/>
      <c r="V88" s="2561"/>
      <c r="W88" s="2561"/>
      <c r="X88" s="2561"/>
      <c r="Y88" s="2561"/>
      <c r="Z88" s="2561"/>
      <c r="AA88" s="2567"/>
      <c r="AB88" s="2567"/>
      <c r="AC88" s="2567"/>
      <c r="AD88" s="2567"/>
      <c r="AE88" s="2567"/>
      <c r="AF88" s="2567"/>
      <c r="AG88" s="2567"/>
      <c r="AH88" s="2567"/>
      <c r="AI88" s="2567"/>
    </row>
    <row r="89" spans="1:35" s="498" customFormat="1" ht="14.25">
      <c r="A89" s="2451" t="s">
        <v>965</v>
      </c>
      <c r="B89" s="1869" t="s">
        <v>969</v>
      </c>
      <c r="C89" s="2513">
        <f>ROUND(C88*D89,0)</f>
        <v>0</v>
      </c>
      <c r="D89" s="2514">
        <f>'数据-取费表'!B48+'数据-取费表'!B49</f>
        <v>3.0499999999999999E-2</v>
      </c>
      <c r="E89" s="2529" t="s">
        <v>983</v>
      </c>
      <c r="F89" s="2516"/>
      <c r="G89" s="2516"/>
      <c r="H89" s="2517"/>
      <c r="I89" s="2133"/>
      <c r="J89" s="2561"/>
      <c r="K89" s="2561"/>
      <c r="L89" s="2561"/>
      <c r="M89" s="2561"/>
      <c r="N89" s="2561"/>
      <c r="O89" s="2561"/>
      <c r="P89" s="2561"/>
      <c r="Q89" s="2561"/>
      <c r="R89" s="2561"/>
      <c r="S89" s="2561"/>
      <c r="T89" s="2561"/>
      <c r="U89" s="2561"/>
      <c r="V89" s="2561"/>
      <c r="W89" s="2561"/>
      <c r="X89" s="2561"/>
      <c r="Y89" s="2561"/>
      <c r="Z89" s="2561"/>
      <c r="AA89" s="2567"/>
      <c r="AB89" s="2567"/>
      <c r="AC89" s="2567"/>
      <c r="AD89" s="2567"/>
      <c r="AE89" s="2567"/>
      <c r="AF89" s="2567"/>
      <c r="AG89" s="2567"/>
      <c r="AH89" s="2567"/>
      <c r="AI89" s="2567"/>
    </row>
    <row r="90" spans="1:35" s="498" customFormat="1" ht="14.25">
      <c r="A90" s="2451" t="s">
        <v>942</v>
      </c>
      <c r="B90" s="1869" t="s">
        <v>984</v>
      </c>
      <c r="C90" s="2528"/>
      <c r="D90" s="2514"/>
      <c r="E90" s="2529" t="str">
        <f>IF(H88="-","土地取得成本中已包含该笔费用"," ")</f>
        <v xml:space="preserve"> </v>
      </c>
      <c r="F90" s="2516"/>
      <c r="G90" s="3455" t="s">
        <v>985</v>
      </c>
      <c r="H90" s="3456"/>
      <c r="I90" s="2133"/>
      <c r="J90" s="2564" t="s">
        <v>986</v>
      </c>
      <c r="K90" s="2561"/>
      <c r="L90" s="2561"/>
      <c r="M90" s="2561"/>
      <c r="N90" s="2561"/>
      <c r="O90" s="2561"/>
      <c r="P90" s="2561"/>
      <c r="Q90" s="2561"/>
      <c r="R90" s="2561"/>
      <c r="S90" s="2561"/>
      <c r="T90" s="2561"/>
      <c r="U90" s="2561"/>
      <c r="V90" s="2561"/>
      <c r="W90" s="2561"/>
      <c r="X90" s="2561"/>
      <c r="Y90" s="2561"/>
      <c r="Z90" s="2561"/>
      <c r="AA90" s="2567"/>
      <c r="AB90" s="2567"/>
      <c r="AC90" s="2567"/>
      <c r="AD90" s="2567"/>
      <c r="AE90" s="2567"/>
      <c r="AF90" s="2567"/>
      <c r="AG90" s="2567"/>
      <c r="AH90" s="2567"/>
      <c r="AI90" s="2567"/>
    </row>
    <row r="91" spans="1:35" s="498" customFormat="1" ht="27.75" customHeight="1">
      <c r="A91" s="2451" t="s">
        <v>987</v>
      </c>
      <c r="B91" s="1869" t="s">
        <v>988</v>
      </c>
      <c r="C91" s="2513">
        <f>IF(H91="——",成本法!C33,I91)</f>
        <v>0</v>
      </c>
      <c r="D91" s="2514"/>
      <c r="E91" s="3446" t="s">
        <v>989</v>
      </c>
      <c r="F91" s="3447"/>
      <c r="G91" s="3447"/>
      <c r="H91" s="2532"/>
      <c r="I91" s="2565"/>
      <c r="J91" s="2561"/>
      <c r="K91" s="2561"/>
      <c r="L91" s="2561"/>
      <c r="M91" s="2561"/>
      <c r="N91" s="2561"/>
      <c r="O91" s="2561"/>
      <c r="P91" s="2561"/>
      <c r="Q91" s="2561"/>
      <c r="R91" s="2561"/>
      <c r="S91" s="2561"/>
      <c r="T91" s="2561"/>
      <c r="U91" s="2561"/>
      <c r="V91" s="2561"/>
      <c r="W91" s="2561"/>
      <c r="X91" s="2561"/>
      <c r="Y91" s="2561"/>
      <c r="Z91" s="2561"/>
      <c r="AA91" s="2567"/>
      <c r="AB91" s="2567"/>
      <c r="AC91" s="2567"/>
      <c r="AD91" s="2567"/>
      <c r="AE91" s="2567"/>
      <c r="AF91" s="2567"/>
      <c r="AG91" s="2567"/>
      <c r="AH91" s="2567"/>
      <c r="AI91" s="2567"/>
    </row>
    <row r="92" spans="1:35" s="498" customFormat="1" ht="25.5" customHeight="1">
      <c r="A92" s="2451" t="s">
        <v>990</v>
      </c>
      <c r="B92" s="1869" t="s">
        <v>991</v>
      </c>
      <c r="C92" s="2513">
        <f>ROUND((C87+C90+C91)*D92,0)</f>
        <v>0</v>
      </c>
      <c r="D92" s="2533"/>
      <c r="E92" s="3446" t="s">
        <v>992</v>
      </c>
      <c r="F92" s="3447"/>
      <c r="G92" s="3447"/>
      <c r="H92" s="3448"/>
      <c r="I92" s="2133"/>
      <c r="J92" s="2566" t="s">
        <v>993</v>
      </c>
      <c r="K92" s="2561"/>
      <c r="L92" s="2561"/>
      <c r="M92" s="2561"/>
      <c r="N92" s="2561"/>
      <c r="O92" s="2561"/>
      <c r="P92" s="2561"/>
      <c r="Q92" s="2561"/>
      <c r="R92" s="2561"/>
      <c r="S92" s="2561"/>
      <c r="T92" s="2561"/>
      <c r="U92" s="2561"/>
      <c r="V92" s="2561"/>
      <c r="W92" s="2561"/>
      <c r="X92" s="2561"/>
      <c r="Y92" s="2561"/>
      <c r="Z92" s="2561"/>
      <c r="AA92" s="2567"/>
      <c r="AB92" s="2567"/>
      <c r="AC92" s="2567"/>
      <c r="AD92" s="2567"/>
      <c r="AE92" s="2567"/>
      <c r="AF92" s="2567"/>
      <c r="AG92" s="2567"/>
      <c r="AH92" s="2567"/>
      <c r="AI92" s="2567"/>
    </row>
    <row r="93" spans="1:35" s="498" customFormat="1" ht="25.5" customHeight="1">
      <c r="A93" s="2451" t="s">
        <v>994</v>
      </c>
      <c r="B93" s="1869" t="s">
        <v>971</v>
      </c>
      <c r="C93" s="2513">
        <f ca="1">ROUND(D45*D93/(1+'数据-取费表'!C42),0)</f>
        <v>5295</v>
      </c>
      <c r="D93" s="2514">
        <f>'数据-取费表'!B43</f>
        <v>5.000000000000001E-3</v>
      </c>
      <c r="E93" s="3446" t="s">
        <v>972</v>
      </c>
      <c r="F93" s="3447"/>
      <c r="G93" s="3447"/>
      <c r="H93" s="3448"/>
      <c r="I93" s="2133"/>
      <c r="J93" s="2561"/>
      <c r="K93" s="2561"/>
      <c r="L93" s="2561"/>
      <c r="M93" s="2561"/>
      <c r="N93" s="2561"/>
      <c r="O93" s="2561"/>
      <c r="P93" s="2561"/>
      <c r="Q93" s="2561"/>
      <c r="R93" s="2561"/>
      <c r="S93" s="2561"/>
      <c r="T93" s="2561"/>
      <c r="U93" s="2561"/>
      <c r="V93" s="2561"/>
      <c r="W93" s="2561"/>
      <c r="X93" s="2561"/>
      <c r="Y93" s="2561"/>
      <c r="Z93" s="2561"/>
      <c r="AA93" s="2567"/>
      <c r="AB93" s="2567"/>
      <c r="AC93" s="2567"/>
      <c r="AD93" s="2567"/>
      <c r="AE93" s="2567"/>
      <c r="AF93" s="2567"/>
      <c r="AG93" s="2567"/>
      <c r="AH93" s="2567"/>
      <c r="AI93" s="2567"/>
    </row>
    <row r="94" spans="1:35" s="498" customFormat="1" ht="36.75" customHeight="1">
      <c r="A94" s="2451" t="s">
        <v>995</v>
      </c>
      <c r="B94" s="1869" t="s">
        <v>996</v>
      </c>
      <c r="C94" s="2528">
        <f>ROUND((C87+C90+C91)*D94,0)</f>
        <v>0</v>
      </c>
      <c r="D94" s="2514">
        <v>0.2</v>
      </c>
      <c r="E94" s="3468" t="s">
        <v>997</v>
      </c>
      <c r="F94" s="3469"/>
      <c r="G94" s="3469"/>
      <c r="H94" s="3470"/>
      <c r="I94" s="2133"/>
      <c r="J94" s="2561"/>
      <c r="K94" s="2561"/>
      <c r="L94" s="2561"/>
      <c r="M94" s="2561"/>
      <c r="N94" s="2561"/>
      <c r="O94" s="2561"/>
      <c r="P94" s="2561"/>
      <c r="Q94" s="2561"/>
      <c r="R94" s="2561"/>
      <c r="S94" s="2561"/>
      <c r="T94" s="2561"/>
      <c r="U94" s="2561"/>
      <c r="V94" s="2561"/>
      <c r="W94" s="2561"/>
      <c r="X94" s="2561"/>
      <c r="Y94" s="2561"/>
      <c r="Z94" s="2561"/>
      <c r="AA94" s="2567"/>
      <c r="AB94" s="2567"/>
      <c r="AC94" s="2567"/>
      <c r="AD94" s="2567"/>
      <c r="AE94" s="2567"/>
      <c r="AF94" s="2567"/>
      <c r="AG94" s="2567"/>
      <c r="AH94" s="2567"/>
      <c r="AI94" s="2567"/>
    </row>
    <row r="95" spans="1:35" s="498" customFormat="1" ht="14.25">
      <c r="A95" s="2448" t="s">
        <v>950</v>
      </c>
      <c r="B95" s="2488" t="s">
        <v>973</v>
      </c>
      <c r="C95" s="2491">
        <f ca="1">ROUND(C85-C86,0)</f>
        <v>1053637</v>
      </c>
      <c r="D95" s="1869" t="s">
        <v>124</v>
      </c>
      <c r="E95" s="1528"/>
      <c r="F95" s="1529"/>
      <c r="G95" s="1529"/>
      <c r="H95" s="2526"/>
      <c r="I95" s="2133"/>
      <c r="J95" s="2561"/>
      <c r="K95" s="2561"/>
      <c r="L95" s="2561"/>
      <c r="M95" s="2561"/>
      <c r="N95" s="2561"/>
      <c r="O95" s="2561"/>
      <c r="P95" s="2561"/>
      <c r="Q95" s="2561"/>
      <c r="R95" s="2561"/>
      <c r="S95" s="2561"/>
      <c r="T95" s="2561"/>
      <c r="U95" s="2561"/>
      <c r="V95" s="2561"/>
      <c r="W95" s="2561"/>
      <c r="X95" s="2561"/>
      <c r="Y95" s="2561"/>
      <c r="Z95" s="2561"/>
      <c r="AA95" s="2567"/>
      <c r="AB95" s="2567"/>
      <c r="AC95" s="2567"/>
      <c r="AD95" s="2567"/>
      <c r="AE95" s="2567"/>
      <c r="AF95" s="2567"/>
      <c r="AG95" s="2567"/>
      <c r="AH95" s="2567"/>
      <c r="AI95" s="2567"/>
    </row>
    <row r="96" spans="1:35" s="498" customFormat="1" ht="24">
      <c r="A96" s="2448" t="s">
        <v>953</v>
      </c>
      <c r="B96" s="2488" t="s">
        <v>974</v>
      </c>
      <c r="C96" s="2518">
        <f ca="1">IF(C95&lt;=0,0,C95/C86)</f>
        <v>198.98715769593957</v>
      </c>
      <c r="D96" s="1869" t="s">
        <v>124</v>
      </c>
      <c r="E96" s="1647" t="str">
        <f ca="1">IF(C96&gt;=200%,"增值额超过扣除项目金额200%",IF(C96&gt;=100%,"增值额超过扣除项目金额100%，未超过200%",IF(C96&gt;=50%,"增值额超过扣除项目金额50%，未超过100%",IF(C96&lt;50%,"增值额未超过扣除项目金额50%"))))</f>
        <v>增值额超过扣除项目金额200%</v>
      </c>
      <c r="F96" s="1529"/>
      <c r="G96" s="1529"/>
      <c r="H96" s="2526"/>
      <c r="I96" s="2133"/>
      <c r="J96" s="2561"/>
      <c r="K96" s="2561"/>
      <c r="L96" s="2561"/>
      <c r="M96" s="2561"/>
      <c r="N96" s="2561"/>
      <c r="O96" s="2561"/>
      <c r="P96" s="2561"/>
      <c r="Q96" s="2561"/>
      <c r="R96" s="2561"/>
      <c r="S96" s="2561"/>
      <c r="T96" s="2561"/>
      <c r="U96" s="2561"/>
      <c r="V96" s="2561"/>
      <c r="W96" s="2561"/>
      <c r="X96" s="2561"/>
      <c r="Y96" s="2561"/>
      <c r="Z96" s="2561"/>
      <c r="AA96" s="2567"/>
      <c r="AB96" s="2567"/>
      <c r="AC96" s="2567"/>
      <c r="AD96" s="2567"/>
      <c r="AE96" s="2567"/>
      <c r="AF96" s="2567"/>
      <c r="AG96" s="2567"/>
      <c r="AH96" s="2567"/>
      <c r="AI96" s="2567"/>
    </row>
    <row r="97" spans="1:35" s="498" customFormat="1" ht="24">
      <c r="A97" s="2492" t="s">
        <v>975</v>
      </c>
      <c r="B97" s="2493" t="s">
        <v>976</v>
      </c>
      <c r="C97" s="2519">
        <f ca="1">ROUND(IF(C95&lt;=0,0,IF(C96&gt;=200%,C95*60%-C86*35%,IF(C96&gt;=100%,C95*50%-C86*15%,IF(C96&gt;=50%,C95*40%-C86*5%,IF(C96&lt;50%,C95*30%,0))))),0)</f>
        <v>630329</v>
      </c>
      <c r="D97" s="2123" t="s">
        <v>124</v>
      </c>
      <c r="E97" s="25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1"/>
      <c r="G97" s="2521"/>
      <c r="H97" s="2534"/>
      <c r="I97" s="2133"/>
      <c r="J97" s="2561"/>
      <c r="K97" s="2561"/>
      <c r="L97" s="2561"/>
      <c r="M97" s="2561"/>
      <c r="N97" s="2561"/>
      <c r="O97" s="2561"/>
      <c r="P97" s="2561"/>
      <c r="Q97" s="2561"/>
      <c r="R97" s="2561"/>
      <c r="S97" s="2561"/>
      <c r="T97" s="2561"/>
      <c r="U97" s="2561"/>
      <c r="V97" s="2561"/>
      <c r="W97" s="2561"/>
      <c r="X97" s="2561"/>
      <c r="Y97" s="2561"/>
      <c r="Z97" s="2561"/>
      <c r="AA97" s="2567"/>
      <c r="AB97" s="2567"/>
      <c r="AC97" s="2567"/>
      <c r="AD97" s="2567"/>
      <c r="AE97" s="2567"/>
      <c r="AF97" s="2567"/>
      <c r="AG97" s="2567"/>
      <c r="AH97" s="2567"/>
      <c r="AI97" s="2567"/>
    </row>
    <row r="98" spans="1:35" ht="21.75" customHeight="1">
      <c r="A98" s="2444"/>
      <c r="B98" s="1640"/>
      <c r="C98" s="1640"/>
      <c r="D98" s="1640"/>
      <c r="E98" s="2445"/>
      <c r="F98" s="2445"/>
      <c r="G98" s="2445"/>
      <c r="H98" s="2406"/>
      <c r="I98" s="560"/>
    </row>
    <row r="99" spans="1:35" ht="21.75" customHeight="1">
      <c r="A99" s="2408" t="s">
        <v>998</v>
      </c>
      <c r="B99" s="1640"/>
      <c r="C99" s="1640"/>
      <c r="D99" s="1640"/>
      <c r="E99" s="2445"/>
      <c r="F99" s="2445"/>
      <c r="G99" s="2445"/>
      <c r="H99" s="2406"/>
      <c r="I99" s="560"/>
    </row>
    <row r="100" spans="1:35" ht="18.75" customHeight="1">
      <c r="A100" s="3371" t="s">
        <v>999</v>
      </c>
      <c r="B100" s="3372"/>
      <c r="C100" s="3372"/>
      <c r="D100" s="3431"/>
      <c r="E100" s="3372" t="s">
        <v>1000</v>
      </c>
      <c r="F100" s="3372"/>
      <c r="G100" s="3372"/>
      <c r="H100" s="3431"/>
      <c r="I100" s="560"/>
    </row>
    <row r="101" spans="1:35" ht="18.75" customHeight="1">
      <c r="A101" s="3432" t="s">
        <v>1001</v>
      </c>
      <c r="B101" s="3433"/>
      <c r="C101" s="2536" t="str">
        <f>C4</f>
        <v>成本法</v>
      </c>
      <c r="D101" s="2537" t="str">
        <f>D4</f>
        <v>收益法</v>
      </c>
      <c r="E101" s="3449" t="s">
        <v>1002</v>
      </c>
      <c r="F101" s="3450"/>
      <c r="G101" s="2539" t="s">
        <v>1003</v>
      </c>
      <c r="H101" s="2540">
        <f ca="1">H118</f>
        <v>1111879</v>
      </c>
      <c r="I101" s="560"/>
    </row>
    <row r="102" spans="1:35" ht="18.75" customHeight="1">
      <c r="A102" s="3463" t="s">
        <v>1004</v>
      </c>
      <c r="B102" s="2541" t="s">
        <v>1003</v>
      </c>
      <c r="C102" s="2536">
        <f ca="1">IF(D32="楼面单价",ROUND(C19,0),C19)</f>
        <v>1210080</v>
      </c>
      <c r="D102" s="2537">
        <f ca="1">IF(D32="楼面单价",ROUND(D19,0),D19)</f>
        <v>1013677</v>
      </c>
      <c r="E102" s="3449"/>
      <c r="F102" s="3450"/>
      <c r="G102" s="2539" t="s">
        <v>99</v>
      </c>
      <c r="H102" s="2434">
        <f ca="1">I118</f>
        <v>18625</v>
      </c>
      <c r="I102" s="560"/>
    </row>
    <row r="103" spans="1:35" ht="42.75" customHeight="1">
      <c r="A103" s="3463"/>
      <c r="B103" s="2541" t="s">
        <v>99</v>
      </c>
      <c r="C103" s="2542">
        <f ca="1">C20</f>
        <v>20591</v>
      </c>
      <c r="D103" s="2543">
        <f ca="1">D20</f>
        <v>17249</v>
      </c>
      <c r="E103" s="3434" t="s">
        <v>1005</v>
      </c>
      <c r="F103" s="3435"/>
      <c r="G103" s="2544" t="s">
        <v>102</v>
      </c>
      <c r="H103" s="2540">
        <f>IF(D36="正常操作",H104+H105+H106,H105+H106)</f>
        <v>0</v>
      </c>
      <c r="I103" s="560"/>
    </row>
    <row r="104" spans="1:35" ht="18.75" customHeight="1">
      <c r="A104" s="3463" t="s">
        <v>1006</v>
      </c>
      <c r="B104" s="2545" t="s">
        <v>1003</v>
      </c>
      <c r="C104" s="2546">
        <f ca="1">H118</f>
        <v>1111879</v>
      </c>
      <c r="D104" s="2547"/>
      <c r="E104" s="2391" t="s">
        <v>1007</v>
      </c>
      <c r="F104" s="2548"/>
      <c r="G104" s="2544" t="s">
        <v>102</v>
      </c>
      <c r="H104" s="2549">
        <f>IF(D36="同一抵押权人同一抵押物续贷",C36&amp;"（续贷，未扣减，详见特别提示）",C36)</f>
        <v>0</v>
      </c>
      <c r="I104" s="560"/>
    </row>
    <row r="105" spans="1:35" ht="18.75" customHeight="1">
      <c r="A105" s="3464"/>
      <c r="B105" s="2550" t="s">
        <v>99</v>
      </c>
      <c r="C105" s="2551">
        <f ca="1">I118</f>
        <v>18625</v>
      </c>
      <c r="D105" s="2552"/>
      <c r="E105" s="2391" t="s">
        <v>1008</v>
      </c>
      <c r="F105" s="2548"/>
      <c r="G105" s="2544" t="s">
        <v>102</v>
      </c>
      <c r="H105" s="2553">
        <f>C37</f>
        <v>0</v>
      </c>
      <c r="I105" s="560"/>
    </row>
    <row r="106" spans="1:35" ht="18.75" customHeight="1">
      <c r="A106" s="1640" t="s">
        <v>1009</v>
      </c>
      <c r="B106" s="1640"/>
      <c r="C106" s="1640"/>
      <c r="D106" s="1640"/>
      <c r="E106" s="2554" t="s">
        <v>1010</v>
      </c>
      <c r="F106" s="2548"/>
      <c r="G106" s="2544" t="s">
        <v>102</v>
      </c>
      <c r="H106" s="2553">
        <f>C38</f>
        <v>0</v>
      </c>
      <c r="I106" s="560"/>
    </row>
    <row r="107" spans="1:35" ht="18.75" customHeight="1">
      <c r="A107" s="560"/>
      <c r="B107" s="560"/>
      <c r="C107" s="560"/>
      <c r="D107" s="560"/>
      <c r="E107" s="3451" t="str">
        <f>IF(项目基本情况!E8="已注销","——","3.房地产抵押价值")</f>
        <v>3.房地产抵押价值</v>
      </c>
      <c r="F107" s="3450"/>
      <c r="G107" s="2539" t="s">
        <v>1003</v>
      </c>
      <c r="H107" s="2540">
        <f ca="1">IF(E107="——","——",H101-H103)</f>
        <v>1111879</v>
      </c>
      <c r="I107" s="560"/>
    </row>
    <row r="108" spans="1:35" ht="18.75" customHeight="1">
      <c r="A108" s="560"/>
      <c r="B108" s="560"/>
      <c r="C108" s="560"/>
      <c r="D108" s="560"/>
      <c r="E108" s="3451"/>
      <c r="F108" s="3450"/>
      <c r="G108" s="2539" t="s">
        <v>99</v>
      </c>
      <c r="H108" s="2434">
        <f ca="1">IF(H107=H101,H102,ROUND(H107*10000/'数据-汇总表'!E3,0))</f>
        <v>18625</v>
      </c>
      <c r="I108" s="560"/>
    </row>
    <row r="109" spans="1:35" ht="18.75" customHeight="1">
      <c r="A109" s="560"/>
      <c r="B109" s="560"/>
      <c r="C109" s="560"/>
      <c r="D109" s="560"/>
      <c r="E109" s="3451" t="str">
        <f>IF(项目基本情况!E8="已注销及未注销","4.抵押担保权已注销时的房地产抵押价值",IF(项目基本情况!E8="已注销","3.抵押担保权已注销时的房地产抵押价值","——"))</f>
        <v>——</v>
      </c>
      <c r="F109" s="3450"/>
      <c r="G109" s="2539" t="s">
        <v>1003</v>
      </c>
      <c r="H109" s="2555" t="str">
        <f>IF(E109="——","——",H101-H105-H106)</f>
        <v>——</v>
      </c>
      <c r="I109" s="560"/>
    </row>
    <row r="110" spans="1:35" ht="18.75" customHeight="1">
      <c r="A110" s="560"/>
      <c r="B110" s="560"/>
      <c r="C110" s="560"/>
      <c r="D110" s="560"/>
      <c r="E110" s="3451"/>
      <c r="F110" s="3450"/>
      <c r="G110" s="2539" t="s">
        <v>99</v>
      </c>
      <c r="H110" s="2434" t="str">
        <f>IF(H109="——","——",ROUND(H109*10000/'数据-汇总表'!E3,0))</f>
        <v>——</v>
      </c>
      <c r="I110" s="560"/>
    </row>
    <row r="111" spans="1:35" ht="18.75" customHeight="1">
      <c r="A111" s="560"/>
      <c r="B111" s="560"/>
      <c r="C111" s="560"/>
      <c r="D111" s="560"/>
      <c r="E111" s="3452" t="str">
        <f>IF(项目基本情况!E9="抵押净值",IF(OR(项目基本情况!E8="已注销",项目基本情况!E8="房地产抵押价值"),"4.抵押净值","5.抵押净值"),"——")</f>
        <v>——</v>
      </c>
      <c r="F111" s="3423"/>
      <c r="G111" s="2539" t="s">
        <v>1003</v>
      </c>
      <c r="H111" s="2540" t="str">
        <f>IF(E111="——","——",N59)</f>
        <v>——</v>
      </c>
      <c r="I111" s="560"/>
    </row>
    <row r="112" spans="1:35" ht="18.75" customHeight="1">
      <c r="A112" s="560"/>
      <c r="B112" s="560"/>
      <c r="C112" s="560"/>
      <c r="D112" s="560"/>
      <c r="E112" s="3453"/>
      <c r="F112" s="3454"/>
      <c r="G112" s="2556" t="s">
        <v>99</v>
      </c>
      <c r="H112" s="2557" t="str">
        <f>IF(E111="——","——",N61)</f>
        <v>——</v>
      </c>
      <c r="I112" s="560"/>
    </row>
    <row r="113" spans="1:27" ht="18.75" customHeight="1">
      <c r="A113" s="560"/>
      <c r="B113" s="560"/>
      <c r="C113" s="560"/>
      <c r="D113" s="560"/>
      <c r="E113" s="3436" t="s">
        <v>1009</v>
      </c>
      <c r="F113" s="3436"/>
      <c r="G113" s="3436"/>
      <c r="H113" s="3436"/>
      <c r="I113" s="560"/>
    </row>
    <row r="114" spans="1:27" ht="3.75" customHeight="1">
      <c r="A114" s="1640"/>
      <c r="B114" s="1640"/>
      <c r="C114" s="1640"/>
      <c r="D114" s="1640"/>
      <c r="E114" s="2444"/>
      <c r="F114" s="2444"/>
      <c r="G114" s="2444"/>
      <c r="H114" s="2444"/>
      <c r="I114" s="1640"/>
    </row>
    <row r="115" spans="1:27" ht="18.75" customHeight="1">
      <c r="A115" s="3437" t="s">
        <v>1011</v>
      </c>
      <c r="B115" s="3438"/>
      <c r="C115" s="3438"/>
      <c r="D115" s="3438"/>
      <c r="E115" s="3438"/>
      <c r="F115" s="3438"/>
      <c r="G115" s="3438"/>
      <c r="H115" s="3438"/>
      <c r="I115" s="3439"/>
    </row>
    <row r="116" spans="1:27" ht="27" customHeight="1">
      <c r="A116" s="3427" t="s">
        <v>1012</v>
      </c>
      <c r="B116" s="3466" t="s">
        <v>1013</v>
      </c>
      <c r="C116" s="3466" t="s">
        <v>1014</v>
      </c>
      <c r="D116" s="3440" t="s">
        <v>1015</v>
      </c>
      <c r="E116" s="3441"/>
      <c r="F116" s="3442" t="s">
        <v>1016</v>
      </c>
      <c r="G116" s="3442"/>
      <c r="H116" s="3427" t="s">
        <v>1017</v>
      </c>
      <c r="I116" s="3427"/>
      <c r="J116" s="517">
        <f>C118/666.67</f>
        <v>262.50363748181258</v>
      </c>
    </row>
    <row r="117" spans="1:27" ht="18.75" customHeight="1">
      <c r="A117" s="3427"/>
      <c r="B117" s="3467"/>
      <c r="C117" s="3467"/>
      <c r="D117" s="2209" t="s">
        <v>1018</v>
      </c>
      <c r="E117" s="2209" t="s">
        <v>846</v>
      </c>
      <c r="F117" s="2209" t="s">
        <v>1018</v>
      </c>
      <c r="G117" s="2209" t="s">
        <v>846</v>
      </c>
      <c r="H117" s="2209" t="s">
        <v>1018</v>
      </c>
      <c r="I117" s="2209" t="s">
        <v>846</v>
      </c>
      <c r="J117" s="517">
        <f ca="1">D118/J116</f>
        <v>1046.2102644921554</v>
      </c>
    </row>
    <row r="118" spans="1:27" ht="24.75" customHeight="1">
      <c r="A118" s="2558" t="str">
        <f>项目基本情况!S2</f>
        <v>北京市房地产</v>
      </c>
      <c r="B118" s="2209">
        <f>M18</f>
        <v>596993.59</v>
      </c>
      <c r="C118" s="2209">
        <f>M19</f>
        <v>175003.3</v>
      </c>
      <c r="D118" s="2209">
        <f ca="1">ROUND(IF(D32="总价",C34,E118*B118/10000),0)</f>
        <v>274634</v>
      </c>
      <c r="E118" s="2209">
        <f ca="1">ROUND(IF(C33="自定义",IF(D32="楼面单价",C34,D118*10000/B118),I118-G118),0)</f>
        <v>4601</v>
      </c>
      <c r="F118" s="2209">
        <f ca="1">ROUND(IF(D32="总价",C35,G118*B118/10000),0)</f>
        <v>837245</v>
      </c>
      <c r="G118" s="2209">
        <f ca="1">ROUND(IF(D32="楼面单价",C35,F118*10000/B118),0)</f>
        <v>14024</v>
      </c>
      <c r="H118" s="2209">
        <f ca="1">ROUND(IF(D32="总价",C32,I118*B118/10000),0)</f>
        <v>1111879</v>
      </c>
      <c r="I118" s="2209">
        <f ca="1">ROUND(IF(D32="楼面单价",C32,H118*10000/B118),0)</f>
        <v>18625</v>
      </c>
    </row>
    <row r="119" spans="1:27" ht="18.75" customHeight="1">
      <c r="A119" s="3427" t="s">
        <v>1019</v>
      </c>
      <c r="B119" s="3427"/>
      <c r="C119" s="3427"/>
      <c r="D119" s="3428" t="str">
        <f ca="1">NUMBERSTRING(INT(D118*10000),2)&amp;"元整"</f>
        <v>贰拾柒亿肆仟陆佰叁拾肆万元整</v>
      </c>
      <c r="E119" s="3430"/>
      <c r="F119" s="3428" t="str">
        <f ca="1">NUMBERSTRING(INT(F118*10000),2)&amp;"元整"</f>
        <v>捌拾叁亿柒仟贰佰肆拾伍万元整</v>
      </c>
      <c r="G119" s="3430"/>
      <c r="H119" s="3428" t="str">
        <f ca="1">NUMBERSTRING(INT(H118*10000),2)&amp;"元整"</f>
        <v>壹佰壹拾壹亿壹仟捌佰柒拾玖万元整</v>
      </c>
      <c r="I119" s="3430"/>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spans="1:27" ht="18.75" customHeight="1">
      <c r="A121" s="3428" t="s">
        <v>1019</v>
      </c>
      <c r="B121" s="3429"/>
      <c r="C121" s="3430"/>
      <c r="D121" s="3428" t="str">
        <f>IF(D120=0,"零元整",NUMBERSTRING(INT(D120*10000),2)&amp;"元整")</f>
        <v>零元整</v>
      </c>
      <c r="E121" s="3429"/>
      <c r="F121" s="3429"/>
      <c r="G121" s="3429"/>
      <c r="H121" s="3429"/>
      <c r="I121" s="3430"/>
      <c r="AA121" s="517"/>
    </row>
    <row r="122" spans="1:27" ht="18.75" customHeight="1">
      <c r="A122" s="3423" t="str">
        <f>IF(项目基本情况!B9="房地产市场价值","",MID(E107,3,LEN(E107)-2))</f>
        <v>房地产抵押价值</v>
      </c>
      <c r="B122" s="3423"/>
      <c r="C122" s="3423"/>
      <c r="D122" s="3424">
        <f ca="1">H107</f>
        <v>1111879</v>
      </c>
      <c r="E122" s="3425"/>
      <c r="F122" s="3425"/>
      <c r="G122" s="3425"/>
      <c r="H122" s="3425"/>
      <c r="I122" s="3426"/>
      <c r="AA122" s="517"/>
    </row>
    <row r="123" spans="1:27" ht="18.75" customHeight="1">
      <c r="A123" s="3427" t="s">
        <v>1019</v>
      </c>
      <c r="B123" s="3427"/>
      <c r="C123" s="3427"/>
      <c r="D123" s="3428" t="str">
        <f ca="1">NUMBERSTRING(INT(D122*10000),2)&amp;"元整"</f>
        <v>壹佰壹拾壹亿壹仟捌佰柒拾玖万元整</v>
      </c>
      <c r="E123" s="3429"/>
      <c r="F123" s="3429"/>
      <c r="G123" s="3429"/>
      <c r="H123" s="3429"/>
      <c r="I123" s="3430"/>
      <c r="AA123" s="517"/>
    </row>
    <row r="124" spans="1:27" ht="18.75" customHeight="1">
      <c r="A124" s="3423" t="str">
        <f>IF(项目基本情况!B9="房地产市场价值","",MID(E109,3,LEN(E109)-2))</f>
        <v/>
      </c>
      <c r="B124" s="3423"/>
      <c r="C124" s="3423"/>
      <c r="D124" s="3424" t="str">
        <f>H109</f>
        <v>——</v>
      </c>
      <c r="E124" s="3425"/>
      <c r="F124" s="3425"/>
      <c r="G124" s="3425"/>
      <c r="H124" s="3425"/>
      <c r="I124" s="3426"/>
      <c r="AA124" s="517"/>
    </row>
    <row r="125" spans="1:27" ht="18.75" customHeight="1">
      <c r="A125" s="3427" t="s">
        <v>1019</v>
      </c>
      <c r="B125" s="3427"/>
      <c r="C125" s="3427"/>
      <c r="D125" s="3428" t="e">
        <f>NUMBERSTRING(INT(D124*10000),2)&amp;"元整"</f>
        <v>#VALUE!</v>
      </c>
      <c r="E125" s="3429"/>
      <c r="F125" s="3429"/>
      <c r="G125" s="3429"/>
      <c r="H125" s="3429"/>
      <c r="I125" s="3430"/>
      <c r="AA125" s="517"/>
    </row>
    <row r="126" spans="1:27" ht="18.75" customHeight="1">
      <c r="A126" s="3423" t="str">
        <f>IF(项目基本情况!B9="房地产市场价值","",MID(E111,3,LEN(E111)-2))</f>
        <v/>
      </c>
      <c r="B126" s="3423"/>
      <c r="C126" s="3423"/>
      <c r="D126" s="3424" t="str">
        <f>H111</f>
        <v>——</v>
      </c>
      <c r="E126" s="3425"/>
      <c r="F126" s="3425"/>
      <c r="G126" s="3425"/>
      <c r="H126" s="3425"/>
      <c r="I126" s="3426"/>
      <c r="AA126" s="517"/>
    </row>
    <row r="127" spans="1:27" ht="18.75" customHeight="1">
      <c r="A127" s="3427" t="s">
        <v>1019</v>
      </c>
      <c r="B127" s="3427"/>
      <c r="C127" s="3427"/>
      <c r="D127" s="3428" t="e">
        <f>NUMBERSTRING(INT(D126*10000),2)&amp;"元整"</f>
        <v>#VALUE!</v>
      </c>
      <c r="E127" s="3429"/>
      <c r="F127" s="3429"/>
      <c r="G127" s="3429"/>
      <c r="H127" s="3429"/>
      <c r="I127" s="3430"/>
      <c r="AA127" s="517"/>
    </row>
    <row r="128" spans="1:27" ht="21.75" customHeight="1">
      <c r="A128" s="3457" t="s">
        <v>113</v>
      </c>
      <c r="B128" s="3457"/>
      <c r="C128" s="3457"/>
      <c r="D128" s="3457"/>
      <c r="E128" s="3457"/>
      <c r="F128" s="3457"/>
      <c r="G128" s="3457"/>
      <c r="H128" s="3457"/>
      <c r="I128" s="3457"/>
      <c r="AA128" s="517"/>
    </row>
    <row r="129" spans="1:35" ht="21.75" customHeight="1">
      <c r="A129" s="2568" t="s">
        <v>1020</v>
      </c>
      <c r="B129" s="2569"/>
      <c r="C129" s="2570" t="s">
        <v>1021</v>
      </c>
      <c r="D129" s="2571"/>
      <c r="E129" s="2571"/>
      <c r="F129" s="2571"/>
      <c r="G129" s="2571"/>
      <c r="H129" s="2572"/>
      <c r="I129" s="2585"/>
      <c r="AA129" s="517"/>
    </row>
    <row r="130" spans="1:35" ht="21.75" customHeight="1">
      <c r="A130" s="2573">
        <v>1</v>
      </c>
      <c r="B130" s="2574"/>
      <c r="C130" s="2574"/>
      <c r="D130" s="627"/>
      <c r="E130" s="627"/>
      <c r="F130" s="627"/>
      <c r="G130" s="627"/>
      <c r="H130" s="610"/>
      <c r="I130" s="2586"/>
      <c r="AA130" s="517"/>
    </row>
    <row r="131" spans="1:35" ht="21.75" customHeight="1">
      <c r="A131" s="2573">
        <v>2</v>
      </c>
      <c r="B131" s="2574"/>
      <c r="C131" s="2574"/>
      <c r="D131" s="627"/>
      <c r="E131" s="627"/>
      <c r="F131" s="627"/>
      <c r="G131" s="627"/>
      <c r="H131" s="610"/>
      <c r="I131" s="2586"/>
      <c r="AA131" s="517"/>
    </row>
    <row r="132" spans="1:35" ht="21.75" customHeight="1">
      <c r="A132" s="2573">
        <v>3</v>
      </c>
      <c r="B132" s="2574"/>
      <c r="C132" s="2574"/>
      <c r="D132" s="627"/>
      <c r="E132" s="627"/>
      <c r="F132" s="627"/>
      <c r="G132" s="627"/>
      <c r="H132" s="610"/>
      <c r="I132" s="2586"/>
      <c r="AA132" s="517"/>
    </row>
    <row r="133" spans="1:35" ht="21.75" customHeight="1">
      <c r="A133" s="2575"/>
      <c r="B133" s="2576"/>
      <c r="C133" s="2576"/>
      <c r="D133" s="2577"/>
      <c r="E133" s="2577"/>
      <c r="F133" s="2577"/>
      <c r="G133" s="2577"/>
      <c r="H133" s="2578"/>
      <c r="I133" s="2587"/>
    </row>
    <row r="134" spans="1:35" ht="21.75" customHeight="1">
      <c r="A134" s="2574"/>
      <c r="B134" s="2574"/>
      <c r="C134" s="2574"/>
      <c r="D134" s="627"/>
      <c r="E134" s="627"/>
      <c r="F134" s="627"/>
      <c r="G134" s="627"/>
      <c r="H134" s="610"/>
      <c r="I134" s="517"/>
    </row>
    <row r="135" spans="1:35" ht="21.75" customHeight="1">
      <c r="A135" s="517"/>
      <c r="B135" s="517"/>
      <c r="C135" s="517"/>
      <c r="D135" s="517"/>
      <c r="E135" s="517"/>
      <c r="F135" s="2579" t="s">
        <v>1022</v>
      </c>
      <c r="G135" s="2580"/>
      <c r="H135" s="2580"/>
      <c r="I135" s="2588" t="s">
        <v>1023</v>
      </c>
    </row>
    <row r="136" spans="1:35" ht="21.75" customHeight="1">
      <c r="A136" s="517"/>
      <c r="B136" s="2581" t="s">
        <v>1024</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580"/>
      <c r="C138" s="2580"/>
      <c r="D138" s="2580"/>
      <c r="E138" s="2580"/>
      <c r="F138" s="2580"/>
      <c r="G138" s="2580"/>
      <c r="H138" s="2580"/>
      <c r="I138" s="2588" t="s">
        <v>1025</v>
      </c>
    </row>
    <row r="139" spans="1:35" ht="21.75" customHeight="1">
      <c r="A139" s="517"/>
      <c r="B139" s="2581" t="s">
        <v>1026</v>
      </c>
      <c r="C139" s="517"/>
      <c r="D139" s="517"/>
      <c r="E139" s="517"/>
      <c r="F139" s="517"/>
      <c r="G139" s="517"/>
      <c r="H139" s="517"/>
      <c r="I139" s="517"/>
    </row>
    <row r="140" spans="1:35" ht="21.75" customHeight="1">
      <c r="A140" s="517"/>
      <c r="B140" s="2581"/>
      <c r="C140" s="517"/>
      <c r="D140" s="517"/>
      <c r="E140" s="517"/>
      <c r="F140" s="517"/>
      <c r="G140" s="517"/>
      <c r="H140" s="517"/>
      <c r="I140" s="517"/>
    </row>
    <row r="141" spans="1:35" ht="21.75" customHeight="1">
      <c r="A141" s="517"/>
      <c r="B141" s="2580"/>
      <c r="C141" s="2580"/>
      <c r="D141" s="2580"/>
      <c r="E141" s="2580"/>
      <c r="F141" s="2580"/>
      <c r="G141" s="2580"/>
      <c r="H141" s="2580"/>
      <c r="I141" s="2588" t="s">
        <v>1025</v>
      </c>
    </row>
    <row r="142" spans="1:35" ht="21.75" customHeight="1">
      <c r="A142" s="517"/>
      <c r="B142" s="2581"/>
      <c r="C142" s="2582"/>
      <c r="D142" s="2583"/>
      <c r="E142" s="2583"/>
      <c r="F142" s="2584"/>
      <c r="G142" s="517"/>
      <c r="H142" s="517"/>
      <c r="I142" s="517"/>
    </row>
    <row r="143" spans="1:35" s="516" customFormat="1" ht="21.75" customHeight="1">
      <c r="A143" s="517"/>
      <c r="B143" s="2581"/>
      <c r="C143" s="2582"/>
      <c r="D143" s="2583"/>
      <c r="E143" s="2583"/>
      <c r="F143" s="2584"/>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322"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322"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322"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322"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322"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322"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322"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322"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322"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322"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322"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322"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322"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322"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322"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322"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322"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322"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322"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322"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322"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322"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322"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322"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322"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322"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322"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322"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322"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322"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322"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322"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322"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322"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322"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322"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322"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322"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322"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322"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322"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322"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322"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322"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322"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322"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322"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322"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322"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322"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322"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322"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322"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322"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322"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322"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322"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322"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322"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322"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322"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322"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322"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322"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322"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322"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322"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322"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322"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322"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322"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322"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322"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322"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322"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322"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322"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322"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322"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322"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322"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322"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322"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322"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322"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322"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322"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322"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322"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322"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322"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322"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322"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322"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322"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322"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322"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322"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322"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322"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322"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322"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322"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322"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7"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2" customWidth="1"/>
    <col min="2" max="9" width="10" style="3262" customWidth="1"/>
    <col min="10" max="16384" width="9" style="3262"/>
  </cols>
  <sheetData>
    <row r="36" spans="1:9">
      <c r="A36" s="3261" t="s">
        <v>75</v>
      </c>
      <c r="B36" s="3261" t="s">
        <v>76</v>
      </c>
    </row>
    <row r="37" spans="1:9" ht="27.75" customHeight="1">
      <c r="A37" s="3261"/>
      <c r="B37" s="3289" t="str">
        <f>项目基本情况!B1</f>
        <v>北京市房地产抵押价值预评估</v>
      </c>
      <c r="C37" s="3289"/>
      <c r="D37" s="3289"/>
      <c r="E37" s="3289"/>
      <c r="F37" s="3289"/>
      <c r="G37" s="3289"/>
      <c r="H37" s="3289"/>
      <c r="I37" s="3289"/>
    </row>
    <row r="38" spans="1:9">
      <c r="A38" s="3263"/>
      <c r="B38" s="3263"/>
    </row>
    <row r="39" spans="1:9">
      <c r="A39" s="3261" t="s">
        <v>75</v>
      </c>
      <c r="B39" s="3261" t="s">
        <v>77</v>
      </c>
    </row>
    <row r="40" spans="1:9">
      <c r="A40" s="3261"/>
      <c r="B40" s="3264">
        <f>项目基本情况!B5</f>
        <v>0</v>
      </c>
    </row>
    <row r="41" spans="1:9">
      <c r="A41" s="3261"/>
      <c r="B41" s="3261"/>
    </row>
    <row r="42" spans="1:9">
      <c r="A42" s="3261" t="s">
        <v>75</v>
      </c>
      <c r="B42" s="3261" t="s">
        <v>78</v>
      </c>
    </row>
    <row r="43" spans="1:9">
      <c r="A43" s="3261"/>
      <c r="B43" s="3264" t="s">
        <v>79</v>
      </c>
    </row>
    <row r="44" spans="1:9">
      <c r="A44" s="3261"/>
      <c r="B44" s="3261"/>
    </row>
    <row r="45" spans="1:9">
      <c r="A45" s="3261" t="s">
        <v>75</v>
      </c>
      <c r="B45" s="3261" t="s">
        <v>80</v>
      </c>
    </row>
    <row r="46" spans="1:9" s="3261" customFormat="1" ht="12.75">
      <c r="B46" s="3264" t="str">
        <f>项目基本情况!K4</f>
        <v>（注册号：0)、（注册号：0)</v>
      </c>
    </row>
    <row r="47" spans="1:9">
      <c r="A47" s="3261"/>
      <c r="B47" s="3261" t="str">
        <f>项目基本情况!K5</f>
        <v>（注册号：0)、（注册号：0)</v>
      </c>
    </row>
    <row r="48" spans="1:9">
      <c r="A48" s="3261" t="s">
        <v>75</v>
      </c>
      <c r="B48" s="3261" t="s">
        <v>81</v>
      </c>
    </row>
    <row r="49" spans="2:2">
      <c r="B49" s="3264"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7" zoomScaleNormal="70" zoomScaleSheetLayoutView="100" workbookViewId="0">
      <selection activeCell="J26" sqref="J26"/>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1027</v>
      </c>
      <c r="B1" s="2309" t="s">
        <v>615</v>
      </c>
      <c r="C1" s="343"/>
      <c r="D1" s="343"/>
      <c r="E1" s="343"/>
      <c r="F1" s="343"/>
      <c r="G1" s="2311">
        <f>MATCH(B1,'数据-取费表'!A6:A16,0)+5</f>
        <v>6</v>
      </c>
    </row>
    <row r="2" spans="1:9" s="333" customFormat="1" ht="18" customHeight="1">
      <c r="A2" s="345" t="s">
        <v>1028</v>
      </c>
      <c r="B2" s="346">
        <f ca="1">IF(D2="——",C52,C52-E2)</f>
        <v>1210080</v>
      </c>
      <c r="C2" s="344" t="s">
        <v>1029</v>
      </c>
      <c r="D2" s="2313" t="s">
        <v>124</v>
      </c>
      <c r="E2" s="2314" t="e">
        <f ca="1">SUMIF(INDIRECT("'"&amp;G2&amp;"'"&amp;"!A:A"),"承租人权益价值",INDIRECT("'"&amp;G2&amp;"'"&amp;"!c:c"))</f>
        <v>#REF!</v>
      </c>
      <c r="F2" s="2315" t="s">
        <v>1029</v>
      </c>
      <c r="G2" s="2316"/>
    </row>
    <row r="3" spans="1:9" s="333" customFormat="1" ht="18" customHeight="1">
      <c r="A3" s="348" t="s">
        <v>1030</v>
      </c>
      <c r="B3" s="349">
        <f ca="1">ROUND(B2*10000/(IF(B1="",'数据-汇总表'!E3,INDIRECT("'数据-取费表'!k"&amp;$G$1))),0)</f>
        <v>20591</v>
      </c>
      <c r="C3" s="344" t="s">
        <v>1031</v>
      </c>
      <c r="D3" s="344"/>
      <c r="E3" s="344"/>
      <c r="F3" s="344"/>
      <c r="G3" s="344"/>
    </row>
    <row r="4" spans="1:9" s="334" customFormat="1" ht="15.75">
      <c r="A4" s="350" t="s">
        <v>1032</v>
      </c>
      <c r="B4" s="351"/>
      <c r="C4" s="351"/>
      <c r="D4" s="351"/>
      <c r="E4" s="351"/>
      <c r="F4" s="351"/>
      <c r="G4" s="352"/>
    </row>
    <row r="5" spans="1:9" s="335" customFormat="1" ht="13.5" customHeight="1">
      <c r="A5" s="353" t="s">
        <v>1033</v>
      </c>
      <c r="B5" s="354" t="s">
        <v>1034</v>
      </c>
      <c r="C5" s="355">
        <f ca="1">C6+C7+C8</f>
        <v>418864</v>
      </c>
      <c r="D5" s="355" t="s">
        <v>1035</v>
      </c>
      <c r="E5" s="356" t="s">
        <v>1036</v>
      </c>
      <c r="F5" s="356" t="s">
        <v>933</v>
      </c>
      <c r="G5" s="357"/>
    </row>
    <row r="6" spans="1:9" s="335" customFormat="1" ht="13.5" customHeight="1">
      <c r="A6" s="358" t="s">
        <v>1037</v>
      </c>
      <c r="B6" s="359" t="s">
        <v>1038</v>
      </c>
      <c r="C6" s="3286">
        <f>基准地价修正!V2+基准地价修正!V3+基准地价修正!V4+基准地价修正!V5+基准地价修正!E42</f>
        <v>394880</v>
      </c>
      <c r="D6" s="361"/>
      <c r="E6" s="362"/>
      <c r="F6" s="362"/>
      <c r="G6" s="363"/>
    </row>
    <row r="7" spans="1:9" s="335" customFormat="1" ht="13.5" customHeight="1">
      <c r="A7" s="358" t="s">
        <v>1039</v>
      </c>
      <c r="B7" s="359" t="s">
        <v>1040</v>
      </c>
      <c r="C7" s="364">
        <f>ROUND(C6*F7,0)</f>
        <v>12044</v>
      </c>
      <c r="D7" s="364"/>
      <c r="E7" s="362"/>
      <c r="F7" s="365">
        <f>IF(项目基本情况!B8="出让",0,'数据-取费表'!B48+'数据-取费表'!B49)</f>
        <v>3.0499999999999999E-2</v>
      </c>
      <c r="G7" s="363"/>
    </row>
    <row r="8" spans="1:9" s="336" customFormat="1">
      <c r="A8" s="358" t="s">
        <v>1041</v>
      </c>
      <c r="B8" s="359" t="s">
        <v>1042</v>
      </c>
      <c r="C8" s="364">
        <f ca="1">IF(G8="已包含在土地购买价格中","0",IF(B1="",'数据-取费表'!B29,IF(G9="全部缴纳",C9+C10,H9)))</f>
        <v>11940</v>
      </c>
      <c r="D8" s="366"/>
      <c r="E8" s="364"/>
      <c r="F8" s="365"/>
      <c r="G8" s="2317" t="s">
        <v>1043</v>
      </c>
    </row>
    <row r="9" spans="1:9" s="335" customFormat="1" ht="13.5" customHeight="1">
      <c r="A9" s="368" t="s">
        <v>1044</v>
      </c>
      <c r="B9" s="369" t="s">
        <v>1045</v>
      </c>
      <c r="C9" s="370">
        <f ca="1">ROUND(D9*E9/10000,0)</f>
        <v>0</v>
      </c>
      <c r="D9" s="371">
        <f ca="1">IF(B1="",'数据-汇总表'!E5,IF(INDIRECT("'数据-取费表'!c"&amp;$G$1)="住宅",INDIRECT("'数据-取费表'!k"&amp;$G$1),0))</f>
        <v>0</v>
      </c>
      <c r="E9" s="370">
        <f>'数据-取费表'!B27</f>
        <v>0</v>
      </c>
      <c r="F9" s="365"/>
      <c r="G9" s="2318" t="s">
        <v>1046</v>
      </c>
      <c r="H9" s="2319"/>
      <c r="I9" s="2320" t="s">
        <v>1047</v>
      </c>
    </row>
    <row r="10" spans="1:9" s="335" customFormat="1" ht="13.5" customHeight="1">
      <c r="A10" s="368" t="s">
        <v>1048</v>
      </c>
      <c r="B10" s="369" t="s">
        <v>1049</v>
      </c>
      <c r="C10" s="370">
        <f ca="1">ROUND(D10*E10/10000,0)</f>
        <v>11940</v>
      </c>
      <c r="D10" s="371">
        <f ca="1">IF(B1="",'数据-汇总表'!E6,IF(INDIRECT("'数据-取费表'!c"&amp;$G$1)="住宅",INDIRECT("'数据-取费表'!s"&amp;$G$1),INDIRECT("'数据-取费表'!k"&amp;$G$1)+INDIRECT("'数据-取费表'!s"&amp;$G$1)))</f>
        <v>596993.59</v>
      </c>
      <c r="E10" s="370">
        <f>'数据-取费表'!B28</f>
        <v>200</v>
      </c>
      <c r="F10" s="365"/>
      <c r="G10" s="372"/>
    </row>
    <row r="11" spans="1:9" s="335" customFormat="1" ht="13.5" hidden="1" customHeight="1">
      <c r="A11" s="373" t="s">
        <v>1050</v>
      </c>
      <c r="B11" s="359" t="s">
        <v>1051</v>
      </c>
      <c r="C11" s="355"/>
      <c r="D11" s="362"/>
      <c r="E11" s="362"/>
      <c r="F11" s="362"/>
      <c r="G11" s="363"/>
    </row>
    <row r="12" spans="1:9" s="335" customFormat="1" ht="13.5" hidden="1" customHeight="1">
      <c r="A12" s="373" t="s">
        <v>1052</v>
      </c>
      <c r="B12" s="359" t="s">
        <v>969</v>
      </c>
      <c r="C12" s="355">
        <v>0</v>
      </c>
      <c r="D12" s="362"/>
      <c r="E12" s="374"/>
      <c r="F12" s="365">
        <v>3.0499999999999999E-2</v>
      </c>
      <c r="G12" s="363"/>
    </row>
    <row r="13" spans="1:9" s="335" customFormat="1" ht="13.5" hidden="1" customHeight="1">
      <c r="A13" s="373" t="s">
        <v>1053</v>
      </c>
      <c r="B13" s="359" t="s">
        <v>1054</v>
      </c>
      <c r="C13" s="355"/>
      <c r="D13" s="362"/>
      <c r="E13" s="362"/>
      <c r="F13" s="362"/>
      <c r="G13" s="363"/>
    </row>
    <row r="14" spans="1:9" s="335" customFormat="1" ht="13.5" hidden="1" customHeight="1">
      <c r="A14" s="373" t="s">
        <v>1055</v>
      </c>
      <c r="B14" s="359" t="s">
        <v>1042</v>
      </c>
      <c r="C14" s="355"/>
      <c r="D14" s="362"/>
      <c r="E14" s="362"/>
      <c r="F14" s="362"/>
      <c r="G14" s="363" t="s">
        <v>1056</v>
      </c>
    </row>
    <row r="15" spans="1:9" s="335" customFormat="1" ht="13.5" hidden="1" customHeight="1">
      <c r="A15" s="373" t="s">
        <v>1057</v>
      </c>
      <c r="B15" s="359" t="s">
        <v>1058</v>
      </c>
      <c r="C15" s="364"/>
      <c r="D15" s="362"/>
      <c r="E15" s="362"/>
      <c r="F15" s="362"/>
      <c r="G15" s="363" t="s">
        <v>1059</v>
      </c>
    </row>
    <row r="16" spans="1:9" s="335" customFormat="1" ht="13.5" hidden="1" customHeight="1">
      <c r="A16" s="373" t="s">
        <v>1060</v>
      </c>
      <c r="B16" s="359" t="s">
        <v>1042</v>
      </c>
      <c r="C16" s="364"/>
      <c r="D16" s="362"/>
      <c r="E16" s="362"/>
      <c r="F16" s="362"/>
      <c r="G16" s="363"/>
    </row>
    <row r="17" spans="1:7" s="335" customFormat="1" ht="13.5" hidden="1" customHeight="1">
      <c r="A17" s="373" t="s">
        <v>1061</v>
      </c>
      <c r="B17" s="359" t="s">
        <v>1062</v>
      </c>
      <c r="C17" s="375"/>
      <c r="D17" s="375"/>
      <c r="E17" s="375"/>
      <c r="F17" s="375"/>
      <c r="G17" s="363" t="s">
        <v>1059</v>
      </c>
    </row>
    <row r="18" spans="1:7" s="335" customFormat="1" ht="13.5" hidden="1" customHeight="1">
      <c r="A18" s="373" t="s">
        <v>1063</v>
      </c>
      <c r="B18" s="359" t="s">
        <v>1064</v>
      </c>
      <c r="C18" s="364">
        <v>0</v>
      </c>
      <c r="D18" s="362"/>
      <c r="E18" s="362"/>
      <c r="F18" s="365">
        <v>3.0499999999999999E-2</v>
      </c>
      <c r="G18" s="363" t="s">
        <v>1065</v>
      </c>
    </row>
    <row r="19" spans="1:7" s="336" customFormat="1" ht="13.5" customHeight="1">
      <c r="A19" s="353" t="s">
        <v>1066</v>
      </c>
      <c r="B19" s="354" t="s">
        <v>1067</v>
      </c>
      <c r="C19" s="355" t="str">
        <f>IF(G19="已包含在土地取得成本中","0",ROUND(D19*E19/10000,0))</f>
        <v>0</v>
      </c>
      <c r="D19" s="356">
        <f ca="1">D9+D10</f>
        <v>596993.59</v>
      </c>
      <c r="E19" s="355">
        <f>'数据-取费表'!B31</f>
        <v>200</v>
      </c>
      <c r="F19" s="377"/>
      <c r="G19" s="2317" t="s">
        <v>1068</v>
      </c>
    </row>
    <row r="20" spans="1:7" s="335" customFormat="1" ht="13.5" customHeight="1">
      <c r="A20" s="353" t="s">
        <v>1069</v>
      </c>
      <c r="B20" s="354" t="s">
        <v>1070</v>
      </c>
      <c r="C20" s="378">
        <f ca="1">ROUND((C5+C19)*F20,0)</f>
        <v>12566</v>
      </c>
      <c r="D20" s="378"/>
      <c r="E20" s="378"/>
      <c r="F20" s="379">
        <f>'数据-取费表'!B37</f>
        <v>0.03</v>
      </c>
      <c r="G20" s="383" t="s">
        <v>1071</v>
      </c>
    </row>
    <row r="21" spans="1:7" s="335" customFormat="1" ht="13.5" customHeight="1">
      <c r="A21" s="353" t="s">
        <v>1072</v>
      </c>
      <c r="B21" s="354" t="s">
        <v>1073</v>
      </c>
      <c r="C21" s="381">
        <f>F21</f>
        <v>0.03</v>
      </c>
      <c r="D21" s="382" t="s">
        <v>1074</v>
      </c>
      <c r="E21" s="378"/>
      <c r="F21" s="379">
        <f>'数据-取费表'!B38</f>
        <v>0.03</v>
      </c>
      <c r="G21" s="383" t="s">
        <v>1075</v>
      </c>
    </row>
    <row r="22" spans="1:7" s="335" customFormat="1" ht="13.5" customHeight="1">
      <c r="A22" s="353" t="s">
        <v>1076</v>
      </c>
      <c r="B22" s="354" t="s">
        <v>1077</v>
      </c>
      <c r="C22" s="384">
        <f ca="1">ROUND(SUM(C23:C25),0)</f>
        <v>46322</v>
      </c>
      <c r="D22" s="381">
        <f ca="1">C26</f>
        <v>1.6000000000000001E-3</v>
      </c>
      <c r="E22" s="382" t="s">
        <v>1074</v>
      </c>
      <c r="F22" s="385">
        <f ca="1">'数据-取费表'!B40</f>
        <v>0.03</v>
      </c>
      <c r="G22" s="383" t="str">
        <f>IF('数据-取费表'!B22&lt;=1,"单利计息","复利计息")</f>
        <v>复利计息</v>
      </c>
    </row>
    <row r="23" spans="1:7" s="335" customFormat="1" ht="13.5" customHeight="1">
      <c r="A23" s="386" t="s">
        <v>1037</v>
      </c>
      <c r="B23" s="359" t="s">
        <v>1078</v>
      </c>
      <c r="C23" s="387">
        <f ca="1">ROUND(IF('数据-取费表'!B22&lt;=1,C5*F22*'数据-取费表'!B23,C5*(POWER((1+F22),'数据-取费表'!B23)-1)),0)</f>
        <v>45655</v>
      </c>
      <c r="D23" s="388"/>
      <c r="E23" s="388"/>
      <c r="F23" s="389"/>
      <c r="G23" s="390" t="s">
        <v>1079</v>
      </c>
    </row>
    <row r="24" spans="1:7" s="335" customFormat="1" ht="13.5" customHeight="1">
      <c r="A24" s="386" t="s">
        <v>1039</v>
      </c>
      <c r="B24" s="359" t="s">
        <v>1080</v>
      </c>
      <c r="C24" s="387">
        <f ca="1">ROUND(IF('数据-取费表'!B22&lt;=1,C19*F22*('数据-取费表'!B19/2+'数据-取费表'!B21),C19*(POWER((1+F22),('数据-取费表'!B19/2+'数据-取费表'!B21))-1)),0)</f>
        <v>0</v>
      </c>
      <c r="D24" s="388"/>
      <c r="E24" s="388"/>
      <c r="F24" s="389"/>
      <c r="G24" s="390" t="s">
        <v>1081</v>
      </c>
    </row>
    <row r="25" spans="1:7" s="335" customFormat="1" ht="24">
      <c r="A25" s="386" t="s">
        <v>1041</v>
      </c>
      <c r="B25" s="359" t="s">
        <v>1082</v>
      </c>
      <c r="C25" s="387">
        <f ca="1">ROUND(IF('数据-取费表'!B22&lt;=1,C20*F22*'数据-取费表'!B23/2,C20*(POWER((1+F22),'数据-取费表'!B23/2)-1)),0)</f>
        <v>667</v>
      </c>
      <c r="D25" s="388"/>
      <c r="E25" s="391"/>
      <c r="F25" s="389"/>
      <c r="G25" s="392" t="s">
        <v>1083</v>
      </c>
    </row>
    <row r="26" spans="1:7" s="335" customFormat="1">
      <c r="A26" s="386" t="s">
        <v>1084</v>
      </c>
      <c r="B26" s="359" t="s">
        <v>1085</v>
      </c>
      <c r="C26" s="388">
        <f ca="1">ROUND(IF('数据-取费表'!B22&lt;=1,F21*F22*'数据-取费表'!B23/2,F21*(POWER((1+F22),'数据-取费表'!B23/2)-1)),4)</f>
        <v>1.6000000000000001E-3</v>
      </c>
      <c r="D26" s="388"/>
      <c r="E26" s="391"/>
      <c r="F26" s="389"/>
      <c r="G26" s="393"/>
    </row>
    <row r="27" spans="1:7" s="335" customFormat="1" ht="24.75">
      <c r="A27" s="353" t="s">
        <v>1086</v>
      </c>
      <c r="B27" s="394" t="s">
        <v>1087</v>
      </c>
      <c r="C27" s="395">
        <f ca="1">C28</f>
        <v>64715</v>
      </c>
      <c r="D27" s="381">
        <f ca="1">C29</f>
        <v>4.4999999999999997E-3</v>
      </c>
      <c r="E27" s="382" t="s">
        <v>1074</v>
      </c>
      <c r="F27" s="396">
        <f ca="1">IF(B1="",'数据-取费表'!Q16,INDIRECT("'数据-取费表'!q"&amp;$G$1))</f>
        <v>0.15</v>
      </c>
      <c r="G27" s="397" t="s">
        <v>1088</v>
      </c>
    </row>
    <row r="28" spans="1:7" s="335" customFormat="1" ht="13.5" customHeight="1">
      <c r="A28" s="386" t="s">
        <v>1037</v>
      </c>
      <c r="B28" s="398" t="s">
        <v>1089</v>
      </c>
      <c r="C28" s="399">
        <f ca="1">ROUND((C5+C19+C20)*F27*'数据-取费表'!B21/'数据-取费表'!B20,0)</f>
        <v>64715</v>
      </c>
      <c r="D28" s="381"/>
      <c r="E28" s="382"/>
      <c r="F28" s="396"/>
      <c r="G28" s="397"/>
    </row>
    <row r="29" spans="1:7" s="335" customFormat="1" ht="13.5" customHeight="1">
      <c r="A29" s="386" t="s">
        <v>1039</v>
      </c>
      <c r="B29" s="398" t="s">
        <v>1090</v>
      </c>
      <c r="C29" s="388">
        <f ca="1">ROUND(C21*F27*'数据-取费表'!B21/'数据-取费表'!B20,4)</f>
        <v>4.4999999999999997E-3</v>
      </c>
      <c r="D29" s="381"/>
      <c r="E29" s="382"/>
      <c r="F29" s="396"/>
      <c r="G29" s="397"/>
    </row>
    <row r="30" spans="1:7" s="335" customFormat="1" ht="13.5" customHeight="1">
      <c r="A30" s="353" t="s">
        <v>1091</v>
      </c>
      <c r="B30" s="354" t="s">
        <v>1092</v>
      </c>
      <c r="C30" s="381">
        <f>ROUND(F30/(1+'数据-取费表'!C42),4)</f>
        <v>5.2400000000000002E-2</v>
      </c>
      <c r="D30" s="382" t="s">
        <v>1074</v>
      </c>
      <c r="E30" s="391"/>
      <c r="F30" s="385">
        <f>'数据-取费表'!B41</f>
        <v>5.5000000000000007E-2</v>
      </c>
      <c r="G30" s="383" t="s">
        <v>1093</v>
      </c>
    </row>
    <row r="31" spans="1:7" ht="16.5" customHeight="1">
      <c r="A31" s="400">
        <v>1</v>
      </c>
      <c r="B31" s="354" t="s">
        <v>1094</v>
      </c>
      <c r="C31" s="355">
        <f ca="1">ROUND((C5+C19+C20+C22+C27)/(1-C21-D22-D27-C30),0)</f>
        <v>595137</v>
      </c>
      <c r="D31" s="401"/>
      <c r="E31" s="355"/>
      <c r="F31" s="402"/>
      <c r="G31" s="383" t="s">
        <v>1095</v>
      </c>
    </row>
    <row r="32" spans="1:7" s="334" customFormat="1" ht="15.75">
      <c r="A32" s="403" t="s">
        <v>1096</v>
      </c>
      <c r="B32" s="404"/>
      <c r="C32" s="404"/>
      <c r="D32" s="404"/>
      <c r="E32" s="404"/>
      <c r="F32" s="404"/>
      <c r="G32" s="405"/>
    </row>
    <row r="33" spans="1:7" s="335" customFormat="1" ht="13.5" customHeight="1">
      <c r="A33" s="353" t="s">
        <v>1033</v>
      </c>
      <c r="B33" s="354" t="s">
        <v>1097</v>
      </c>
      <c r="C33" s="406">
        <f ca="1">SUM(C34:C38)</f>
        <v>551623</v>
      </c>
      <c r="D33" s="378"/>
      <c r="E33" s="356"/>
      <c r="F33" s="391"/>
      <c r="G33" s="383"/>
    </row>
    <row r="34" spans="1:7" s="337" customFormat="1" ht="13.5" customHeight="1">
      <c r="A34" s="386" t="s">
        <v>1037</v>
      </c>
      <c r="B34" s="359" t="s">
        <v>1098</v>
      </c>
      <c r="C34" s="364">
        <f ca="1">IF(B1="",IF(F34=100%,'数据-取费表'!M16,'数据-取费表'!O16),IF(F34=100%,INDIRECT("'数据-取费表'!m"&amp;$G$1)+INDIRECT("'数据-取费表'!t"&amp;$G$1),INDIRECT("'数据-取费表'!o"&amp;$G$1)+INDIRECT("'数据-取费表'!aq"&amp;$G$1)))</f>
        <v>477595</v>
      </c>
      <c r="D34" s="361"/>
      <c r="E34" s="364"/>
      <c r="F34" s="407">
        <f ca="1">IF('数据-取费表'!B24=0,1,IF(B1="",'数据-取费表'!N16,INDIRECT("'数据-取费表'!n"&amp;$G$1)))</f>
        <v>1</v>
      </c>
      <c r="G34" s="363" t="s">
        <v>1099</v>
      </c>
    </row>
    <row r="35" spans="1:7" ht="13.5" customHeight="1">
      <c r="A35" s="386" t="s">
        <v>1039</v>
      </c>
      <c r="B35" s="359" t="s">
        <v>1100</v>
      </c>
      <c r="C35" s="364">
        <f ca="1">ROUND(C34*F35,0)</f>
        <v>47760</v>
      </c>
      <c r="D35" s="364"/>
      <c r="E35" s="364"/>
      <c r="F35" s="408">
        <f>'数据-取费表'!B33</f>
        <v>0.1</v>
      </c>
      <c r="G35" s="363" t="s">
        <v>1101</v>
      </c>
    </row>
    <row r="36" spans="1:7" ht="24">
      <c r="A36" s="386" t="s">
        <v>1041</v>
      </c>
      <c r="B36" s="359" t="s">
        <v>1102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1103</v>
      </c>
    </row>
    <row r="37" spans="1:7" s="337" customFormat="1" ht="13.5" customHeight="1">
      <c r="A37" s="386" t="s">
        <v>1084</v>
      </c>
      <c r="B37" s="359" t="s">
        <v>1104</v>
      </c>
      <c r="C37" s="399">
        <f ca="1">ROUND(E37*D37*F34/10000,0)</f>
        <v>11940</v>
      </c>
      <c r="D37" s="361">
        <f ca="1">D19</f>
        <v>596993.59</v>
      </c>
      <c r="E37" s="399">
        <f>'数据-取费表'!B35</f>
        <v>200</v>
      </c>
      <c r="F37" s="408"/>
      <c r="G37" s="410" t="s">
        <v>1105</v>
      </c>
    </row>
    <row r="38" spans="1:7" ht="13.5" customHeight="1">
      <c r="A38" s="386" t="s">
        <v>1106</v>
      </c>
      <c r="B38" s="359" t="s">
        <v>969</v>
      </c>
      <c r="C38" s="364">
        <f ca="1">ROUND(C34*F38,0)</f>
        <v>14328</v>
      </c>
      <c r="D38" s="364"/>
      <c r="E38" s="364"/>
      <c r="F38" s="408">
        <f>'数据-取费表'!B36</f>
        <v>0.03</v>
      </c>
      <c r="G38" s="363" t="s">
        <v>1101</v>
      </c>
    </row>
    <row r="39" spans="1:7" s="335" customFormat="1" ht="13.5" customHeight="1">
      <c r="A39" s="353" t="s">
        <v>1066</v>
      </c>
      <c r="B39" s="354" t="s">
        <v>1070</v>
      </c>
      <c r="C39" s="378">
        <f ca="1">ROUND(C33*F20,0)</f>
        <v>16549</v>
      </c>
      <c r="D39" s="378"/>
      <c r="E39" s="378"/>
      <c r="F39" s="379">
        <f>F20</f>
        <v>0.03</v>
      </c>
      <c r="G39" s="383" t="s">
        <v>1107</v>
      </c>
    </row>
    <row r="40" spans="1:7" s="335" customFormat="1" ht="13.5" customHeight="1">
      <c r="A40" s="353" t="s">
        <v>1069</v>
      </c>
      <c r="B40" s="354" t="s">
        <v>1073</v>
      </c>
      <c r="C40" s="381">
        <f>F21</f>
        <v>0.03</v>
      </c>
      <c r="D40" s="382" t="s">
        <v>1108</v>
      </c>
      <c r="E40" s="378"/>
      <c r="F40" s="379">
        <f>F21</f>
        <v>0.03</v>
      </c>
      <c r="G40" s="383" t="s">
        <v>1109</v>
      </c>
    </row>
    <row r="41" spans="1:7" s="335" customFormat="1" ht="13.5" customHeight="1">
      <c r="A41" s="353" t="s">
        <v>1072</v>
      </c>
      <c r="B41" s="354" t="s">
        <v>1077</v>
      </c>
      <c r="C41" s="378">
        <f ca="1">ROUND(SUM(C42:C43),0)</f>
        <v>30164</v>
      </c>
      <c r="D41" s="381">
        <f ca="1">C44</f>
        <v>1.6000000000000001E-3</v>
      </c>
      <c r="E41" s="382" t="s">
        <v>1108</v>
      </c>
      <c r="F41" s="385">
        <f ca="1">F22</f>
        <v>0.03</v>
      </c>
      <c r="G41" s="383" t="str">
        <f>IF('数据-取费表'!B22&lt;=1,"单利计息","复利计息")</f>
        <v>复利计息</v>
      </c>
    </row>
    <row r="42" spans="1:7" ht="13.5" customHeight="1">
      <c r="A42" s="386" t="s">
        <v>1037</v>
      </c>
      <c r="B42" s="359" t="s">
        <v>1078</v>
      </c>
      <c r="C42" s="388">
        <f ca="1">ROUND(IF('数据-取费表'!B22&lt;=1,C33*F22*'数据-取费表'!B21/2,C33*(POWER((1+F22),'数据-取费表'!B21/2)-1)),0)</f>
        <v>29285</v>
      </c>
      <c r="D42" s="388"/>
      <c r="E42" s="388"/>
      <c r="F42" s="389"/>
      <c r="G42" s="3471" t="s">
        <v>1110</v>
      </c>
    </row>
    <row r="43" spans="1:7" ht="13.5" customHeight="1">
      <c r="A43" s="386" t="s">
        <v>1039</v>
      </c>
      <c r="B43" s="359" t="s">
        <v>1080</v>
      </c>
      <c r="C43" s="388">
        <f ca="1">ROUND(IF('数据-取费表'!B22&lt;=1,C39*F22*'数据-取费表'!B21/2,C39*(POWER((1+F22),'数据-取费表'!B21/2)-1)),0)</f>
        <v>879</v>
      </c>
      <c r="D43" s="388"/>
      <c r="E43" s="388"/>
      <c r="F43" s="389"/>
      <c r="G43" s="3472"/>
    </row>
    <row r="44" spans="1:7" ht="13.5" customHeight="1">
      <c r="A44" s="386" t="s">
        <v>1041</v>
      </c>
      <c r="B44" s="359" t="s">
        <v>1082</v>
      </c>
      <c r="C44" s="388">
        <f ca="1">ROUND(IF('数据-取费表'!B22&lt;=1,C40*F22*'数据-取费表'!B21/2,C40*(POWER((1+F22),'数据-取费表'!B21/2)-1)),4)</f>
        <v>1.6000000000000001E-3</v>
      </c>
      <c r="D44" s="388"/>
      <c r="E44" s="388"/>
      <c r="F44" s="389"/>
      <c r="G44" s="3473"/>
    </row>
    <row r="45" spans="1:7" s="335" customFormat="1" ht="13.5" customHeight="1">
      <c r="A45" s="353" t="s">
        <v>1076</v>
      </c>
      <c r="B45" s="394" t="s">
        <v>1087</v>
      </c>
      <c r="C45" s="395">
        <f ca="1">C46</f>
        <v>85226</v>
      </c>
      <c r="D45" s="381">
        <f ca="1">C47</f>
        <v>4.4999999999999997E-3</v>
      </c>
      <c r="E45" s="382" t="s">
        <v>1108</v>
      </c>
      <c r="F45" s="396">
        <f ca="1">F27</f>
        <v>0.15</v>
      </c>
      <c r="G45" s="397" t="s">
        <v>1111</v>
      </c>
    </row>
    <row r="46" spans="1:7" s="335" customFormat="1" ht="13.5" customHeight="1">
      <c r="A46" s="386" t="s">
        <v>1037</v>
      </c>
      <c r="B46" s="398" t="s">
        <v>1112</v>
      </c>
      <c r="C46" s="399">
        <f ca="1">ROUND((C33+C39)*F27,0)</f>
        <v>85226</v>
      </c>
      <c r="D46" s="412"/>
      <c r="E46" s="382"/>
      <c r="F46" s="396"/>
      <c r="G46" s="397"/>
    </row>
    <row r="47" spans="1:7" s="335" customFormat="1" ht="13.5" customHeight="1">
      <c r="A47" s="386" t="s">
        <v>1039</v>
      </c>
      <c r="B47" s="398" t="s">
        <v>1113</v>
      </c>
      <c r="C47" s="388">
        <f ca="1">ROUND(C40*F27,4)</f>
        <v>4.4999999999999997E-3</v>
      </c>
      <c r="D47" s="412"/>
      <c r="E47" s="382"/>
      <c r="F47" s="396"/>
      <c r="G47" s="397"/>
    </row>
    <row r="48" spans="1:7" s="335" customFormat="1" ht="13.5" customHeight="1">
      <c r="A48" s="353" t="s">
        <v>1086</v>
      </c>
      <c r="B48" s="354" t="s">
        <v>1092</v>
      </c>
      <c r="C48" s="381">
        <f>ROUND(F30/(1+'数据-取费表'!C42),4)</f>
        <v>5.2400000000000002E-2</v>
      </c>
      <c r="D48" s="382" t="s">
        <v>1108</v>
      </c>
      <c r="E48" s="378"/>
      <c r="F48" s="385">
        <f>F30</f>
        <v>5.5000000000000007E-2</v>
      </c>
      <c r="G48" s="383" t="s">
        <v>1114</v>
      </c>
    </row>
    <row r="49" spans="1:7" ht="16.5" customHeight="1">
      <c r="A49" s="353" t="s">
        <v>1091</v>
      </c>
      <c r="B49" s="354" t="s">
        <v>1115</v>
      </c>
      <c r="C49" s="378">
        <f ca="1">ROUND((C33+C39+C41+C45)/(1-C40-D41-D45-C48),0)</f>
        <v>749931</v>
      </c>
      <c r="D49" s="378"/>
      <c r="E49" s="378"/>
      <c r="F49" s="413"/>
      <c r="G49" s="383" t="s">
        <v>1116</v>
      </c>
    </row>
    <row r="50" spans="1:7" s="337" customFormat="1" ht="24">
      <c r="A50" s="353" t="s">
        <v>1117</v>
      </c>
      <c r="B50" s="354" t="s">
        <v>1118</v>
      </c>
      <c r="C50" s="378"/>
      <c r="D50" s="378"/>
      <c r="E50" s="378"/>
      <c r="F50" s="413">
        <f>IF('数据-取费表'!B24=0,'数据-取费表'!N16,1)</f>
        <v>0.82</v>
      </c>
      <c r="G50" s="397" t="s">
        <v>1119</v>
      </c>
    </row>
    <row r="51" spans="1:7" ht="16.5" customHeight="1">
      <c r="A51" s="353" t="s">
        <v>1120</v>
      </c>
      <c r="B51" s="354" t="s">
        <v>1121</v>
      </c>
      <c r="C51" s="378">
        <f ca="1">ROUND(C49*F50,0)</f>
        <v>614943</v>
      </c>
      <c r="D51" s="378"/>
      <c r="E51" s="378"/>
      <c r="F51" s="413"/>
      <c r="G51" s="383" t="s">
        <v>1122</v>
      </c>
    </row>
    <row r="52" spans="1:7" s="334" customFormat="1" ht="15.75">
      <c r="A52" s="414" t="s">
        <v>1123</v>
      </c>
      <c r="B52" s="415"/>
      <c r="C52" s="416">
        <f ca="1">C31+C51</f>
        <v>1210080</v>
      </c>
      <c r="D52" s="415"/>
      <c r="E52" s="415"/>
      <c r="F52" s="415"/>
      <c r="G52" s="417"/>
    </row>
    <row r="55" spans="1:7" ht="15">
      <c r="B55" s="418" t="s">
        <v>1124</v>
      </c>
      <c r="C55" s="419"/>
    </row>
    <row r="56" spans="1:7">
      <c r="B56" s="420" t="s">
        <v>1125</v>
      </c>
      <c r="C56" s="422">
        <f ca="1">1-C57</f>
        <v>0.49199999999999999</v>
      </c>
    </row>
    <row r="57" spans="1:7">
      <c r="B57" s="420" t="s">
        <v>1126</v>
      </c>
      <c r="C57" s="421">
        <f ca="1">ROUND(C51/C52,3)</f>
        <v>0.50800000000000001</v>
      </c>
    </row>
  </sheetData>
  <sheetProtection password="CEE9" sheet="1" objects="1" scenarios="1" formatCells="0"/>
  <mergeCells count="1">
    <mergeCell ref="G42:G44"/>
  </mergeCells>
  <phoneticPr fontId="237"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1027</v>
      </c>
      <c r="B1" s="2309"/>
      <c r="C1" s="2310" t="s">
        <v>1127</v>
      </c>
      <c r="D1" s="343"/>
      <c r="E1" s="343"/>
      <c r="F1" s="343"/>
      <c r="G1" s="2311">
        <f>MATCH(B1,'数据-取费表'!A6:A16,0)+5</f>
        <v>7</v>
      </c>
      <c r="H1" s="1226" t="str">
        <f>IF(ISERROR(FIND("住宅",B1)),"非住宅","住宅")</f>
        <v>非住宅</v>
      </c>
    </row>
    <row r="2" spans="1:8" s="333" customFormat="1" ht="18" customHeight="1">
      <c r="A2" s="345" t="s">
        <v>1028</v>
      </c>
      <c r="B2" s="2312">
        <f ca="1">ROUND(IF(D2="——",C52/10000,C52/10000-E2),4)</f>
        <v>648870.71039999998</v>
      </c>
      <c r="C2" s="344" t="s">
        <v>1029</v>
      </c>
      <c r="D2" s="2313" t="s">
        <v>124</v>
      </c>
      <c r="E2" s="2314" t="e">
        <f ca="1">SUMIF(INDIRECT("'"&amp;G2&amp;"'"&amp;"!A:A"),"承租人权益价值",INDIRECT("'"&amp;G2&amp;"'"&amp;"!c:c"))</f>
        <v>#REF!</v>
      </c>
      <c r="F2" s="2315" t="s">
        <v>1029</v>
      </c>
      <c r="G2" s="2316"/>
    </row>
    <row r="3" spans="1:8" s="333" customFormat="1" ht="18" customHeight="1">
      <c r="A3" s="348" t="s">
        <v>1030</v>
      </c>
      <c r="B3" s="349">
        <f ca="1">ROUND(B2*10000/(IF(B1="",'数据-汇总表'!E3,INDIRECT("'数据-取费表'!k"&amp;$G$1))),0)</f>
        <v>10869</v>
      </c>
      <c r="C3" s="344" t="s">
        <v>1031</v>
      </c>
      <c r="D3" s="344"/>
      <c r="E3" s="344"/>
      <c r="F3" s="344"/>
      <c r="G3" s="344"/>
    </row>
    <row r="4" spans="1:8" s="334" customFormat="1" ht="15.75">
      <c r="A4" s="350" t="s">
        <v>1032</v>
      </c>
      <c r="B4" s="351"/>
      <c r="C4" s="351"/>
      <c r="D4" s="351"/>
      <c r="E4" s="351"/>
      <c r="F4" s="351"/>
      <c r="G4" s="352"/>
    </row>
    <row r="5" spans="1:8" s="335" customFormat="1" ht="13.5" customHeight="1">
      <c r="A5" s="353" t="s">
        <v>1033</v>
      </c>
      <c r="B5" s="354" t="s">
        <v>1034</v>
      </c>
      <c r="C5" s="355">
        <f ca="1">C6+C7+C8</f>
        <v>119398718</v>
      </c>
      <c r="D5" s="355" t="s">
        <v>1035</v>
      </c>
      <c r="E5" s="356" t="s">
        <v>1036</v>
      </c>
      <c r="F5" s="356" t="s">
        <v>933</v>
      </c>
      <c r="G5" s="357"/>
    </row>
    <row r="6" spans="1:8" s="335" customFormat="1" ht="13.5" customHeight="1">
      <c r="A6" s="358" t="s">
        <v>1037</v>
      </c>
      <c r="B6" s="359" t="s">
        <v>1038</v>
      </c>
      <c r="C6" s="360"/>
      <c r="D6" s="361"/>
      <c r="E6" s="362"/>
      <c r="F6" s="362"/>
      <c r="G6" s="363"/>
    </row>
    <row r="7" spans="1:8" s="335" customFormat="1" ht="13.5" customHeight="1">
      <c r="A7" s="358" t="s">
        <v>1039</v>
      </c>
      <c r="B7" s="359" t="s">
        <v>1040</v>
      </c>
      <c r="C7" s="364">
        <f>ROUND(C6*F7,0)</f>
        <v>0</v>
      </c>
      <c r="D7" s="364"/>
      <c r="E7" s="362"/>
      <c r="F7" s="365">
        <f>IF(项目基本情况!B8="出让",0,'数据-取费表'!B48+'数据-取费表'!B49)</f>
        <v>3.0499999999999999E-2</v>
      </c>
      <c r="G7" s="363"/>
    </row>
    <row r="8" spans="1:8" s="336" customFormat="1">
      <c r="A8" s="358" t="s">
        <v>1041</v>
      </c>
      <c r="B8" s="359" t="s">
        <v>1042</v>
      </c>
      <c r="C8" s="364">
        <f ca="1">IF(G8="已包含在土地购买价格中",0,C9+C10)</f>
        <v>119398718</v>
      </c>
      <c r="D8" s="366"/>
      <c r="E8" s="364"/>
      <c r="F8" s="365"/>
      <c r="G8" s="2317"/>
    </row>
    <row r="9" spans="1:8" s="335" customFormat="1" ht="13.5" customHeight="1">
      <c r="A9" s="368" t="s">
        <v>1044</v>
      </c>
      <c r="B9" s="369" t="s">
        <v>1045</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1048</v>
      </c>
      <c r="B10" s="369" t="s">
        <v>1049</v>
      </c>
      <c r="C10" s="370">
        <f ca="1">ROUND(D10*E10,0)</f>
        <v>119398718</v>
      </c>
      <c r="D10" s="371">
        <f ca="1">IF(B1="",'数据-汇总表'!E6,IF(INDIRECT("'数据-取费表'!c"&amp;$G$1)="住宅",INDIRECT("'数据-取费表'!s"&amp;$G$1),INDIRECT("'数据-取费表'!k"&amp;$G$1)+INDIRECT("'数据-取费表'!s"&amp;$G$1)))</f>
        <v>596993.59</v>
      </c>
      <c r="E10" s="370">
        <f>'数据-取费表'!B28</f>
        <v>200</v>
      </c>
      <c r="F10" s="365"/>
      <c r="G10" s="372"/>
    </row>
    <row r="11" spans="1:8" s="335" customFormat="1" ht="13.5" hidden="1" customHeight="1">
      <c r="A11" s="373" t="s">
        <v>1050</v>
      </c>
      <c r="B11" s="359" t="s">
        <v>1051</v>
      </c>
      <c r="C11" s="355"/>
      <c r="D11" s="362"/>
      <c r="E11" s="362"/>
      <c r="F11" s="362"/>
      <c r="G11" s="363"/>
    </row>
    <row r="12" spans="1:8" s="335" customFormat="1" ht="13.5" hidden="1" customHeight="1">
      <c r="A12" s="373" t="s">
        <v>1052</v>
      </c>
      <c r="B12" s="359" t="s">
        <v>969</v>
      </c>
      <c r="C12" s="355">
        <v>0</v>
      </c>
      <c r="D12" s="362"/>
      <c r="E12" s="374"/>
      <c r="F12" s="365">
        <v>3.0499999999999999E-2</v>
      </c>
      <c r="G12" s="363"/>
    </row>
    <row r="13" spans="1:8" s="335" customFormat="1" ht="13.5" hidden="1" customHeight="1">
      <c r="A13" s="373" t="s">
        <v>1053</v>
      </c>
      <c r="B13" s="359" t="s">
        <v>1054</v>
      </c>
      <c r="C13" s="355"/>
      <c r="D13" s="362"/>
      <c r="E13" s="362"/>
      <c r="F13" s="362"/>
      <c r="G13" s="363"/>
    </row>
    <row r="14" spans="1:8" s="335" customFormat="1" ht="13.5" hidden="1" customHeight="1">
      <c r="A14" s="373" t="s">
        <v>1055</v>
      </c>
      <c r="B14" s="359" t="s">
        <v>1042</v>
      </c>
      <c r="C14" s="355"/>
      <c r="D14" s="362"/>
      <c r="E14" s="362"/>
      <c r="F14" s="362"/>
      <c r="G14" s="363" t="s">
        <v>1056</v>
      </c>
    </row>
    <row r="15" spans="1:8" s="335" customFormat="1" ht="13.5" hidden="1" customHeight="1">
      <c r="A15" s="373" t="s">
        <v>1057</v>
      </c>
      <c r="B15" s="359" t="s">
        <v>1058</v>
      </c>
      <c r="C15" s="364"/>
      <c r="D15" s="362"/>
      <c r="E15" s="362"/>
      <c r="F15" s="362"/>
      <c r="G15" s="363" t="s">
        <v>1059</v>
      </c>
    </row>
    <row r="16" spans="1:8" s="335" customFormat="1" ht="13.5" hidden="1" customHeight="1">
      <c r="A16" s="373" t="s">
        <v>1060</v>
      </c>
      <c r="B16" s="359" t="s">
        <v>1042</v>
      </c>
      <c r="C16" s="364"/>
      <c r="D16" s="362"/>
      <c r="E16" s="362"/>
      <c r="F16" s="362"/>
      <c r="G16" s="363"/>
    </row>
    <row r="17" spans="1:7" s="335" customFormat="1" ht="13.5" hidden="1" customHeight="1">
      <c r="A17" s="373" t="s">
        <v>1061</v>
      </c>
      <c r="B17" s="359" t="s">
        <v>1062</v>
      </c>
      <c r="C17" s="375"/>
      <c r="D17" s="375"/>
      <c r="E17" s="375"/>
      <c r="F17" s="375"/>
      <c r="G17" s="363" t="s">
        <v>1059</v>
      </c>
    </row>
    <row r="18" spans="1:7" s="335" customFormat="1" ht="13.5" hidden="1" customHeight="1">
      <c r="A18" s="373" t="s">
        <v>1063</v>
      </c>
      <c r="B18" s="359" t="s">
        <v>1064</v>
      </c>
      <c r="C18" s="364">
        <v>0</v>
      </c>
      <c r="D18" s="362"/>
      <c r="E18" s="362"/>
      <c r="F18" s="365">
        <v>3.0499999999999999E-2</v>
      </c>
      <c r="G18" s="363" t="s">
        <v>1065</v>
      </c>
    </row>
    <row r="19" spans="1:7" s="336" customFormat="1" ht="13.5" customHeight="1">
      <c r="A19" s="353" t="s">
        <v>1066</v>
      </c>
      <c r="B19" s="354" t="s">
        <v>1067</v>
      </c>
      <c r="C19" s="355">
        <f ca="1">IF(G19="已包含在土地取得成本中","0",ROUND(D19*E19,0))</f>
        <v>119398718</v>
      </c>
      <c r="D19" s="356">
        <f ca="1">D9+D10</f>
        <v>596993.59</v>
      </c>
      <c r="E19" s="355">
        <f>'数据-取费表'!B31</f>
        <v>200</v>
      </c>
      <c r="F19" s="377"/>
      <c r="G19" s="2317"/>
    </row>
    <row r="20" spans="1:7" s="335" customFormat="1" ht="13.5" customHeight="1">
      <c r="A20" s="353" t="s">
        <v>1069</v>
      </c>
      <c r="B20" s="354" t="s">
        <v>1070</v>
      </c>
      <c r="C20" s="378">
        <f ca="1">ROUND((C5+C19)*F20,0)</f>
        <v>7163923</v>
      </c>
      <c r="D20" s="378"/>
      <c r="E20" s="378"/>
      <c r="F20" s="379">
        <f>'数据-取费表'!B37</f>
        <v>0.03</v>
      </c>
      <c r="G20" s="383" t="s">
        <v>1071</v>
      </c>
    </row>
    <row r="21" spans="1:7" s="335" customFormat="1" ht="13.5" customHeight="1">
      <c r="A21" s="353" t="s">
        <v>1072</v>
      </c>
      <c r="B21" s="354" t="s">
        <v>1073</v>
      </c>
      <c r="C21" s="381">
        <f>F21</f>
        <v>0.03</v>
      </c>
      <c r="D21" s="382" t="s">
        <v>1074</v>
      </c>
      <c r="E21" s="378"/>
      <c r="F21" s="379">
        <f>'数据-取费表'!B38</f>
        <v>0.03</v>
      </c>
      <c r="G21" s="383" t="s">
        <v>1075</v>
      </c>
    </row>
    <row r="22" spans="1:7" s="335" customFormat="1" ht="13.5" customHeight="1">
      <c r="A22" s="353" t="s">
        <v>1076</v>
      </c>
      <c r="B22" s="354" t="s">
        <v>1077</v>
      </c>
      <c r="C22" s="378">
        <f ca="1">ROUND(SUM(C23:C25),0)</f>
        <v>26408479</v>
      </c>
      <c r="D22" s="381">
        <f ca="1">C26</f>
        <v>1.6000000000000001E-3</v>
      </c>
      <c r="E22" s="382" t="s">
        <v>1074</v>
      </c>
      <c r="F22" s="385">
        <f ca="1">'数据-取费表'!B40</f>
        <v>0.03</v>
      </c>
      <c r="G22" s="383" t="str">
        <f>IF('数据-取费表'!B22&lt;=1,"单利计息","复利计息")</f>
        <v>复利计息</v>
      </c>
    </row>
    <row r="23" spans="1:7" s="335" customFormat="1" ht="13.5" customHeight="1">
      <c r="A23" s="386" t="s">
        <v>1037</v>
      </c>
      <c r="B23" s="359" t="s">
        <v>1078</v>
      </c>
      <c r="C23" s="388">
        <f ca="1">ROUND(IF('数据-取费表'!B22&lt;=1,C5*F22*'数据-取费表'!B22,C5*(POWER((1+F22),'数据-取费表'!B22)-1)),0)</f>
        <v>13014076</v>
      </c>
      <c r="D23" s="388"/>
      <c r="E23" s="388"/>
      <c r="F23" s="389"/>
      <c r="G23" s="390" t="s">
        <v>1079</v>
      </c>
    </row>
    <row r="24" spans="1:7" s="335" customFormat="1" ht="13.5" customHeight="1">
      <c r="A24" s="386" t="s">
        <v>1039</v>
      </c>
      <c r="B24" s="359" t="s">
        <v>1080</v>
      </c>
      <c r="C24" s="388">
        <f ca="1">ROUND(IF('数据-取费表'!B22&lt;=1,C19*F22*('数据-取费表'!B19/2+'数据-取费表'!B20),C19*(POWER((1+F22),('数据-取费表'!B19/2+'数据-取费表'!B20))-1)),0)</f>
        <v>13014076</v>
      </c>
      <c r="D24" s="388"/>
      <c r="E24" s="388"/>
      <c r="F24" s="389"/>
      <c r="G24" s="390" t="s">
        <v>1081</v>
      </c>
    </row>
    <row r="25" spans="1:7" s="335" customFormat="1" ht="24">
      <c r="A25" s="386" t="s">
        <v>1041</v>
      </c>
      <c r="B25" s="359" t="s">
        <v>1082</v>
      </c>
      <c r="C25" s="388">
        <f ca="1">ROUND(IF('数据-取费表'!B22&lt;=1,C20*F22*'数据-取费表'!B22/2,C20*(POWER((1+F22),'数据-取费表'!B22/2)-1)),0)</f>
        <v>380327</v>
      </c>
      <c r="D25" s="388"/>
      <c r="E25" s="391"/>
      <c r="F25" s="389"/>
      <c r="G25" s="392" t="s">
        <v>1083</v>
      </c>
    </row>
    <row r="26" spans="1:7" s="335" customFormat="1">
      <c r="A26" s="386" t="s">
        <v>1084</v>
      </c>
      <c r="B26" s="359" t="s">
        <v>1085</v>
      </c>
      <c r="C26" s="388">
        <f ca="1">ROUND(IF('数据-取费表'!B22&lt;=1,F21*F22*'数据-取费表'!B22/2,F21*(POWER((1+F22),'数据-取费表'!B22/2)-1)),4)</f>
        <v>1.6000000000000001E-3</v>
      </c>
      <c r="D26" s="388"/>
      <c r="E26" s="391"/>
      <c r="F26" s="389"/>
      <c r="G26" s="393"/>
    </row>
    <row r="27" spans="1:7" s="335" customFormat="1" ht="24.75">
      <c r="A27" s="353" t="s">
        <v>1086</v>
      </c>
      <c r="B27" s="394" t="s">
        <v>1087</v>
      </c>
      <c r="C27" s="395">
        <f ca="1">C28</f>
        <v>36894204</v>
      </c>
      <c r="D27" s="381">
        <f ca="1">C29</f>
        <v>4.4999999999999997E-3</v>
      </c>
      <c r="E27" s="382" t="s">
        <v>1074</v>
      </c>
      <c r="F27" s="396">
        <f ca="1">IF(B1="",'数据-取费表'!Q16,INDIRECT("'数据-取费表'!q"&amp;$G$1))</f>
        <v>0.15</v>
      </c>
      <c r="G27" s="397" t="s">
        <v>1088</v>
      </c>
    </row>
    <row r="28" spans="1:7" s="335" customFormat="1" ht="13.5" customHeight="1">
      <c r="A28" s="386" t="s">
        <v>1037</v>
      </c>
      <c r="B28" s="398" t="s">
        <v>1089</v>
      </c>
      <c r="C28" s="399">
        <f ca="1">ROUND((C5+C19+C20)*F27,0)</f>
        <v>36894204</v>
      </c>
      <c r="D28" s="381"/>
      <c r="E28" s="382"/>
      <c r="F28" s="396"/>
      <c r="G28" s="397"/>
    </row>
    <row r="29" spans="1:7" s="335" customFormat="1" ht="13.5" customHeight="1">
      <c r="A29" s="386" t="s">
        <v>1039</v>
      </c>
      <c r="B29" s="398" t="s">
        <v>1090</v>
      </c>
      <c r="C29" s="388">
        <f ca="1">ROUND(C21*F27,4)</f>
        <v>4.4999999999999997E-3</v>
      </c>
      <c r="D29" s="381"/>
      <c r="E29" s="382"/>
      <c r="F29" s="396"/>
      <c r="G29" s="397"/>
    </row>
    <row r="30" spans="1:7" s="335" customFormat="1" ht="13.5" customHeight="1">
      <c r="A30" s="353" t="s">
        <v>1091</v>
      </c>
      <c r="B30" s="354" t="s">
        <v>1092</v>
      </c>
      <c r="C30" s="381">
        <f>ROUND(F30/(1+'数据-取费表'!C42),4)</f>
        <v>5.2400000000000002E-2</v>
      </c>
      <c r="D30" s="382" t="s">
        <v>1074</v>
      </c>
      <c r="E30" s="391"/>
      <c r="F30" s="385">
        <f>'数据-取费表'!B41</f>
        <v>5.5000000000000007E-2</v>
      </c>
      <c r="G30" s="383" t="s">
        <v>1093</v>
      </c>
    </row>
    <row r="31" spans="1:7" ht="16.5" customHeight="1">
      <c r="A31" s="400">
        <v>1</v>
      </c>
      <c r="B31" s="354" t="s">
        <v>1094</v>
      </c>
      <c r="C31" s="355">
        <f ca="1">ROUND((C5+C19+C20+C22+C27)/(1-C21-D22-D27-C30),0)</f>
        <v>339291324</v>
      </c>
      <c r="D31" s="401"/>
      <c r="E31" s="355"/>
      <c r="F31" s="402"/>
      <c r="G31" s="383" t="s">
        <v>1095</v>
      </c>
    </row>
    <row r="32" spans="1:7" s="334" customFormat="1" ht="15.75">
      <c r="A32" s="403" t="s">
        <v>1128</v>
      </c>
      <c r="B32" s="404"/>
      <c r="C32" s="404"/>
      <c r="D32" s="404"/>
      <c r="E32" s="404"/>
      <c r="F32" s="404"/>
      <c r="G32" s="405"/>
    </row>
    <row r="33" spans="1:7" s="335" customFormat="1" ht="13.5" customHeight="1">
      <c r="A33" s="353" t="s">
        <v>1033</v>
      </c>
      <c r="B33" s="354" t="s">
        <v>1129</v>
      </c>
      <c r="C33" s="406">
        <f ca="1">SUM(C34:C38)</f>
        <v>5516220772</v>
      </c>
      <c r="D33" s="378"/>
      <c r="E33" s="356"/>
      <c r="F33" s="391"/>
      <c r="G33" s="383"/>
    </row>
    <row r="34" spans="1:7" s="337" customFormat="1" ht="13.5" customHeight="1">
      <c r="A34" s="386" t="s">
        <v>1037</v>
      </c>
      <c r="B34" s="359" t="s">
        <v>1098</v>
      </c>
      <c r="C34" s="364">
        <f ca="1">ROUND(IF(B1="",SUMPRODUCT('数据-取费表'!K6:K14,'数据-取费表'!L6:L14),INDIRECT("'数据-取费表'!l"&amp;$G$1)*INDIRECT("'数据-取费表'!k"&amp;$G$1)+'数据-取费表'!L14*INDIRECT("'数据-取费表'!S"&amp;$G$1)),0)</f>
        <v>4775948720</v>
      </c>
      <c r="D34" s="361"/>
      <c r="E34" s="364"/>
      <c r="F34" s="407"/>
      <c r="G34" s="363"/>
    </row>
    <row r="35" spans="1:7" ht="13.5" customHeight="1">
      <c r="A35" s="386" t="s">
        <v>1039</v>
      </c>
      <c r="B35" s="359" t="s">
        <v>1100</v>
      </c>
      <c r="C35" s="364">
        <f ca="1">ROUND(C34*F35,0)</f>
        <v>477594872</v>
      </c>
      <c r="D35" s="364"/>
      <c r="E35" s="364"/>
      <c r="F35" s="408">
        <f>'数据-取费表'!B33</f>
        <v>0.1</v>
      </c>
      <c r="G35" s="363" t="s">
        <v>1101</v>
      </c>
    </row>
    <row r="36" spans="1:7" ht="24">
      <c r="A36" s="386" t="s">
        <v>1041</v>
      </c>
      <c r="B36" s="359" t="s">
        <v>1102</v>
      </c>
      <c r="C36" s="364">
        <f ca="1">ROUND(IF(B1="",SUM('数据-取费表'!AP6:AP13)*F36,IF(INDIRECT("'数据-取费表'!c"&amp;$G$1)="住宅",INDIRECT("'数据-取费表'!k"&amp;$G$1)*INDIRECT("'数据-取费表'!l"&amp;$G$1)*F36,0)),0)</f>
        <v>0</v>
      </c>
      <c r="D36" s="364"/>
      <c r="E36" s="364"/>
      <c r="F36" s="408">
        <f>'数据-取费表'!B34</f>
        <v>0</v>
      </c>
      <c r="G36" s="409" t="s">
        <v>1103</v>
      </c>
    </row>
    <row r="37" spans="1:7" s="337" customFormat="1" ht="13.5" customHeight="1">
      <c r="A37" s="386" t="s">
        <v>1084</v>
      </c>
      <c r="B37" s="359" t="s">
        <v>1104</v>
      </c>
      <c r="C37" s="399">
        <f ca="1">ROUND(E37*D37,0)</f>
        <v>119398718</v>
      </c>
      <c r="D37" s="361">
        <f ca="1">D19</f>
        <v>596993.59</v>
      </c>
      <c r="E37" s="399">
        <f>'数据-取费表'!B35</f>
        <v>200</v>
      </c>
      <c r="F37" s="408"/>
      <c r="G37" s="410"/>
    </row>
    <row r="38" spans="1:7" ht="13.5" customHeight="1">
      <c r="A38" s="386" t="s">
        <v>1106</v>
      </c>
      <c r="B38" s="359" t="s">
        <v>969</v>
      </c>
      <c r="C38" s="364">
        <f ca="1">ROUND(C34*F38,0)</f>
        <v>143278462</v>
      </c>
      <c r="D38" s="364"/>
      <c r="E38" s="364"/>
      <c r="F38" s="408">
        <f>'数据-取费表'!B36</f>
        <v>0.03</v>
      </c>
      <c r="G38" s="363" t="s">
        <v>1101</v>
      </c>
    </row>
    <row r="39" spans="1:7" s="335" customFormat="1" ht="13.5" customHeight="1">
      <c r="A39" s="353" t="s">
        <v>1066</v>
      </c>
      <c r="B39" s="354" t="s">
        <v>1070</v>
      </c>
      <c r="C39" s="378">
        <f ca="1">ROUND(C33*F20,0)</f>
        <v>165486623</v>
      </c>
      <c r="D39" s="378"/>
      <c r="E39" s="378"/>
      <c r="F39" s="379">
        <f>F20</f>
        <v>0.03</v>
      </c>
      <c r="G39" s="383" t="s">
        <v>1107</v>
      </c>
    </row>
    <row r="40" spans="1:7" s="335" customFormat="1" ht="13.5" customHeight="1">
      <c r="A40" s="353" t="s">
        <v>1069</v>
      </c>
      <c r="B40" s="354" t="s">
        <v>1073</v>
      </c>
      <c r="C40" s="381">
        <f>F21</f>
        <v>0.03</v>
      </c>
      <c r="D40" s="382" t="s">
        <v>1108</v>
      </c>
      <c r="E40" s="378"/>
      <c r="F40" s="379">
        <f>F21</f>
        <v>0.03</v>
      </c>
      <c r="G40" s="383" t="s">
        <v>1109</v>
      </c>
    </row>
    <row r="41" spans="1:7" s="335" customFormat="1" ht="13.5" customHeight="1">
      <c r="A41" s="353" t="s">
        <v>1072</v>
      </c>
      <c r="B41" s="354" t="s">
        <v>1077</v>
      </c>
      <c r="C41" s="378">
        <f ca="1">ROUND(SUM(C42:C43),0)</f>
        <v>301637085</v>
      </c>
      <c r="D41" s="381">
        <f ca="1">C44</f>
        <v>1.6000000000000001E-3</v>
      </c>
      <c r="E41" s="382" t="s">
        <v>1108</v>
      </c>
      <c r="F41" s="385">
        <f ca="1">F22</f>
        <v>0.03</v>
      </c>
      <c r="G41" s="383" t="str">
        <f>IF('数据-取费表'!B22&lt;=1,"单利计息","复利计息")</f>
        <v>复利计息</v>
      </c>
    </row>
    <row r="42" spans="1:7" ht="13.5" customHeight="1">
      <c r="A42" s="386" t="s">
        <v>1037</v>
      </c>
      <c r="B42" s="359" t="s">
        <v>1078</v>
      </c>
      <c r="C42" s="388">
        <f ca="1">ROUND(IF('数据-取费表'!B22&lt;=1,C33*F22*'数据-取费表'!B20/2,C33*(POWER((1+F22),'数据-取费表'!B20/2)-1)),0)</f>
        <v>292851539</v>
      </c>
      <c r="D42" s="388"/>
      <c r="E42" s="388"/>
      <c r="F42" s="389"/>
      <c r="G42" s="3471" t="s">
        <v>1130</v>
      </c>
    </row>
    <row r="43" spans="1:7" ht="13.5" customHeight="1">
      <c r="A43" s="386" t="s">
        <v>1039</v>
      </c>
      <c r="B43" s="359" t="s">
        <v>1080</v>
      </c>
      <c r="C43" s="388">
        <f ca="1">ROUND(IF('数据-取费表'!B22&lt;=1,C39*F22*'数据-取费表'!B20/2,C39*(POWER((1+F22),'数据-取费表'!B20/2)-1)),0)</f>
        <v>8785546</v>
      </c>
      <c r="D43" s="388"/>
      <c r="E43" s="388"/>
      <c r="F43" s="389"/>
      <c r="G43" s="3472"/>
    </row>
    <row r="44" spans="1:7" ht="13.5" customHeight="1">
      <c r="A44" s="386" t="s">
        <v>1041</v>
      </c>
      <c r="B44" s="359" t="s">
        <v>1082</v>
      </c>
      <c r="C44" s="388">
        <f ca="1">ROUND(IF('数据-取费表'!B22&lt;=1,C40*F22*'数据-取费表'!B20/2,C40*(POWER((1+F22),'数据-取费表'!B20/2)-1)),4)</f>
        <v>1.6000000000000001E-3</v>
      </c>
      <c r="D44" s="388"/>
      <c r="E44" s="388"/>
      <c r="F44" s="389"/>
      <c r="G44" s="3473"/>
    </row>
    <row r="45" spans="1:7" s="335" customFormat="1" ht="13.5" customHeight="1">
      <c r="A45" s="353" t="s">
        <v>1076</v>
      </c>
      <c r="B45" s="394" t="s">
        <v>1087</v>
      </c>
      <c r="C45" s="395">
        <f ca="1">C46</f>
        <v>852256109</v>
      </c>
      <c r="D45" s="381">
        <f ca="1">C47</f>
        <v>4.4999999999999997E-3</v>
      </c>
      <c r="E45" s="382" t="s">
        <v>1108</v>
      </c>
      <c r="F45" s="396">
        <f ca="1">F27</f>
        <v>0.15</v>
      </c>
      <c r="G45" s="397" t="s">
        <v>1111</v>
      </c>
    </row>
    <row r="46" spans="1:7" s="335" customFormat="1" ht="13.5" customHeight="1">
      <c r="A46" s="386" t="s">
        <v>1037</v>
      </c>
      <c r="B46" s="398" t="s">
        <v>1112</v>
      </c>
      <c r="C46" s="399">
        <f ca="1">ROUND((C33+C39)*F27,0)</f>
        <v>852256109</v>
      </c>
      <c r="D46" s="412"/>
      <c r="E46" s="382"/>
      <c r="F46" s="396"/>
      <c r="G46" s="397"/>
    </row>
    <row r="47" spans="1:7" s="335" customFormat="1" ht="13.5" customHeight="1">
      <c r="A47" s="386" t="s">
        <v>1039</v>
      </c>
      <c r="B47" s="398" t="s">
        <v>1113</v>
      </c>
      <c r="C47" s="388">
        <f ca="1">ROUND(C40*F27,4)</f>
        <v>4.4999999999999997E-3</v>
      </c>
      <c r="D47" s="412"/>
      <c r="E47" s="382"/>
      <c r="F47" s="396"/>
      <c r="G47" s="397"/>
    </row>
    <row r="48" spans="1:7" s="335" customFormat="1" ht="13.5" customHeight="1">
      <c r="A48" s="353" t="s">
        <v>1086</v>
      </c>
      <c r="B48" s="354" t="s">
        <v>1092</v>
      </c>
      <c r="C48" s="411">
        <f>ROUND(F30/(1+'数据-取费表'!C42),4)</f>
        <v>5.2400000000000002E-2</v>
      </c>
      <c r="D48" s="382" t="s">
        <v>1108</v>
      </c>
      <c r="E48" s="378"/>
      <c r="F48" s="385">
        <f>F30</f>
        <v>5.5000000000000007E-2</v>
      </c>
      <c r="G48" s="383" t="s">
        <v>1114</v>
      </c>
    </row>
    <row r="49" spans="1:7" ht="16.5" customHeight="1">
      <c r="A49" s="353" t="s">
        <v>1091</v>
      </c>
      <c r="B49" s="354" t="s">
        <v>1131</v>
      </c>
      <c r="C49" s="378">
        <f ca="1">ROUND((C33+C39+C41+C45)/(1-C40-D41-D45-C48),0)</f>
        <v>7499287536</v>
      </c>
      <c r="D49" s="378"/>
      <c r="E49" s="378"/>
      <c r="F49" s="413"/>
      <c r="G49" s="383" t="s">
        <v>1116</v>
      </c>
    </row>
    <row r="50" spans="1:7" s="337" customFormat="1">
      <c r="A50" s="353" t="s">
        <v>1117</v>
      </c>
      <c r="B50" s="354" t="s">
        <v>1118</v>
      </c>
      <c r="C50" s="378"/>
      <c r="D50" s="378"/>
      <c r="E50" s="378"/>
      <c r="F50" s="413">
        <f>IF('数据-取费表'!B24=0,'数据-取费表'!N16,1)</f>
        <v>0.82</v>
      </c>
      <c r="G50" s="397"/>
    </row>
    <row r="51" spans="1:7" ht="16.5" customHeight="1">
      <c r="A51" s="353" t="s">
        <v>1120</v>
      </c>
      <c r="B51" s="354" t="s">
        <v>1132</v>
      </c>
      <c r="C51" s="378">
        <f ca="1">ROUND(C49*F50,0)</f>
        <v>6149415780</v>
      </c>
      <c r="D51" s="378"/>
      <c r="E51" s="378"/>
      <c r="F51" s="413"/>
      <c r="G51" s="383" t="s">
        <v>1122</v>
      </c>
    </row>
    <row r="52" spans="1:7" s="334" customFormat="1" ht="15.75">
      <c r="A52" s="414" t="s">
        <v>1123</v>
      </c>
      <c r="B52" s="415"/>
      <c r="C52" s="416">
        <f ca="1">C31+C51</f>
        <v>6488707104</v>
      </c>
      <c r="D52" s="415"/>
      <c r="E52" s="415"/>
      <c r="F52" s="415"/>
      <c r="G52" s="417"/>
    </row>
    <row r="55" spans="1:7" ht="15">
      <c r="B55" s="418" t="s">
        <v>1124</v>
      </c>
      <c r="C55" s="419"/>
    </row>
    <row r="56" spans="1:7">
      <c r="B56" s="420" t="s">
        <v>1125</v>
      </c>
      <c r="C56" s="422">
        <f ca="1">1-C57</f>
        <v>5.2000000000000046E-2</v>
      </c>
    </row>
    <row r="57" spans="1:7">
      <c r="B57" s="420" t="s">
        <v>1126</v>
      </c>
      <c r="C57" s="421">
        <f ca="1">ROUND(C51/C52,3)</f>
        <v>0.94799999999999995</v>
      </c>
    </row>
  </sheetData>
  <sheetProtection password="CEE9" sheet="1" objects="1" scenarios="1" formatCells="0"/>
  <mergeCells count="1">
    <mergeCell ref="G42:G44"/>
  </mergeCells>
  <phoneticPr fontId="237"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0" customWidth="1"/>
    <col min="2" max="2" width="25.75" style="2225" customWidth="1"/>
    <col min="3" max="3" width="10.375" style="2226" customWidth="1"/>
    <col min="4" max="4" width="9.875" style="2225" customWidth="1"/>
    <col min="5" max="5" width="9.5" style="610" customWidth="1"/>
    <col min="6" max="6" width="10.125" style="2225" customWidth="1"/>
    <col min="7" max="7" width="10.75" style="2225" customWidth="1"/>
    <col min="8" max="8" width="10" style="2225" customWidth="1"/>
    <col min="9" max="11" width="9.5" style="2225" customWidth="1"/>
    <col min="12" max="12" width="9" style="2225" customWidth="1"/>
    <col min="13" max="13" width="10.5" style="2225" customWidth="1"/>
    <col min="14" max="254" width="9" style="2225" customWidth="1"/>
    <col min="255" max="16384" width="6.625" style="2225"/>
  </cols>
  <sheetData>
    <row r="1" spans="1:33" ht="20.25">
      <c r="A1" s="341" t="s">
        <v>1133</v>
      </c>
      <c r="B1" s="560"/>
      <c r="C1" s="2227"/>
      <c r="D1" s="2228"/>
      <c r="E1" s="2229"/>
      <c r="F1" s="2229"/>
      <c r="G1" s="2230"/>
      <c r="H1" s="2229"/>
      <c r="I1" s="2229"/>
      <c r="J1" s="2229"/>
      <c r="K1" s="2297">
        <f>MATCH(C1,'数据-取费表'!A6:A16,0)+5</f>
        <v>7</v>
      </c>
    </row>
    <row r="2" spans="1:33" ht="18" customHeight="1">
      <c r="A2" s="345" t="s">
        <v>1028</v>
      </c>
      <c r="B2" s="349">
        <f ca="1">C32</f>
        <v>0</v>
      </c>
      <c r="C2" s="2231" t="s">
        <v>1134</v>
      </c>
      <c r="D2" s="2231"/>
      <c r="E2" s="2229"/>
      <c r="F2" s="2229"/>
      <c r="G2" s="2229"/>
      <c r="H2" s="2229"/>
      <c r="I2" s="2229"/>
      <c r="J2" s="2229"/>
      <c r="K2" s="2229"/>
    </row>
    <row r="3" spans="1:33" ht="18" customHeight="1">
      <c r="A3" s="348" t="s">
        <v>1030</v>
      </c>
      <c r="B3" s="349">
        <f ca="1">ROUND(B2*10000/IF(C1="",'数据-汇总表'!E3,INDIRECT("'数据-取费表'!K"&amp;$K$1)),0)</f>
        <v>0</v>
      </c>
      <c r="C3" s="2231" t="s">
        <v>1135</v>
      </c>
      <c r="D3" s="2231"/>
      <c r="E3" s="2229"/>
      <c r="F3" s="2229"/>
      <c r="G3" s="2229"/>
      <c r="H3" s="2229"/>
      <c r="I3" s="2229"/>
      <c r="J3" s="2229"/>
      <c r="K3" s="2229"/>
    </row>
    <row r="4" spans="1:33" s="2217" customFormat="1" ht="16.5" customHeight="1">
      <c r="A4" s="2232" t="s">
        <v>1136</v>
      </c>
      <c r="B4" s="2233"/>
      <c r="C4" s="2234">
        <f>SUM(C8:K8)</f>
        <v>0</v>
      </c>
      <c r="D4" s="2233"/>
      <c r="E4" s="2233"/>
      <c r="F4" s="2233"/>
      <c r="G4" s="2233"/>
      <c r="H4" s="2233"/>
      <c r="I4" s="2233"/>
      <c r="J4" s="2233"/>
      <c r="K4" s="2298"/>
    </row>
    <row r="5" spans="1:33" s="2218" customFormat="1" ht="15">
      <c r="A5" s="2235" t="s">
        <v>1137</v>
      </c>
      <c r="B5" s="2236" t="s">
        <v>1138</v>
      </c>
      <c r="C5" s="2237"/>
      <c r="D5" s="2237"/>
      <c r="E5" s="2237"/>
      <c r="F5" s="2237"/>
      <c r="G5" s="2237"/>
      <c r="H5" s="2237"/>
      <c r="I5" s="2237"/>
      <c r="J5" s="2237"/>
      <c r="K5" s="2237"/>
      <c r="L5" s="2299"/>
      <c r="M5" s="2299"/>
      <c r="N5" s="2299"/>
      <c r="O5" s="2299"/>
      <c r="P5" s="2299"/>
      <c r="Q5" s="2299"/>
      <c r="R5" s="2299"/>
      <c r="S5" s="2299"/>
      <c r="T5" s="2299"/>
      <c r="U5" s="2299"/>
      <c r="V5" s="2299"/>
      <c r="W5" s="2299"/>
      <c r="X5" s="2299"/>
      <c r="Y5" s="2299"/>
      <c r="Z5" s="2299"/>
      <c r="AA5" s="2299"/>
      <c r="AB5" s="2299"/>
      <c r="AC5" s="2299"/>
      <c r="AD5" s="2299"/>
      <c r="AE5" s="2299"/>
      <c r="AF5" s="2299"/>
      <c r="AG5" s="2299"/>
    </row>
    <row r="6" spans="1:33" s="516" customFormat="1" ht="13.5" customHeight="1">
      <c r="A6" s="2238" t="s">
        <v>938</v>
      </c>
      <c r="B6" s="1537" t="s">
        <v>1139</v>
      </c>
      <c r="C6" s="2239"/>
      <c r="D6" s="2239"/>
      <c r="E6" s="2239"/>
      <c r="F6" s="2239"/>
      <c r="G6" s="2239"/>
      <c r="H6" s="2239"/>
      <c r="I6" s="2239"/>
      <c r="J6" s="2239"/>
      <c r="K6" s="2300"/>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238" t="s">
        <v>942</v>
      </c>
      <c r="B7" s="1537" t="s">
        <v>469</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1">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241" t="s">
        <v>987</v>
      </c>
      <c r="B8" s="2242" t="s">
        <v>1140</v>
      </c>
      <c r="C8" s="2243"/>
      <c r="D8" s="2243"/>
      <c r="E8" s="2243"/>
      <c r="F8" s="2244"/>
      <c r="G8" s="2244"/>
      <c r="H8" s="2244"/>
      <c r="I8" s="2244"/>
      <c r="J8" s="2244"/>
      <c r="K8" s="2302"/>
      <c r="L8" s="517"/>
      <c r="M8" s="517"/>
      <c r="N8" s="517"/>
      <c r="O8" s="517"/>
      <c r="P8" s="517"/>
      <c r="Q8" s="517"/>
      <c r="R8" s="517"/>
      <c r="S8" s="517"/>
      <c r="T8" s="517"/>
      <c r="U8" s="517"/>
      <c r="V8" s="517"/>
      <c r="W8" s="517"/>
      <c r="X8" s="517"/>
      <c r="Y8" s="517"/>
      <c r="Z8" s="517"/>
      <c r="AA8" s="517"/>
      <c r="AB8" s="517"/>
      <c r="AC8" s="517"/>
      <c r="AD8" s="517"/>
      <c r="AE8" s="517"/>
      <c r="AF8" s="517"/>
      <c r="AG8" s="517"/>
    </row>
    <row r="9" spans="1:33" s="2217" customFormat="1" ht="16.5" customHeight="1">
      <c r="A9" s="2232" t="s">
        <v>1141</v>
      </c>
      <c r="B9" s="2233"/>
      <c r="C9" s="2233"/>
      <c r="D9" s="2233"/>
      <c r="E9" s="2233"/>
      <c r="F9" s="2233"/>
      <c r="G9" s="2233"/>
      <c r="H9" s="2233"/>
      <c r="I9" s="2233"/>
      <c r="J9" s="2233"/>
      <c r="K9" s="2298"/>
    </row>
    <row r="10" spans="1:33" s="2219" customFormat="1" ht="13.5" customHeight="1">
      <c r="A10" s="2235" t="s">
        <v>1137</v>
      </c>
      <c r="B10" s="2245" t="s">
        <v>1138</v>
      </c>
      <c r="C10" s="2246" t="s">
        <v>1142</v>
      </c>
      <c r="D10" s="2247" t="s">
        <v>1143</v>
      </c>
      <c r="E10" s="2247" t="s">
        <v>1144</v>
      </c>
      <c r="F10" s="2247" t="s">
        <v>1145</v>
      </c>
      <c r="G10" s="2245"/>
      <c r="H10" s="2248"/>
      <c r="I10" s="2248"/>
      <c r="J10" s="2248"/>
      <c r="K10" s="2303"/>
    </row>
    <row r="11" spans="1:33" s="2220" customFormat="1" ht="13.5" customHeight="1">
      <c r="A11" s="2249" t="s">
        <v>1044</v>
      </c>
      <c r="B11" s="2250" t="s">
        <v>1146</v>
      </c>
      <c r="C11" s="2251">
        <f ca="1">IF(C1="",'数据-取费表'!P16,INDIRECT("'数据-取费表'!p"&amp;$K$1)+INDIRECT("'数据-取费表'!ar"&amp;$K$1))</f>
        <v>0</v>
      </c>
      <c r="D11" s="2252"/>
      <c r="E11" s="518"/>
      <c r="F11" s="2253">
        <f ca="1">1-IF('数据-取费表'!B24=0,1,IF(C1="",'数据-取费表'!N16,INDIRECT("'数据-取费表'!n"&amp;$K$1)))</f>
        <v>0</v>
      </c>
      <c r="G11" s="2245"/>
      <c r="H11" s="2248"/>
      <c r="I11" s="2248"/>
      <c r="J11" s="2248"/>
      <c r="K11" s="2303"/>
    </row>
    <row r="12" spans="1:33" s="2220" customFormat="1" ht="13.5" customHeight="1">
      <c r="A12" s="2249" t="s">
        <v>1048</v>
      </c>
      <c r="B12" s="2250" t="s">
        <v>1147</v>
      </c>
      <c r="C12" s="571">
        <f ca="1">ROUND(C11*F12,0)</f>
        <v>0</v>
      </c>
      <c r="D12" s="2252"/>
      <c r="E12" s="518"/>
      <c r="F12" s="2253">
        <f>'数据-取费表'!B33</f>
        <v>0.1</v>
      </c>
      <c r="G12" s="2245" t="s">
        <v>1148</v>
      </c>
      <c r="H12" s="2248"/>
      <c r="I12" s="2248"/>
      <c r="J12" s="2248"/>
      <c r="K12" s="2303"/>
    </row>
    <row r="13" spans="1:33" s="2220" customFormat="1" ht="13.5" customHeight="1">
      <c r="A13" s="2249" t="s">
        <v>1149</v>
      </c>
      <c r="B13" s="2250" t="s">
        <v>1150</v>
      </c>
      <c r="C13" s="571">
        <f ca="1">ROUND(IF(C1="",SUMIF('数据-取费表'!C:C,"住宅",'数据-取费表'!P:P)*F13,IF(INDIRECT("'数据-取费表'!c"&amp;$K$1)="住宅",INDIRECT("'数据-取费表'!P"&amp;$K$1)*F13,0)),0)</f>
        <v>0</v>
      </c>
      <c r="D13" s="2254"/>
      <c r="E13" s="518"/>
      <c r="F13" s="2253">
        <f>'数据-取费表'!B34</f>
        <v>0</v>
      </c>
      <c r="G13" s="2245" t="s">
        <v>1151</v>
      </c>
      <c r="H13" s="2248"/>
      <c r="I13" s="2248"/>
      <c r="J13" s="2248"/>
      <c r="K13" s="2303"/>
    </row>
    <row r="14" spans="1:33" s="2221" customFormat="1" ht="13.5" customHeight="1">
      <c r="A14" s="2249" t="s">
        <v>1152</v>
      </c>
      <c r="B14" s="2250" t="s">
        <v>1153</v>
      </c>
      <c r="C14" s="571">
        <f ca="1">ROUND(D14*E14*F11/10000,0)</f>
        <v>0</v>
      </c>
      <c r="D14" s="2254">
        <f ca="1">IF(C1="",'数据-汇总表'!E3,INDIRECT("'数据-取费表'!K"&amp;$K$1)+INDIRECT("'数据-取费表'!S"&amp;$K$1))</f>
        <v>596993.59</v>
      </c>
      <c r="E14" s="571">
        <f>'数据-取费表'!B35</f>
        <v>200</v>
      </c>
      <c r="F14" s="2255"/>
      <c r="G14" s="2245" t="s">
        <v>1154</v>
      </c>
      <c r="H14" s="2248"/>
      <c r="I14" s="2248"/>
      <c r="J14" s="2248"/>
      <c r="K14" s="2303"/>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pans="1:33" s="2221" customFormat="1" ht="13.5" customHeight="1">
      <c r="A15" s="2249" t="s">
        <v>1155</v>
      </c>
      <c r="B15" s="2250" t="s">
        <v>1156</v>
      </c>
      <c r="C15" s="2256">
        <f ca="1">ROUND(C11*F15,0)</f>
        <v>0</v>
      </c>
      <c r="D15" s="2257"/>
      <c r="E15" s="2256"/>
      <c r="F15" s="2253">
        <f>'数据-取费表'!B36</f>
        <v>0.03</v>
      </c>
      <c r="G15" s="1537" t="s">
        <v>1157</v>
      </c>
      <c r="H15" s="1648"/>
      <c r="I15" s="1648"/>
      <c r="J15" s="1648"/>
      <c r="K15" s="1649"/>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pans="1:33" s="2221" customFormat="1" ht="13.5" customHeight="1">
      <c r="A16" s="2249" t="s">
        <v>961</v>
      </c>
      <c r="B16" s="2250" t="s">
        <v>1158</v>
      </c>
      <c r="C16" s="2256">
        <f ca="1">SUM(C11:C15)</f>
        <v>0</v>
      </c>
      <c r="D16" s="2257"/>
      <c r="E16" s="2256"/>
      <c r="F16" s="2253"/>
      <c r="G16" s="1537"/>
      <c r="H16" s="2258"/>
      <c r="I16" s="1648"/>
      <c r="J16" s="1648"/>
      <c r="K16" s="1649"/>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pans="1:33" s="2221" customFormat="1" ht="13.5" customHeight="1">
      <c r="A17" s="2249" t="s">
        <v>965</v>
      </c>
      <c r="B17" s="2250" t="s">
        <v>1159</v>
      </c>
      <c r="C17" s="571">
        <f ca="1">ROUND(D17*E17/10000,0)</f>
        <v>0</v>
      </c>
      <c r="D17" s="2254">
        <f ca="1">D14</f>
        <v>596993.59</v>
      </c>
      <c r="E17" s="571">
        <f>'数据-取费表'!B32</f>
        <v>0</v>
      </c>
      <c r="F17" s="2257"/>
      <c r="G17" s="1537" t="s">
        <v>1160</v>
      </c>
      <c r="H17" s="2258"/>
      <c r="I17" s="1648"/>
      <c r="J17" s="1648"/>
      <c r="K17" s="1649"/>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pans="1:33" s="2220" customFormat="1" ht="13.5" customHeight="1">
      <c r="A18" s="2249" t="s">
        <v>1161</v>
      </c>
      <c r="B18" s="2250" t="s">
        <v>1162</v>
      </c>
      <c r="C18" s="571">
        <f ca="1">C19+C20-IF(C1="",'数据-取费表'!B29,IF(G18="已全部缴纳",C19+C20,H18))</f>
        <v>0</v>
      </c>
      <c r="D18" s="2254"/>
      <c r="E18" s="571"/>
      <c r="F18" s="2255"/>
      <c r="G18" s="2259"/>
      <c r="H18" s="2260"/>
      <c r="I18" s="2304" t="s">
        <v>1163</v>
      </c>
      <c r="J18" s="1648"/>
      <c r="K18" s="1649"/>
    </row>
    <row r="19" spans="1:33" s="2220" customFormat="1" ht="13.5" customHeight="1">
      <c r="A19" s="2249" t="s">
        <v>1044</v>
      </c>
      <c r="B19" s="2250" t="s">
        <v>456</v>
      </c>
      <c r="C19" s="571">
        <f ca="1">ROUND(D19*E19/10000,0)</f>
        <v>0</v>
      </c>
      <c r="D19" s="2254">
        <f ca="1">IF(C1="",'数据-汇总表'!E5,IF(INDIRECT("'数据-取费表'!c"&amp;$K$1)="住宅",INDIRECT("'数据-取费表'!k"&amp;$K$1),0))</f>
        <v>0</v>
      </c>
      <c r="E19" s="571">
        <f>'数据-取费表'!B27</f>
        <v>0</v>
      </c>
      <c r="F19" s="2255"/>
      <c r="G19" s="1647"/>
      <c r="H19" s="2261"/>
      <c r="I19" s="2262"/>
      <c r="J19" s="2262"/>
      <c r="K19" s="2305"/>
    </row>
    <row r="20" spans="1:33" s="2220" customFormat="1" ht="13.5" customHeight="1">
      <c r="A20" s="2249" t="s">
        <v>1048</v>
      </c>
      <c r="B20" s="2250" t="s">
        <v>1164</v>
      </c>
      <c r="C20" s="571">
        <f ca="1">ROUND(D20*E20/10000,0)</f>
        <v>11940</v>
      </c>
      <c r="D20" s="2254">
        <f ca="1">IF(C1="",'数据-汇总表'!E6,IF(INDIRECT("'数据-取费表'!c"&amp;$K$1)="住宅",INDIRECT("'数据-取费表'!s"&amp;$K$1),INDIRECT("'数据-取费表'!k"&amp;$K$1)+INDIRECT("'数据-取费表'!s"&amp;$K$1)))</f>
        <v>596993.59</v>
      </c>
      <c r="E20" s="571">
        <f>'数据-取费表'!B28</f>
        <v>200</v>
      </c>
      <c r="F20" s="2255"/>
      <c r="G20" s="1647"/>
      <c r="H20" s="2262"/>
      <c r="I20" s="2262"/>
      <c r="J20" s="2262"/>
      <c r="K20" s="2305"/>
    </row>
    <row r="21" spans="1:33" s="2220" customFormat="1" ht="13.5" customHeight="1">
      <c r="A21" s="2238" t="s">
        <v>938</v>
      </c>
      <c r="B21" s="2263" t="s">
        <v>1165</v>
      </c>
      <c r="C21" s="2264">
        <f ca="1">C16+C17+C18</f>
        <v>0</v>
      </c>
      <c r="D21" s="2265"/>
      <c r="E21" s="2266"/>
      <c r="F21" s="2266"/>
      <c r="G21" s="1537" t="s">
        <v>1166</v>
      </c>
      <c r="H21" s="1648"/>
      <c r="I21" s="1648"/>
      <c r="J21" s="1648"/>
      <c r="K21" s="1649"/>
    </row>
    <row r="22" spans="1:33" s="2220" customFormat="1" ht="13.5" customHeight="1">
      <c r="A22" s="2238" t="s">
        <v>942</v>
      </c>
      <c r="B22" s="2263" t="s">
        <v>1167</v>
      </c>
      <c r="C22" s="2264">
        <f ca="1">ROUND(C21*F22,0)</f>
        <v>0</v>
      </c>
      <c r="D22" s="2266"/>
      <c r="E22" s="2266"/>
      <c r="F22" s="2267">
        <f>'数据-取费表'!B37</f>
        <v>0.03</v>
      </c>
      <c r="G22" s="2245" t="s">
        <v>1168</v>
      </c>
      <c r="H22" s="2248"/>
      <c r="I22" s="2248"/>
      <c r="J22" s="2248"/>
      <c r="K22" s="2303"/>
    </row>
    <row r="23" spans="1:33" s="2220" customFormat="1" ht="13.5" customHeight="1">
      <c r="A23" s="2238" t="s">
        <v>987</v>
      </c>
      <c r="B23" s="2263" t="s">
        <v>1169</v>
      </c>
      <c r="C23" s="2264">
        <f ca="1">ROUND(C4*F23*F11,0)</f>
        <v>0</v>
      </c>
      <c r="D23" s="2266"/>
      <c r="E23" s="2266"/>
      <c r="F23" s="2267">
        <f>'数据-取费表'!B38</f>
        <v>0.03</v>
      </c>
      <c r="G23" s="2245" t="s">
        <v>1170</v>
      </c>
      <c r="H23" s="2248"/>
      <c r="I23" s="2248"/>
      <c r="J23" s="2248"/>
      <c r="K23" s="2303"/>
    </row>
    <row r="24" spans="1:33" s="2220" customFormat="1" ht="13.5" customHeight="1">
      <c r="A24" s="2238" t="s">
        <v>990</v>
      </c>
      <c r="B24" s="2263" t="s">
        <v>1171</v>
      </c>
      <c r="C24" s="2268">
        <f>ROUND(F24/(1+'数据-取费表'!C42),4)</f>
        <v>2.9000000000000001E-2</v>
      </c>
      <c r="D24" s="2266" t="s">
        <v>1172</v>
      </c>
      <c r="E24" s="2266"/>
      <c r="F24" s="2267">
        <f>IF(项目基本情况!B8="出让",0,'数据-取费表'!B48+'数据-取费表'!B49)</f>
        <v>3.0499999999999999E-2</v>
      </c>
      <c r="G24" s="2245" t="s">
        <v>1173</v>
      </c>
      <c r="H24" s="2269"/>
      <c r="I24" s="2269"/>
      <c r="J24" s="2269"/>
      <c r="K24" s="2306"/>
    </row>
    <row r="25" spans="1:33" s="2220" customFormat="1" ht="13.5" customHeight="1">
      <c r="A25" s="2238" t="s">
        <v>994</v>
      </c>
      <c r="B25" s="2265" t="s">
        <v>1174</v>
      </c>
      <c r="C25" s="2270">
        <f ca="1">C27</f>
        <v>0</v>
      </c>
      <c r="D25" s="2268">
        <f ca="1">C26</f>
        <v>0</v>
      </c>
      <c r="E25" s="2271" t="s">
        <v>1172</v>
      </c>
      <c r="F25" s="2272">
        <f ca="1">'数据-取费表'!B40</f>
        <v>0.03</v>
      </c>
      <c r="G25" s="1537" t="str">
        <f>IF('数据-取费表'!B22&lt;=1,"单利计息。","复利计息。")&amp;"后续开发成本、管理费用及销售费用产生的利息。"</f>
        <v>复利计息。后续开发成本、管理费用及销售费用产生的利息。</v>
      </c>
      <c r="H25" s="2269"/>
      <c r="I25" s="2269"/>
      <c r="J25" s="2269"/>
      <c r="K25" s="2306"/>
    </row>
    <row r="26" spans="1:33" s="2222" customFormat="1" ht="13.5" customHeight="1">
      <c r="A26" s="2249" t="s">
        <v>961</v>
      </c>
      <c r="B26" s="2273" t="s">
        <v>1175</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（(1)+取得税费率）/(1+5%)×((1+年利率)^建设期-1)</v>
      </c>
      <c r="H26" s="1648"/>
      <c r="I26" s="1648"/>
      <c r="J26" s="1648"/>
      <c r="K26" s="1649"/>
    </row>
    <row r="27" spans="1:33" s="2222" customFormat="1" ht="13.5" customHeight="1">
      <c r="A27" s="2249" t="s">
        <v>965</v>
      </c>
      <c r="B27" s="2273" t="s">
        <v>1176</v>
      </c>
      <c r="C27" s="2279">
        <f ca="1">ROUND(IF('数据-取费表'!B22&lt;=1,(C21+C22+C23)*F25*'数据-取费表'!B24/2,(C21+C22+C23)*(POWER((1+F25),'数据-取费表'!B24/2)-1)),0)</f>
        <v>0</v>
      </c>
      <c r="D27" s="2275"/>
      <c r="E27" s="2276"/>
      <c r="F27" s="2277"/>
      <c r="G27" s="2278" t="str">
        <f>IF('数据-取费表'!B22&lt;=1,"（1）-（3）项×年利率×建设期÷2","（1）-（3）项×((1+年利率)^(建设期÷2)-1)")</f>
        <v>（1）-（3）项×((1+年利率)^(建设期÷2)-1)</v>
      </c>
      <c r="H27" s="1648"/>
      <c r="I27" s="1648"/>
      <c r="J27" s="1648"/>
      <c r="K27" s="1649"/>
    </row>
    <row r="28" spans="1:33" s="2223" customFormat="1" ht="13.5" customHeight="1">
      <c r="A28" s="2238" t="s">
        <v>995</v>
      </c>
      <c r="B28" s="2280" t="s">
        <v>1177</v>
      </c>
      <c r="C28" s="2281">
        <f ca="1">C30</f>
        <v>0</v>
      </c>
      <c r="D28" s="2268">
        <f ca="1">C29</f>
        <v>0</v>
      </c>
      <c r="E28" s="2271" t="s">
        <v>1172</v>
      </c>
      <c r="F28" s="873">
        <f ca="1">IF(C1="",'数据-取费表'!Q16,INDIRECT("'数据-取费表'!q"&amp;$K$1))</f>
        <v>0.15</v>
      </c>
      <c r="G28" s="2282"/>
      <c r="H28" s="2269"/>
      <c r="I28" s="2269"/>
      <c r="J28" s="2269"/>
      <c r="K28" s="2306"/>
    </row>
    <row r="29" spans="1:33" s="2224" customFormat="1" ht="13.5" customHeight="1">
      <c r="A29" s="2249" t="s">
        <v>961</v>
      </c>
      <c r="B29" s="2283" t="s">
        <v>1178</v>
      </c>
      <c r="C29" s="2275">
        <f ca="1">ROUND((1+C24)*F28*'数据-取费表'!B24/'数据-取费表'!B20,4)</f>
        <v>0</v>
      </c>
      <c r="D29" s="2275"/>
      <c r="E29" s="2276"/>
      <c r="F29" s="2284"/>
      <c r="G29" s="1537" t="s">
        <v>1179</v>
      </c>
      <c r="H29" s="1648"/>
      <c r="I29" s="1648"/>
      <c r="J29" s="1648"/>
      <c r="K29" s="1649"/>
    </row>
    <row r="30" spans="1:33" s="2224" customFormat="1" ht="13.5" customHeight="1">
      <c r="A30" s="2249" t="s">
        <v>965</v>
      </c>
      <c r="B30" s="2283" t="s">
        <v>1180</v>
      </c>
      <c r="C30" s="2285">
        <f ca="1">ROUND((C21+C22+C23)*F28,0)</f>
        <v>0</v>
      </c>
      <c r="D30" s="2275"/>
      <c r="E30" s="2276"/>
      <c r="F30" s="2284"/>
      <c r="G30" s="1537"/>
      <c r="H30" s="1648"/>
      <c r="I30" s="1648"/>
      <c r="J30" s="1648"/>
      <c r="K30" s="1649"/>
    </row>
    <row r="31" spans="1:33" s="2220" customFormat="1" ht="13.5" customHeight="1">
      <c r="A31" s="2286" t="s">
        <v>1181</v>
      </c>
      <c r="B31" s="2287" t="s">
        <v>1182</v>
      </c>
      <c r="C31" s="2288">
        <f>ROUND(C4*F31/(1+'数据-取费表'!C42),0)</f>
        <v>0</v>
      </c>
      <c r="D31" s="2289"/>
      <c r="E31" s="2290"/>
      <c r="F31" s="2291">
        <f>'数据-取费表'!B41</f>
        <v>5.5000000000000007E-2</v>
      </c>
      <c r="G31" s="2292" t="s">
        <v>1183</v>
      </c>
      <c r="H31" s="2293"/>
      <c r="I31" s="2293"/>
      <c r="J31" s="2293"/>
      <c r="K31" s="2307"/>
    </row>
    <row r="32" spans="1:33" s="2219" customFormat="1" ht="13.5" customHeight="1">
      <c r="A32" s="875" t="s">
        <v>1184</v>
      </c>
      <c r="B32" s="2294"/>
      <c r="C32" s="2295">
        <f ca="1">ROUND((C4-C21-C22-C23-C25-C28-C31)/(1+C24+D25+D28),0)</f>
        <v>0</v>
      </c>
      <c r="D32" s="2294"/>
      <c r="E32" s="2294"/>
      <c r="F32" s="2294"/>
      <c r="G32" s="2296" t="s">
        <v>1185</v>
      </c>
      <c r="H32" s="2294"/>
      <c r="I32" s="2294"/>
      <c r="J32" s="2294"/>
      <c r="K32" s="2308"/>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28" zoomScaleNormal="80" workbookViewId="0">
      <selection activeCell="I42" sqref="I42"/>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41" t="s">
        <v>1186</v>
      </c>
      <c r="B1" s="342"/>
      <c r="C1" s="345" t="s">
        <v>1187</v>
      </c>
      <c r="D1" s="1731">
        <f>SUM(D33:D34,D37:D42)</f>
        <v>587675.46</v>
      </c>
      <c r="E1" s="1867"/>
      <c r="F1" s="1867"/>
      <c r="G1" s="1867"/>
      <c r="H1" s="1867"/>
      <c r="I1" s="1867"/>
      <c r="J1" s="1867"/>
      <c r="K1" s="1860"/>
      <c r="L1" s="2054" t="s">
        <v>1188</v>
      </c>
      <c r="M1" s="2055">
        <f>SUMPRODUCT((区片价!B5:B9=I2)*(区片价!C3:G3=E2)*(区片价!C5:G9))</f>
        <v>0</v>
      </c>
      <c r="N1" s="2056">
        <f>SUMPRODUCT((因素修正幅度!B5:B9=I2)*(因素修正幅度!C3:G3=E2)*(因素修正幅度!C5:G9))</f>
        <v>0</v>
      </c>
      <c r="O1" s="1861"/>
      <c r="P1" s="1861"/>
      <c r="Q1" s="1860"/>
      <c r="R1" s="2137" t="s">
        <v>1189</v>
      </c>
      <c r="S1" s="2137" t="s">
        <v>1190</v>
      </c>
      <c r="T1" s="2137" t="s">
        <v>1191</v>
      </c>
      <c r="U1" s="2137" t="s">
        <v>1192</v>
      </c>
      <c r="V1" s="2137" t="s">
        <v>1193</v>
      </c>
      <c r="W1" s="2138"/>
      <c r="X1" s="2138"/>
      <c r="Y1" s="2138"/>
      <c r="Z1" s="2138"/>
      <c r="AA1" s="2138"/>
      <c r="AB1" s="2138"/>
      <c r="AC1" s="2149"/>
      <c r="AD1" s="2150"/>
      <c r="AE1" s="2150"/>
      <c r="AF1" s="2150"/>
      <c r="AG1" s="2150"/>
      <c r="AH1" s="2150"/>
      <c r="AI1" s="2150"/>
      <c r="AJ1" s="2159"/>
    </row>
    <row r="2" spans="1:36" ht="15.75">
      <c r="A2" s="345" t="s">
        <v>1028</v>
      </c>
      <c r="B2" s="349">
        <f>C30</f>
        <v>394880</v>
      </c>
      <c r="C2" s="1868" t="s">
        <v>1029</v>
      </c>
      <c r="D2" s="1869" t="s">
        <v>1194</v>
      </c>
      <c r="E2" s="1870" t="s">
        <v>559</v>
      </c>
      <c r="F2" s="1869" t="s">
        <v>1195</v>
      </c>
      <c r="G2" s="773" t="str">
        <f>IF(E2="商业",项目基本情况!B37,IF(E2="办公",项目基本情况!C37,IF(E2="住宅",项目基本情况!D37,IF(E2="工业",项目基本情况!E37,项目基本情况!F37))))</f>
        <v>六级</v>
      </c>
      <c r="H2" s="1869" t="s">
        <v>1196</v>
      </c>
      <c r="I2" s="773" t="str">
        <f>IF(E2="商业",项目基本情况!B38,IF(E2="办公",项目基本情况!C38,IF(E2="住宅",项目基本情况!D38,IF(E2="工业",项目基本情况!E38,项目基本情况!F38))))</f>
        <v>Ⅵ-兴1</v>
      </c>
      <c r="J2" s="1867"/>
      <c r="K2" s="1860"/>
      <c r="L2" s="2057" t="s">
        <v>1197</v>
      </c>
      <c r="M2" s="1276">
        <f>SUMPRODUCT((区片价!B10:B29=I2)*(区片价!C3:G3=E2)*(区片价!C10:G29))</f>
        <v>0</v>
      </c>
      <c r="N2" s="2056">
        <f>SUMPRODUCT((因素修正幅度!B10:B29=I2)*(因素修正幅度!C3:G3=E2)*(因素修正幅度!C10:G29))</f>
        <v>0</v>
      </c>
      <c r="O2" s="1860"/>
      <c r="P2" s="1860"/>
      <c r="Q2" s="1860"/>
      <c r="R2" s="2137">
        <v>1</v>
      </c>
      <c r="S2" s="2139">
        <f>ROUND(SUMPRODUCT((B106:B110=R2)*(C105:N105=G2)*(C106:N110)),4)</f>
        <v>1.5019</v>
      </c>
      <c r="T2" s="2139">
        <f t="shared" ref="T2:T16" si="0">ROUND($C$5*$C$22*$C$23*$C$24*S2*$C$28,0)</f>
        <v>14900</v>
      </c>
      <c r="U2" s="2140">
        <f>Sheet1!D4+Sheet1!K4</f>
        <v>100530.19</v>
      </c>
      <c r="V2" s="2139">
        <f>ROUND(T2*U2/10000,0)</f>
        <v>149790</v>
      </c>
      <c r="W2" s="2138"/>
      <c r="X2" s="2138"/>
      <c r="Y2" s="2138"/>
      <c r="Z2" s="2138"/>
      <c r="AA2" s="2138"/>
      <c r="AB2" s="2138"/>
      <c r="AC2" s="2149"/>
      <c r="AD2" s="2150"/>
      <c r="AE2" s="2150"/>
      <c r="AF2" s="2150"/>
      <c r="AG2" s="2150"/>
      <c r="AH2" s="2150"/>
      <c r="AI2" s="2150"/>
      <c r="AJ2" s="2159"/>
    </row>
    <row r="3" spans="1:36" ht="15.75">
      <c r="A3" s="348" t="s">
        <v>1030</v>
      </c>
      <c r="B3" s="349">
        <f>ROUND(B2*10000/D1,0)</f>
        <v>6719</v>
      </c>
      <c r="C3" s="1868" t="s">
        <v>1031</v>
      </c>
      <c r="D3" s="1869" t="s">
        <v>1198</v>
      </c>
      <c r="E3" s="1871" t="s">
        <v>1199</v>
      </c>
      <c r="F3" s="1872" t="s">
        <v>1200</v>
      </c>
      <c r="G3" s="1873">
        <f>IF(F3="宗地容积率",'数据-汇总表'!I4,IF(F3="估价对象容积率",'数据-汇总表'!I6,'数据-汇总表'!I7))</f>
        <v>1.69</v>
      </c>
      <c r="H3" s="1869" t="s">
        <v>1201</v>
      </c>
      <c r="I3" s="2058"/>
      <c r="J3" s="1867" t="s">
        <v>1202</v>
      </c>
      <c r="K3" s="1860"/>
      <c r="L3" s="2057" t="s">
        <v>1203</v>
      </c>
      <c r="M3" s="1276">
        <f>SUMPRODUCT((区片价!B30:B54=I2)*(区片价!C3:G3=E2)*(区片价!C30:G54))</f>
        <v>0</v>
      </c>
      <c r="N3" s="2056">
        <f>SUMPRODUCT((因素修正幅度!B30:B54=I2)*(因素修正幅度!C3:G3=E2)*(因素修正幅度!C30:G54))</f>
        <v>0</v>
      </c>
      <c r="O3" s="1860"/>
      <c r="P3" s="1860"/>
      <c r="Q3" s="1860"/>
      <c r="R3" s="2137">
        <v>2</v>
      </c>
      <c r="S3" s="2139">
        <f>ROUND(SUMPRODUCT((B106:B110=R3)*(C105:N105=G2)*(C106:N110)),4)</f>
        <v>1.1838</v>
      </c>
      <c r="T3" s="2139">
        <f t="shared" si="0"/>
        <v>11744</v>
      </c>
      <c r="U3" s="2140">
        <f>Sheet1!D5+Sheet1!K5</f>
        <v>77062.61</v>
      </c>
      <c r="V3" s="2139">
        <f t="shared" ref="V3:V16" si="1">ROUND(T3*U3/10000,0)</f>
        <v>90502</v>
      </c>
      <c r="W3" s="2138">
        <f>T2*U2+T3*U3+T4*U4+T5*U5</f>
        <v>3457893921.4800005</v>
      </c>
      <c r="X3" s="2138"/>
      <c r="Y3" s="2138"/>
      <c r="Z3" s="2138"/>
      <c r="AA3" s="2138"/>
      <c r="AB3" s="2138"/>
      <c r="AC3" s="2149"/>
      <c r="AD3" s="2150"/>
      <c r="AE3" s="2150"/>
      <c r="AF3" s="2150"/>
      <c r="AG3" s="2150"/>
      <c r="AH3" s="2150"/>
      <c r="AI3" s="2150"/>
      <c r="AJ3" s="2159"/>
    </row>
    <row r="4" spans="1:36" ht="15.75">
      <c r="A4" s="3474"/>
      <c r="B4" s="3475"/>
      <c r="C4" s="3475"/>
      <c r="D4" s="3476"/>
      <c r="E4" s="3476"/>
      <c r="F4" s="3476"/>
      <c r="G4" s="3476"/>
      <c r="H4" s="3476"/>
      <c r="I4" s="3476"/>
      <c r="J4" s="3477"/>
      <c r="K4" s="1860"/>
      <c r="L4" s="2057" t="s">
        <v>1204</v>
      </c>
      <c r="M4" s="1276">
        <f>SUMPRODUCT((区片价!B55:B86=I2)*(区片价!C3:G3=E2)*(区片价!C55:G86))</f>
        <v>0</v>
      </c>
      <c r="N4" s="2056">
        <f>SUMPRODUCT((因素修正幅度!B55:B86=I2)*(因素修正幅度!C3:G3=E2)*(因素修正幅度!C55:G86))</f>
        <v>0</v>
      </c>
      <c r="O4" s="1860"/>
      <c r="P4" s="1860"/>
      <c r="Q4" s="1860"/>
      <c r="R4" s="2137">
        <v>3</v>
      </c>
      <c r="S4" s="2139">
        <f>ROUND(SUMPRODUCT((B106:B110=R4)*(C105:N105=G2)*(C106:N110)),4)</f>
        <v>1.0004999999999999</v>
      </c>
      <c r="T4" s="2139">
        <f t="shared" si="0"/>
        <v>9926</v>
      </c>
      <c r="U4" s="2140">
        <f>Sheet1!D6+Sheet1!K6</f>
        <v>88035.36</v>
      </c>
      <c r="V4" s="2139">
        <f t="shared" si="1"/>
        <v>87384</v>
      </c>
      <c r="W4" s="2138">
        <f>W3/(U2+U3+U4+U5)</f>
        <v>12077.047364992422</v>
      </c>
      <c r="X4" s="2138"/>
      <c r="Y4" s="2138"/>
      <c r="Z4" s="2138"/>
      <c r="AA4" s="2138"/>
      <c r="AB4" s="2138"/>
      <c r="AC4" s="2149"/>
      <c r="AD4" s="2150"/>
      <c r="AE4" s="2150"/>
      <c r="AF4" s="2150"/>
      <c r="AG4" s="2150"/>
      <c r="AH4" s="2150"/>
      <c r="AI4" s="2150"/>
      <c r="AJ4" s="2159"/>
    </row>
    <row r="5" spans="1:36" s="1859" customFormat="1" ht="15">
      <c r="A5" s="1874" t="s">
        <v>934</v>
      </c>
      <c r="B5" s="1875" t="s">
        <v>1205</v>
      </c>
      <c r="C5" s="1876">
        <f>ROUND(IF(E2="商业",C6*C7*C17+C20,(IF(E2="住宅",C6*C13*C17+C20,IF(E2="办公",C6*C12*C17+C20,C6+C20)))),0)</f>
        <v>11160</v>
      </c>
      <c r="D5" s="1877">
        <f>ROUND(C6*C17+C20,0)</f>
        <v>11160</v>
      </c>
      <c r="E5" s="1877"/>
      <c r="F5" s="1878"/>
      <c r="G5" s="1879"/>
      <c r="H5" s="1879"/>
      <c r="I5" s="1879"/>
      <c r="J5" s="2059"/>
      <c r="K5" s="2060"/>
      <c r="L5" s="2057" t="s">
        <v>1206</v>
      </c>
      <c r="M5" s="1276">
        <f>SUMPRODUCT((区片价!B87:B126=I2)*(区片价!C3:G3=E2)*(区片价!C87:G126))</f>
        <v>0</v>
      </c>
      <c r="N5" s="2056">
        <f>SUMPRODUCT((因素修正幅度!B87:B126=I2)*(因素修正幅度!C3:G3=E2)*(因素修正幅度!C87:G126))</f>
        <v>0</v>
      </c>
      <c r="O5" s="1860"/>
      <c r="P5" s="1860"/>
      <c r="Q5" s="1860"/>
      <c r="R5" s="2137">
        <v>4</v>
      </c>
      <c r="S5" s="2139">
        <f>ROUND(SUMPRODUCT((B106:B110=R5)*(C105:N105=G2)*(C106:N110)),4)</f>
        <v>0.88239999999999996</v>
      </c>
      <c r="T5" s="2139">
        <f t="shared" si="0"/>
        <v>8754</v>
      </c>
      <c r="U5" s="2140">
        <f>Sheet1!D7</f>
        <v>20691.32</v>
      </c>
      <c r="V5" s="2139">
        <f t="shared" si="1"/>
        <v>18113</v>
      </c>
      <c r="W5" s="2138"/>
      <c r="X5" s="2138"/>
      <c r="Y5" s="2138"/>
      <c r="Z5" s="2138"/>
      <c r="AA5" s="2138"/>
      <c r="AB5" s="2138"/>
      <c r="AC5" s="2151"/>
      <c r="AD5" s="2152"/>
      <c r="AE5" s="2152"/>
      <c r="AF5" s="2152"/>
      <c r="AG5" s="2152"/>
      <c r="AH5" s="2152"/>
      <c r="AI5" s="2152"/>
      <c r="AJ5" s="2160"/>
    </row>
    <row r="6" spans="1:36" ht="15">
      <c r="A6" s="1880" t="s">
        <v>1033</v>
      </c>
      <c r="B6" s="1881" t="s">
        <v>1207</v>
      </c>
      <c r="C6" s="1882">
        <f>SUMIF(L1:L12,G2,M1:M12)</f>
        <v>11180</v>
      </c>
      <c r="D6" s="1883"/>
      <c r="E6" s="1884"/>
      <c r="F6" s="1884"/>
      <c r="G6" s="1885"/>
      <c r="H6" s="1885"/>
      <c r="I6" s="1885"/>
      <c r="J6" s="2061"/>
      <c r="K6" s="1465"/>
      <c r="L6" s="2057" t="s">
        <v>1208</v>
      </c>
      <c r="M6" s="1276">
        <f>SUMPRODUCT((区片价!B127:B189=I2)*(区片价!C3:G3=E2)*(区片价!C127:G189))</f>
        <v>11180</v>
      </c>
      <c r="N6" s="2056">
        <f>SUMPRODUCT((因素修正幅度!B127:B189=I2)*(因素修正幅度!C3:G3=E2)*(因素修正幅度!C127:G189))</f>
        <v>0.13</v>
      </c>
      <c r="O6" s="1860"/>
      <c r="P6" s="1860"/>
      <c r="Q6" s="1860"/>
      <c r="R6" s="2137">
        <v>5</v>
      </c>
      <c r="S6" s="2139">
        <f>ROUND(SUMPRODUCT((B106:B110=R6)*(C105:N105=G2)*(C106:N110)),4)</f>
        <v>0.84799999999999998</v>
      </c>
      <c r="T6" s="2139">
        <f t="shared" si="0"/>
        <v>8413</v>
      </c>
      <c r="U6" s="2140"/>
      <c r="V6" s="2139">
        <f t="shared" si="1"/>
        <v>0</v>
      </c>
      <c r="W6" s="2138"/>
      <c r="X6" s="2138"/>
      <c r="Y6" s="2138"/>
      <c r="Z6" s="2138"/>
      <c r="AA6" s="2138"/>
      <c r="AB6" s="2138"/>
      <c r="AC6" s="2151"/>
      <c r="AD6" s="2152"/>
      <c r="AE6" s="2152"/>
      <c r="AF6" s="2152"/>
      <c r="AG6" s="2152"/>
      <c r="AH6" s="2152"/>
      <c r="AI6" s="2152"/>
      <c r="AJ6" s="2160"/>
    </row>
    <row r="7" spans="1:36" ht="24">
      <c r="A7" s="1886" t="s">
        <v>1209</v>
      </c>
      <c r="B7" s="1887" t="s">
        <v>1210</v>
      </c>
      <c r="C7" s="1888">
        <f>IF(C8="不临65条商业街",1,ROUND(1+(1.6*E8+1.2*E9+0.8*E10+0.4*E11)*C9,4))</f>
        <v>1</v>
      </c>
      <c r="D7" s="1889" t="s">
        <v>1211</v>
      </c>
      <c r="E7" s="1890"/>
      <c r="F7" s="1891"/>
      <c r="G7" s="1892"/>
      <c r="H7" s="1892"/>
      <c r="I7" s="1892"/>
      <c r="J7" s="2062"/>
      <c r="K7" s="1465"/>
      <c r="L7" s="2057" t="s">
        <v>1212</v>
      </c>
      <c r="M7" s="1276">
        <f>SUMPRODUCT((区片价!B190:B233=I2)*(区片价!C3:G3=E2)*(区片价!C190:G233))</f>
        <v>0</v>
      </c>
      <c r="N7" s="2056">
        <f>SUMPRODUCT((因素修正幅度!B190:B233=I2)*(因素修正幅度!C3:G3=E2)*(因素修正幅度!C190:G233))</f>
        <v>0</v>
      </c>
      <c r="O7" s="1860"/>
      <c r="P7" s="1860"/>
      <c r="Q7" s="1860"/>
      <c r="R7" s="2137">
        <v>6</v>
      </c>
      <c r="S7" s="2141"/>
      <c r="T7" s="2139">
        <f t="shared" si="0"/>
        <v>0</v>
      </c>
      <c r="U7" s="2140"/>
      <c r="V7" s="2139">
        <f t="shared" si="1"/>
        <v>0</v>
      </c>
      <c r="W7" s="2142" t="s">
        <v>1213</v>
      </c>
      <c r="X7" s="2143" t="str">
        <f>G2</f>
        <v>六级</v>
      </c>
      <c r="Y7" s="2143" t="s">
        <v>1214</v>
      </c>
      <c r="Z7" s="2153">
        <f>G3</f>
        <v>1.69</v>
      </c>
      <c r="AA7" s="2138"/>
      <c r="AB7" s="2138"/>
      <c r="AC7" s="2149"/>
      <c r="AD7" s="2150"/>
      <c r="AE7" s="2150"/>
      <c r="AF7" s="2150"/>
      <c r="AG7" s="2150"/>
      <c r="AH7" s="2150"/>
      <c r="AI7" s="2150"/>
      <c r="AJ7" s="2159"/>
    </row>
    <row r="8" spans="1:36" ht="25.5">
      <c r="A8" s="1893"/>
      <c r="B8" s="1869" t="s">
        <v>1215</v>
      </c>
      <c r="C8" s="1894" t="s">
        <v>1216</v>
      </c>
      <c r="D8" s="1895" t="s">
        <v>1217</v>
      </c>
      <c r="E8" s="1896" t="e">
        <f>ROUND(C11/E7,4)</f>
        <v>#DIV/0!</v>
      </c>
      <c r="F8" s="1897" t="s">
        <v>1218</v>
      </c>
      <c r="G8" s="1898"/>
      <c r="H8" s="1898"/>
      <c r="I8" s="1898"/>
      <c r="J8" s="2063"/>
      <c r="K8" s="1860"/>
      <c r="L8" s="2057" t="s">
        <v>1219</v>
      </c>
      <c r="M8" s="1276">
        <f>SUMPRODUCT((区片价!B234:B276=I2)*(区片价!C3:G3=E2)*(区片价!C234:G276))</f>
        <v>0</v>
      </c>
      <c r="N8" s="2056">
        <f>SUMPRODUCT((因素修正幅度!B234:B276=I2)*(因素修正幅度!C3:G3=E2)*(因素修正幅度!C234:G276))</f>
        <v>0</v>
      </c>
      <c r="O8" s="1860"/>
      <c r="P8" s="1860"/>
      <c r="Q8" s="1860"/>
      <c r="R8" s="2137">
        <v>7</v>
      </c>
      <c r="S8" s="2140"/>
      <c r="T8" s="2139">
        <f t="shared" si="0"/>
        <v>0</v>
      </c>
      <c r="U8" s="2140"/>
      <c r="V8" s="2139">
        <f t="shared" si="1"/>
        <v>0</v>
      </c>
      <c r="W8" s="3478" t="s">
        <v>1220</v>
      </c>
      <c r="X8" s="3479"/>
      <c r="Y8" s="2154" t="s">
        <v>1221</v>
      </c>
      <c r="Z8" s="2154" t="s">
        <v>1222</v>
      </c>
      <c r="AA8" s="2154" t="s">
        <v>1223</v>
      </c>
      <c r="AB8" s="2154" t="s">
        <v>1224</v>
      </c>
      <c r="AC8" s="2154" t="s">
        <v>1225</v>
      </c>
      <c r="AD8" s="2154" t="s">
        <v>1226</v>
      </c>
      <c r="AE8" s="2154" t="s">
        <v>1227</v>
      </c>
      <c r="AF8" s="2154" t="s">
        <v>1228</v>
      </c>
      <c r="AG8" s="2154" t="s">
        <v>1229</v>
      </c>
      <c r="AH8" s="2154" t="s">
        <v>1230</v>
      </c>
      <c r="AI8" s="2154" t="s">
        <v>1231</v>
      </c>
      <c r="AJ8" s="2154" t="s">
        <v>1232</v>
      </c>
    </row>
    <row r="9" spans="1:36" ht="15">
      <c r="A9" s="1893"/>
      <c r="B9" s="1869" t="s">
        <v>1233</v>
      </c>
      <c r="C9" s="1899">
        <f>SUMIF(修正!C71:C138,C8,修正!E71:E138)</f>
        <v>0</v>
      </c>
      <c r="D9" s="773" t="s">
        <v>1234</v>
      </c>
      <c r="E9" s="773" t="e">
        <f>ROUND(C11/E7,4)</f>
        <v>#DIV/0!</v>
      </c>
      <c r="F9" s="1897" t="s">
        <v>1235</v>
      </c>
      <c r="G9" s="1898"/>
      <c r="H9" s="1898"/>
      <c r="I9" s="1898"/>
      <c r="J9" s="2063"/>
      <c r="K9" s="1860"/>
      <c r="L9" s="2057" t="s">
        <v>1236</v>
      </c>
      <c r="M9" s="1276">
        <f>SUMPRODUCT((区片价!B277:B326=I2)*(区片价!C3:G3=E2)*(区片价!C277:G326))</f>
        <v>0</v>
      </c>
      <c r="N9" s="2056">
        <f>SUMPRODUCT((因素修正幅度!B277:B326=I2)*(因素修正幅度!C3:G3=E2)*(因素修正幅度!C277:G326))</f>
        <v>0</v>
      </c>
      <c r="O9" s="1860"/>
      <c r="P9" s="1860"/>
      <c r="Q9" s="1860"/>
      <c r="R9" s="2137">
        <v>8</v>
      </c>
      <c r="S9" s="2140"/>
      <c r="T9" s="2139">
        <f t="shared" si="0"/>
        <v>0</v>
      </c>
      <c r="U9" s="2140"/>
      <c r="V9" s="2139">
        <f t="shared" si="1"/>
        <v>0</v>
      </c>
      <c r="W9" s="3492"/>
      <c r="X9" s="2144" t="s">
        <v>1237</v>
      </c>
      <c r="Y9" s="2155">
        <v>6</v>
      </c>
      <c r="Z9" s="2156">
        <f>$Y$9</f>
        <v>6</v>
      </c>
      <c r="AA9" s="2156">
        <f t="shared" ref="AA9:AJ9" si="2">$Y$9</f>
        <v>6</v>
      </c>
      <c r="AB9" s="2156">
        <f t="shared" si="2"/>
        <v>6</v>
      </c>
      <c r="AC9" s="2156">
        <f t="shared" si="2"/>
        <v>6</v>
      </c>
      <c r="AD9" s="2156">
        <f t="shared" si="2"/>
        <v>6</v>
      </c>
      <c r="AE9" s="2156">
        <f t="shared" si="2"/>
        <v>6</v>
      </c>
      <c r="AF9" s="2156">
        <f t="shared" si="2"/>
        <v>6</v>
      </c>
      <c r="AG9" s="2156">
        <f t="shared" si="2"/>
        <v>6</v>
      </c>
      <c r="AH9" s="2156">
        <f t="shared" si="2"/>
        <v>6</v>
      </c>
      <c r="AI9" s="2156">
        <f t="shared" si="2"/>
        <v>6</v>
      </c>
      <c r="AJ9" s="2156">
        <f t="shared" si="2"/>
        <v>6</v>
      </c>
    </row>
    <row r="10" spans="1:36" ht="15">
      <c r="A10" s="1893"/>
      <c r="B10" s="1869" t="s">
        <v>1238</v>
      </c>
      <c r="C10" s="773">
        <f>SUMIF(修正!C71:C138,C8,修正!F71:F138)</f>
        <v>0</v>
      </c>
      <c r="D10" s="773" t="s">
        <v>1239</v>
      </c>
      <c r="E10" s="773" t="e">
        <f>ROUND(C11/E7,4)</f>
        <v>#DIV/0!</v>
      </c>
      <c r="F10" s="1897" t="s">
        <v>1240</v>
      </c>
      <c r="G10" s="1898"/>
      <c r="H10" s="1898"/>
      <c r="I10" s="1898"/>
      <c r="J10" s="2063"/>
      <c r="K10" s="1860"/>
      <c r="L10" s="2057" t="s">
        <v>1241</v>
      </c>
      <c r="M10" s="1276">
        <f>SUMPRODUCT((区片价!B327:B357=I2)*(区片价!C3:G3=E2)*(区片价!C327:G357))</f>
        <v>0</v>
      </c>
      <c r="N10" s="2056">
        <f>SUMPRODUCT((因素修正幅度!B327:B357=I2)*(因素修正幅度!C3:G3=E2)*(因素修正幅度!C327:G357))</f>
        <v>0</v>
      </c>
      <c r="O10" s="1860"/>
      <c r="P10" s="1860"/>
      <c r="Q10" s="1860"/>
      <c r="R10" s="2137">
        <v>9</v>
      </c>
      <c r="S10" s="2140"/>
      <c r="T10" s="2139">
        <f t="shared" si="0"/>
        <v>0</v>
      </c>
      <c r="U10" s="2140"/>
      <c r="V10" s="2139">
        <f t="shared" si="1"/>
        <v>0</v>
      </c>
      <c r="W10" s="3492"/>
      <c r="X10" s="2144">
        <v>6</v>
      </c>
      <c r="Y10" s="2157">
        <f>ROUND((-0.5556*(Y9^2)-0.2719*Y9+8944)*(10^(-4)),4)</f>
        <v>0.89219999999999999</v>
      </c>
      <c r="Z10" s="2157">
        <f>ROUND((-0.5556*(Z9^2)-0.2719*Z9+8944)*(10^(-4)),4)</f>
        <v>0.89219999999999999</v>
      </c>
      <c r="AA10" s="2157">
        <f>ROUND((-0.7912*(AA9^2)-11.3794*AA9+8482)*(10^(-4)),4)</f>
        <v>0.83850000000000002</v>
      </c>
      <c r="AB10" s="2157">
        <f>ROUND((-0.7912*(AB9^2)-11.3794*AB9+8482)*(10^(-4)),4)</f>
        <v>0.83850000000000002</v>
      </c>
      <c r="AC10" s="2157">
        <f>ROUND((-0.7912*(AC9^2)-11.3794*AC9+8482)*(10^(-4)),4)</f>
        <v>0.83850000000000002</v>
      </c>
      <c r="AD10" s="2157">
        <f>ROUND((-0.7912*(AD9^2)-11.3794*AD9+8482)*(10^(-4)),4)</f>
        <v>0.83850000000000002</v>
      </c>
      <c r="AE10" s="2157">
        <f>ROUND((-0.7912*(AE9^2)-11.3794*AE9+8482)*(10^(-4)),4)</f>
        <v>0.83850000000000002</v>
      </c>
      <c r="AF10" s="2157">
        <f>ROUND((-0.989*(AF9^2)-63.78*AF9+7771)*(10^(-4)),4)</f>
        <v>0.73529999999999995</v>
      </c>
      <c r="AG10" s="2157">
        <f>ROUND((-0.989*(AG9^2)-63.78*AG9+7771)*(10^(-4)),4)</f>
        <v>0.73529999999999995</v>
      </c>
      <c r="AH10" s="2157">
        <f>ROUND((-0.989*(AH9^2)-63.78*AH9+7771)*(10^(-4)),4)</f>
        <v>0.73529999999999995</v>
      </c>
      <c r="AI10" s="2157">
        <f>ROUND((-0.989*(AI9^2)-63.78*AI9+7771)*(10^(-4)),4)</f>
        <v>0.73529999999999995</v>
      </c>
      <c r="AJ10" s="2157">
        <f>ROUND((-0.989*(AJ9^2)-63.78*AJ9+7771)*(10^(-4)),4)</f>
        <v>0.73529999999999995</v>
      </c>
    </row>
    <row r="11" spans="1:36" ht="15">
      <c r="A11" s="1900"/>
      <c r="B11" s="1901" t="s">
        <v>1242</v>
      </c>
      <c r="C11" s="548">
        <f>C10/4</f>
        <v>0</v>
      </c>
      <c r="D11" s="548" t="s">
        <v>1243</v>
      </c>
      <c r="E11" s="548" t="e">
        <f>ROUND(C11/E7,4)</f>
        <v>#DIV/0!</v>
      </c>
      <c r="F11" s="1902" t="s">
        <v>1244</v>
      </c>
      <c r="G11" s="1903"/>
      <c r="H11" s="1903"/>
      <c r="I11" s="1903"/>
      <c r="J11" s="2064"/>
      <c r="K11" s="1860"/>
      <c r="L11" s="2057" t="s">
        <v>1245</v>
      </c>
      <c r="M11" s="1276">
        <f>SUMPRODUCT((区片价!B358:B377=I2)*(区片价!C3:G3=E2)*(区片价!C358:G377))</f>
        <v>0</v>
      </c>
      <c r="N11" s="2056">
        <f>SUMPRODUCT((因素修正幅度!B358:B377=I2)*(因素修正幅度!C3:G3=E2)*(因素修正幅度!C358:G377))</f>
        <v>0</v>
      </c>
      <c r="O11" s="1860"/>
      <c r="P11" s="1860"/>
      <c r="Q11" s="1860"/>
      <c r="R11" s="2137">
        <v>10</v>
      </c>
      <c r="S11" s="2140"/>
      <c r="T11" s="2139">
        <f t="shared" si="0"/>
        <v>0</v>
      </c>
      <c r="U11" s="2140"/>
      <c r="V11" s="2139">
        <f t="shared" si="1"/>
        <v>0</v>
      </c>
      <c r="W11" s="2138"/>
      <c r="X11" s="2138"/>
      <c r="Y11" s="2138"/>
      <c r="Z11" s="2138"/>
      <c r="AA11" s="2138"/>
      <c r="AB11" s="2138"/>
      <c r="AC11" s="2149"/>
      <c r="AD11" s="2158"/>
      <c r="AE11" s="2158"/>
      <c r="AF11" s="2158"/>
      <c r="AG11" s="2158"/>
      <c r="AH11" s="2158"/>
      <c r="AI11" s="2158"/>
      <c r="AJ11" s="2161"/>
    </row>
    <row r="12" spans="1:36" ht="24.75">
      <c r="A12" s="1886" t="s">
        <v>1246</v>
      </c>
      <c r="B12" s="1904" t="s">
        <v>1247</v>
      </c>
      <c r="C12" s="1905">
        <v>1</v>
      </c>
      <c r="D12" s="1906" t="s">
        <v>1248</v>
      </c>
      <c r="E12" s="1907" t="s">
        <v>1249</v>
      </c>
      <c r="F12" s="1908"/>
      <c r="G12" s="1909"/>
      <c r="H12" s="1909"/>
      <c r="I12" s="1909"/>
      <c r="J12" s="2065"/>
      <c r="K12" s="1860"/>
      <c r="L12" s="1256" t="s">
        <v>1250</v>
      </c>
      <c r="M12" s="2066">
        <f>SUMPRODUCT((区片价!B378:B384=I2)*(区片价!C3:G3=E2)*(区片价!C378:G384))</f>
        <v>0</v>
      </c>
      <c r="N12" s="2056">
        <f>SUMPRODUCT((因素修正幅度!B378:B384=I2)*(因素修正幅度!C3:G3=E2)*(因素修正幅度!C378:G384))</f>
        <v>0</v>
      </c>
      <c r="O12" s="1860"/>
      <c r="P12" s="1860"/>
      <c r="Q12" s="1860"/>
      <c r="R12" s="2137">
        <v>11</v>
      </c>
      <c r="S12" s="2140"/>
      <c r="T12" s="2139">
        <f t="shared" si="0"/>
        <v>0</v>
      </c>
      <c r="U12" s="2140"/>
      <c r="V12" s="2139">
        <f t="shared" si="1"/>
        <v>0</v>
      </c>
      <c r="W12" s="2138"/>
      <c r="X12" s="2138"/>
      <c r="Y12" s="2138"/>
      <c r="Z12" s="2138"/>
      <c r="AA12" s="2138"/>
      <c r="AB12" s="2138"/>
      <c r="AC12" s="2149"/>
      <c r="AD12" s="2158"/>
      <c r="AE12" s="2158"/>
      <c r="AF12" s="2158"/>
      <c r="AG12" s="2158"/>
      <c r="AH12" s="2158"/>
      <c r="AI12" s="2158"/>
      <c r="AJ12" s="2161"/>
    </row>
    <row r="13" spans="1:36" ht="15">
      <c r="A13" s="1886" t="s">
        <v>1251</v>
      </c>
      <c r="B13" s="1910" t="s">
        <v>1252</v>
      </c>
      <c r="C13" s="1888">
        <f>ROUND(C16*D16*E16*F16*G16*H16*I16*J16,4)</f>
        <v>0</v>
      </c>
      <c r="D13" s="1911" t="s">
        <v>1253</v>
      </c>
      <c r="E13" s="1912"/>
      <c r="F13" s="1912"/>
      <c r="G13" s="1913"/>
      <c r="H13" s="1913"/>
      <c r="I13" s="1913"/>
      <c r="J13" s="2067"/>
      <c r="K13" s="1860"/>
      <c r="L13" s="2029"/>
      <c r="M13" s="500"/>
      <c r="N13" s="2068"/>
      <c r="O13" s="1860"/>
      <c r="P13" s="1860"/>
      <c r="Q13" s="1860"/>
      <c r="R13" s="2137">
        <v>12</v>
      </c>
      <c r="S13" s="2140"/>
      <c r="T13" s="2139">
        <f t="shared" si="0"/>
        <v>0</v>
      </c>
      <c r="U13" s="2140"/>
      <c r="V13" s="2139">
        <f t="shared" si="1"/>
        <v>0</v>
      </c>
      <c r="W13" s="2138"/>
      <c r="X13" s="2138"/>
      <c r="Y13" s="2138"/>
      <c r="Z13" s="2138"/>
      <c r="AA13" s="2138"/>
      <c r="AB13" s="2138"/>
      <c r="AC13" s="2149"/>
      <c r="AD13" s="2158"/>
      <c r="AE13" s="2158"/>
      <c r="AF13" s="2158"/>
      <c r="AG13" s="2158"/>
      <c r="AH13" s="2158"/>
      <c r="AI13" s="2158"/>
      <c r="AJ13" s="2161"/>
    </row>
    <row r="14" spans="1:36" ht="15">
      <c r="A14" s="1914"/>
      <c r="B14" s="1915" t="s">
        <v>1254</v>
      </c>
      <c r="C14" s="1916" t="s">
        <v>1255</v>
      </c>
      <c r="D14" s="1917" t="s">
        <v>1256</v>
      </c>
      <c r="E14" s="1918" t="s">
        <v>1257</v>
      </c>
      <c r="F14" s="1919" t="s">
        <v>1258</v>
      </c>
      <c r="G14" s="1919" t="s">
        <v>1258</v>
      </c>
      <c r="H14" s="1919" t="s">
        <v>1258</v>
      </c>
      <c r="I14" s="1919" t="s">
        <v>1258</v>
      </c>
      <c r="J14" s="1919" t="s">
        <v>1258</v>
      </c>
      <c r="K14" s="1860"/>
      <c r="L14" s="1860"/>
      <c r="M14" s="1860"/>
      <c r="N14" s="1860"/>
      <c r="O14" s="1860"/>
      <c r="P14" s="1860"/>
      <c r="Q14" s="1860"/>
      <c r="R14" s="2137">
        <v>13</v>
      </c>
      <c r="S14" s="2140"/>
      <c r="T14" s="2139">
        <f t="shared" si="0"/>
        <v>0</v>
      </c>
      <c r="U14" s="2140"/>
      <c r="V14" s="2139">
        <f t="shared" si="1"/>
        <v>0</v>
      </c>
      <c r="W14" s="2138"/>
      <c r="X14" s="2138"/>
      <c r="Y14" s="2138"/>
      <c r="Z14" s="2138"/>
      <c r="AA14" s="2138"/>
      <c r="AB14" s="2138"/>
      <c r="AC14" s="2149"/>
      <c r="AD14" s="2158"/>
      <c r="AE14" s="2158"/>
      <c r="AF14" s="2158"/>
      <c r="AG14" s="2158"/>
      <c r="AH14" s="2158"/>
      <c r="AI14" s="2158"/>
      <c r="AJ14" s="2161"/>
    </row>
    <row r="15" spans="1:36" ht="15">
      <c r="A15" s="1914"/>
      <c r="B15" s="1920"/>
      <c r="C15" s="1921"/>
      <c r="D15" s="1922"/>
      <c r="E15" s="1923"/>
      <c r="F15" s="1924" t="s">
        <v>1259</v>
      </c>
      <c r="G15" s="1925"/>
      <c r="H15" s="1926"/>
      <c r="I15" s="2069"/>
      <c r="J15" s="2070"/>
      <c r="K15" s="1860"/>
      <c r="L15" s="1860"/>
      <c r="M15" s="1860"/>
      <c r="N15" s="1860"/>
      <c r="O15" s="1860"/>
      <c r="P15" s="1860"/>
      <c r="Q15" s="1860"/>
      <c r="R15" s="2137">
        <v>14</v>
      </c>
      <c r="S15" s="2140"/>
      <c r="T15" s="2139">
        <f t="shared" si="0"/>
        <v>0</v>
      </c>
      <c r="U15" s="2140"/>
      <c r="V15" s="2139">
        <f t="shared" si="1"/>
        <v>0</v>
      </c>
      <c r="W15" s="2138"/>
      <c r="X15" s="2138"/>
      <c r="Y15" s="2138"/>
      <c r="Z15" s="2138"/>
      <c r="AA15" s="2138"/>
      <c r="AB15" s="2138"/>
      <c r="AC15" s="2149"/>
      <c r="AD15" s="2158"/>
      <c r="AE15" s="2158"/>
      <c r="AF15" s="2158"/>
      <c r="AG15" s="2158"/>
      <c r="AH15" s="2158"/>
      <c r="AI15" s="2158"/>
      <c r="AJ15" s="2161"/>
    </row>
    <row r="16" spans="1:36" ht="15">
      <c r="A16" s="1914"/>
      <c r="B16" s="1927" t="s">
        <v>1260</v>
      </c>
      <c r="C16" s="1928"/>
      <c r="D16" s="1928"/>
      <c r="E16" s="1928"/>
      <c r="F16" s="1928">
        <v>1</v>
      </c>
      <c r="G16" s="1928">
        <v>1</v>
      </c>
      <c r="H16" s="1928">
        <v>1</v>
      </c>
      <c r="I16" s="1928">
        <v>1</v>
      </c>
      <c r="J16" s="2071">
        <v>1</v>
      </c>
      <c r="K16" s="1860"/>
      <c r="L16" s="1861"/>
      <c r="M16" s="1861"/>
      <c r="N16" s="1861"/>
      <c r="O16" s="1861"/>
      <c r="P16" s="1861"/>
      <c r="Q16" s="1860"/>
      <c r="R16" s="2137">
        <v>15</v>
      </c>
      <c r="S16" s="2140"/>
      <c r="T16" s="2139">
        <f t="shared" si="0"/>
        <v>0</v>
      </c>
      <c r="U16" s="2140"/>
      <c r="V16" s="2139">
        <f t="shared" si="1"/>
        <v>0</v>
      </c>
      <c r="W16" s="2138"/>
      <c r="X16" s="2138"/>
      <c r="Y16" s="2138"/>
      <c r="Z16" s="2138"/>
      <c r="AA16" s="2138"/>
      <c r="AB16" s="2138"/>
      <c r="AC16" s="2149"/>
      <c r="AD16" s="2158"/>
      <c r="AE16" s="2158"/>
      <c r="AF16" s="2158"/>
      <c r="AG16" s="2158"/>
      <c r="AH16" s="2158"/>
      <c r="AI16" s="2158"/>
      <c r="AJ16" s="2161"/>
    </row>
    <row r="17" spans="1:37">
      <c r="A17" s="1929" t="s">
        <v>1261</v>
      </c>
      <c r="B17" s="1930" t="s">
        <v>1262</v>
      </c>
      <c r="C17" s="1931">
        <f>ROUND(IF(OR(E2="工业",E2="公共服务"),1,IF(AND(E18=0,E19=0),1,IF(AND(E18=J24,E19=G19),0.8,IF(E19=0,1+E17*(-0.2),1+E17*G17*(-0.2))))),4)</f>
        <v>1</v>
      </c>
      <c r="D17" s="1932" t="s">
        <v>1263</v>
      </c>
      <c r="E17" s="1931">
        <f>ROUND(G18/I18,2)</f>
        <v>0</v>
      </c>
      <c r="F17" s="1932" t="s">
        <v>1264</v>
      </c>
      <c r="G17" s="1931" t="e">
        <f>ROUND(E19/G19,2)</f>
        <v>#DIV/0!</v>
      </c>
      <c r="H17" s="1931"/>
      <c r="I17" s="1931"/>
      <c r="J17" s="2072"/>
      <c r="K17" s="1860"/>
      <c r="L17" s="1861"/>
      <c r="M17" s="1861"/>
      <c r="N17" s="1861"/>
      <c r="O17" s="1861"/>
      <c r="P17" s="1861"/>
      <c r="Q17" s="1860"/>
      <c r="R17" s="1860"/>
      <c r="S17" s="1860"/>
      <c r="T17" s="1860"/>
      <c r="U17" s="1860"/>
      <c r="V17" s="1860"/>
      <c r="W17" s="1860"/>
      <c r="X17" s="1860"/>
      <c r="Y17" s="1860"/>
      <c r="Z17" s="2022"/>
      <c r="AA17" s="2022"/>
      <c r="AB17" s="2022"/>
      <c r="AC17" s="2022"/>
      <c r="AD17" s="2022"/>
      <c r="AE17" s="1860"/>
      <c r="AF17" s="1860"/>
      <c r="AG17" s="1861"/>
      <c r="AH17" s="1861"/>
      <c r="AI17" s="1861"/>
      <c r="AJ17" s="1861"/>
    </row>
    <row r="18" spans="1:37" s="1859" customFormat="1" ht="14.25">
      <c r="A18" s="1933"/>
      <c r="B18" s="1934"/>
      <c r="C18" s="1935"/>
      <c r="D18" s="1936" t="s">
        <v>1265</v>
      </c>
      <c r="E18" s="1937"/>
      <c r="F18" s="1938" t="s">
        <v>1266</v>
      </c>
      <c r="G18" s="1935">
        <f>ROUND(1-(1/(POWER(1+G24,E18))),4)</f>
        <v>0</v>
      </c>
      <c r="H18" s="1938" t="s">
        <v>1267</v>
      </c>
      <c r="I18" s="1935">
        <f>ROUND(1-(1/(POWER(1+G24,J24))),4)</f>
        <v>0.88249999999999995</v>
      </c>
      <c r="J18" s="2073"/>
      <c r="K18" s="1860"/>
      <c r="L18" s="1861"/>
      <c r="M18" s="1861"/>
      <c r="N18" s="1861"/>
      <c r="O18" s="1861"/>
      <c r="P18" s="1861"/>
      <c r="Q18" s="1860"/>
      <c r="R18" s="2145"/>
      <c r="S18" s="2145"/>
      <c r="T18" s="2022"/>
      <c r="U18" s="2022"/>
      <c r="V18" s="2022"/>
      <c r="W18" s="1860"/>
      <c r="X18" s="1860"/>
      <c r="Y18" s="1860"/>
      <c r="Z18" s="2081"/>
      <c r="AA18" s="2081"/>
      <c r="AB18" s="2081"/>
      <c r="AC18" s="2081"/>
      <c r="AD18" s="2081"/>
      <c r="AE18" s="2022"/>
      <c r="AF18" s="2022"/>
      <c r="AG18" s="2162"/>
      <c r="AH18" s="2162"/>
      <c r="AI18" s="2162"/>
      <c r="AJ18" s="2082"/>
    </row>
    <row r="19" spans="1:37" s="1859" customFormat="1" ht="14.25">
      <c r="A19" s="1939"/>
      <c r="B19" s="1940"/>
      <c r="C19" s="1941"/>
      <c r="D19" s="1941" t="s">
        <v>1268</v>
      </c>
      <c r="E19" s="1942"/>
      <c r="F19" s="1943" t="s">
        <v>1269</v>
      </c>
      <c r="G19" s="1942"/>
      <c r="H19" s="1941"/>
      <c r="I19" s="1941"/>
      <c r="J19" s="2074"/>
      <c r="K19" s="1860"/>
      <c r="L19" s="1861"/>
      <c r="M19" s="1861"/>
      <c r="N19" s="1861"/>
      <c r="O19" s="1861"/>
      <c r="P19" s="1861"/>
      <c r="Q19" s="2145"/>
      <c r="R19" s="2145"/>
      <c r="S19" s="2145"/>
      <c r="T19" s="2022"/>
      <c r="U19" s="2022"/>
      <c r="V19" s="2022"/>
      <c r="W19" s="1860"/>
      <c r="X19" s="1860"/>
      <c r="Y19" s="1860"/>
      <c r="Z19" s="2081"/>
      <c r="AA19" s="2081"/>
      <c r="AB19" s="2081"/>
      <c r="AC19" s="2081"/>
      <c r="AD19" s="2081"/>
      <c r="AE19" s="2081"/>
      <c r="AF19" s="2145"/>
      <c r="AG19" s="2163"/>
      <c r="AH19" s="2162"/>
      <c r="AI19" s="1150"/>
      <c r="AJ19" s="1150"/>
      <c r="AK19" s="2164"/>
    </row>
    <row r="20" spans="1:37" s="1859" customFormat="1" ht="14.25">
      <c r="A20" s="3484" t="s">
        <v>1270</v>
      </c>
      <c r="B20" s="1944" t="s">
        <v>1271</v>
      </c>
      <c r="C20" s="1945">
        <f>ROUND(IF(F21="与级别开发程度一致",0,(G21-E21)/C21),0)</f>
        <v>-20</v>
      </c>
      <c r="D20" s="1946" t="s">
        <v>1272</v>
      </c>
      <c r="E20" s="1947"/>
      <c r="F20" s="3480" t="s">
        <v>1273</v>
      </c>
      <c r="G20" s="3481"/>
      <c r="H20" s="1948" t="s">
        <v>342</v>
      </c>
      <c r="I20" s="1948" t="s">
        <v>343</v>
      </c>
      <c r="J20" s="2075" t="s">
        <v>344</v>
      </c>
      <c r="K20" s="2076" t="s">
        <v>345</v>
      </c>
      <c r="L20" s="2076" t="s">
        <v>346</v>
      </c>
      <c r="M20" s="2076"/>
      <c r="N20" s="2076" t="s">
        <v>1274</v>
      </c>
      <c r="O20" s="2077" t="s">
        <v>349</v>
      </c>
      <c r="P20" s="1861"/>
      <c r="Q20" s="2145"/>
      <c r="R20" s="2145"/>
      <c r="S20" s="2145"/>
      <c r="T20" s="2022"/>
      <c r="U20" s="2022"/>
      <c r="V20" s="2022"/>
      <c r="W20" s="1860"/>
      <c r="X20" s="1860"/>
      <c r="Y20" s="1860"/>
      <c r="Z20" s="2081"/>
      <c r="AA20" s="2081"/>
      <c r="AB20" s="2081"/>
      <c r="AC20" s="2081"/>
      <c r="AD20" s="2081"/>
      <c r="AE20" s="2081"/>
      <c r="AF20" s="2081"/>
      <c r="AG20" s="2082"/>
      <c r="AH20" s="2082"/>
      <c r="AI20" s="2082"/>
      <c r="AJ20" s="2082"/>
    </row>
    <row r="21" spans="1:37" s="1859" customFormat="1" ht="25.5">
      <c r="A21" s="3485"/>
      <c r="B21" s="1949" t="s">
        <v>1275</v>
      </c>
      <c r="C21" s="1950">
        <f>IF(E3="M4科研用地",SUMPRODUCT((修正!A2:A7=E3)*(修正!B1:M1=G2)*(修正!B2:M7)),SUMPRODUCT((修正!A2:A7=E2)*(修正!B1:M1=G2)*(修正!B2:M7)))</f>
        <v>2.5</v>
      </c>
      <c r="D21" s="1951" t="str">
        <f>IF(OR(G2="八级",G2="九级",G2="十级",G2="十一级",G2="十二级"),"五通一平","七通一平")</f>
        <v>七通一平</v>
      </c>
      <c r="E21" s="1952">
        <f>SUMPRODUCT((修正!B1:M1=G2)*(修正!B17:M17))</f>
        <v>315</v>
      </c>
      <c r="F21" s="1953" t="s">
        <v>1276</v>
      </c>
      <c r="G21" s="1954">
        <f>SUM(H21:O21)</f>
        <v>265</v>
      </c>
      <c r="H21" s="1950">
        <f>SUMPRODUCT((七通一平=H20)*(修正!B1:M1=G2)*(修正!B8:M16))</f>
        <v>70</v>
      </c>
      <c r="I21" s="1950">
        <f>SUMPRODUCT((七通一平=I20)*(修正!B1:M1=G2)*(修正!B8:M16))</f>
        <v>60</v>
      </c>
      <c r="J21" s="2078">
        <f>SUMPRODUCT((七通一平=J20)*(修正!B1:M1=G2)*(修正!B8:M16))</f>
        <v>15</v>
      </c>
      <c r="K21" s="1950">
        <f>SUMPRODUCT((七通一平=K20)*(修正!B1:M1=G2)*(修正!B8:M16))</f>
        <v>25</v>
      </c>
      <c r="L21" s="1950">
        <f>SUMPRODUCT((七通一平=L20)*(修正!B1:M1=G2)*(修正!B8:M16))</f>
        <v>40</v>
      </c>
      <c r="M21" s="1950">
        <f>SUMPRODUCT((七通一平=M20)*(修正!B1:M1=G2)*(修正!B8:M16))</f>
        <v>0</v>
      </c>
      <c r="N21" s="1950">
        <f>SUMPRODUCT((七通一平=N20)*(修正!B1:M1=G2)*(修正!B8:M16))</f>
        <v>40</v>
      </c>
      <c r="O21" s="2079">
        <f>SUMPRODUCT((七通一平=O20)*(修正!B1:M1=G2)*(修正!B8:M16))</f>
        <v>15</v>
      </c>
      <c r="P21" s="1861"/>
      <c r="Q21" s="2082"/>
      <c r="R21" s="2145"/>
      <c r="S21" s="2145"/>
      <c r="T21" s="2022"/>
      <c r="U21" s="2022"/>
      <c r="V21" s="2022"/>
      <c r="W21" s="1860"/>
      <c r="X21" s="1860"/>
      <c r="Y21" s="1860"/>
      <c r="Z21" s="2081"/>
      <c r="AA21" s="2081"/>
      <c r="AB21" s="2081"/>
      <c r="AC21" s="2081"/>
      <c r="AD21" s="2081"/>
      <c r="AE21" s="2081"/>
      <c r="AF21" s="2081"/>
      <c r="AG21" s="2082"/>
      <c r="AH21" s="2082"/>
      <c r="AI21" s="2082"/>
      <c r="AJ21" s="2082"/>
    </row>
    <row r="22" spans="1:37" s="1859" customFormat="1" ht="15">
      <c r="A22" s="1955" t="s">
        <v>945</v>
      </c>
      <c r="B22" s="1956" t="s">
        <v>1277</v>
      </c>
      <c r="C22" s="1957">
        <f>SUMIF(修正!C20:C51,E3,修正!E20:E51)</f>
        <v>1</v>
      </c>
      <c r="D22" s="1958"/>
      <c r="E22" s="1959"/>
      <c r="F22" s="1959"/>
      <c r="G22" s="1959"/>
      <c r="H22" s="1959"/>
      <c r="I22" s="1959"/>
      <c r="J22" s="2080"/>
      <c r="K22" s="2081"/>
      <c r="L22" s="2082"/>
      <c r="M22" s="2082"/>
      <c r="N22" s="2082"/>
      <c r="O22" s="2083"/>
      <c r="P22" s="2083"/>
      <c r="Q22" s="2082"/>
      <c r="R22" s="2145"/>
      <c r="S22" s="2145"/>
      <c r="T22" s="2022"/>
      <c r="U22" s="2022"/>
      <c r="V22" s="2022"/>
      <c r="W22" s="1860"/>
      <c r="X22" s="1860"/>
      <c r="Y22" s="1860"/>
      <c r="Z22" s="2081"/>
      <c r="AA22" s="2081"/>
      <c r="AB22" s="2081"/>
      <c r="AC22" s="2081"/>
      <c r="AD22" s="2081"/>
      <c r="AE22" s="2081"/>
      <c r="AF22" s="2081"/>
      <c r="AG22" s="2082"/>
      <c r="AH22" s="2082"/>
      <c r="AI22" s="2082"/>
      <c r="AJ22" s="2082"/>
    </row>
    <row r="23" spans="1:37" ht="25.5">
      <c r="A23" s="1960" t="s">
        <v>950</v>
      </c>
      <c r="B23" s="1961" t="s">
        <v>1278</v>
      </c>
      <c r="C23" s="19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963" t="s">
        <v>1279</v>
      </c>
      <c r="E23" s="1964">
        <v>44197</v>
      </c>
      <c r="F23" s="1963" t="s">
        <v>1280</v>
      </c>
      <c r="G23" s="1965">
        <f>'数据-取费表'!B2</f>
        <v>45798</v>
      </c>
      <c r="H23" s="1966" t="s">
        <v>1281</v>
      </c>
      <c r="I23" s="2084" t="str">
        <f>IF(H23="季度增幅（自定义）",SUMIF(N25:N28,E2,O25:O28),"")</f>
        <v/>
      </c>
      <c r="J23" s="2085" t="s">
        <v>1282</v>
      </c>
      <c r="K23" s="2081"/>
      <c r="L23" s="2086" t="s">
        <v>1283</v>
      </c>
      <c r="M23" s="2087">
        <f>ROUND(SUMIF(地价!B2:G2,E2,地价!B16:G16),0)</f>
        <v>350</v>
      </c>
      <c r="N23" s="2088" t="s">
        <v>1284</v>
      </c>
      <c r="O23" s="2089">
        <f>ROUNDDOWN(DATEDIF(E23,G23,"M")/3,0)</f>
        <v>17</v>
      </c>
      <c r="P23" s="2022"/>
      <c r="Q23" s="2082"/>
      <c r="R23" s="2145"/>
      <c r="S23" s="2145"/>
      <c r="T23" s="2022"/>
      <c r="U23" s="2022"/>
      <c r="V23" s="2022"/>
      <c r="W23" s="1860"/>
      <c r="X23" s="1860"/>
      <c r="Y23" s="1860"/>
      <c r="Z23" s="2081"/>
      <c r="AA23" s="2081"/>
      <c r="AB23" s="2081"/>
      <c r="AC23" s="2081"/>
      <c r="AD23" s="2081"/>
      <c r="AE23" s="2022"/>
      <c r="AF23" s="2022"/>
      <c r="AG23" s="2162"/>
      <c r="AH23" s="2162"/>
      <c r="AI23" s="2162"/>
      <c r="AJ23" s="2162"/>
      <c r="AK23" s="1862"/>
    </row>
    <row r="24" spans="1:37" s="1859" customFormat="1" ht="24">
      <c r="A24" s="1967" t="s">
        <v>953</v>
      </c>
      <c r="B24" s="1968" t="s">
        <v>1285</v>
      </c>
      <c r="C24" s="1969">
        <f>ROUND(POWER(1+G24,J24-I24)*(POWER(1+G24,I24)-1)/(POWER(1+G24,J24)-1),4)</f>
        <v>0.82509999999999994</v>
      </c>
      <c r="D24" s="1970" t="s">
        <v>1286</v>
      </c>
      <c r="E24" s="1971">
        <f>存贷款利率!E28/100</f>
        <v>4.3499999999999997E-2</v>
      </c>
      <c r="F24" s="1970" t="s">
        <v>1287</v>
      </c>
      <c r="G24" s="1972">
        <f>SUMIF(M30:Q30,E2,M33:Q33)</f>
        <v>5.5E-2</v>
      </c>
      <c r="H24" s="1970" t="s">
        <v>1288</v>
      </c>
      <c r="I24" s="2090">
        <f>SUMIF('数据-取费表'!C6:C15,E2,'数据-取费表'!F6:F15)/COUNTIF('数据-取费表'!C6:C15,E2)</f>
        <v>24.33</v>
      </c>
      <c r="J24" s="2091">
        <f>IF(E2="住宅",70,IF(E2="商业",40,50))</f>
        <v>40</v>
      </c>
      <c r="K24" s="2081"/>
      <c r="L24" s="2092" t="s">
        <v>1289</v>
      </c>
      <c r="M24" s="2093">
        <f>ROUND(SUMPRODUCT((地价!A4:A16=YEAR(G23)&amp;"-"&amp;ROUNDUP(MONTH(G23)/3,0))*(地价!B2:G2=E2)*(地价!B4:G16)),0)</f>
        <v>0</v>
      </c>
      <c r="N24" s="2094" t="s">
        <v>1290</v>
      </c>
      <c r="O24" s="2095" t="s">
        <v>1291</v>
      </c>
      <c r="P24" s="2096" t="s">
        <v>1292</v>
      </c>
      <c r="Q24" s="1861"/>
      <c r="R24" s="2145"/>
      <c r="S24" s="2145"/>
      <c r="T24" s="2022"/>
      <c r="U24" s="2022"/>
      <c r="V24" s="2022"/>
      <c r="W24" s="1860"/>
      <c r="X24" s="1860"/>
      <c r="Y24" s="1860"/>
      <c r="Z24" s="2081"/>
      <c r="AA24" s="2081"/>
      <c r="AB24" s="2081"/>
      <c r="AC24" s="2081"/>
      <c r="AD24" s="2081"/>
      <c r="AE24" s="2081"/>
      <c r="AF24" s="2081"/>
      <c r="AG24" s="2082"/>
      <c r="AH24" s="2082"/>
      <c r="AI24" s="2082"/>
      <c r="AJ24" s="2082"/>
    </row>
    <row r="25" spans="1:37" ht="15">
      <c r="A25" s="1973" t="s">
        <v>975</v>
      </c>
      <c r="B25" s="1974" t="s">
        <v>1293</v>
      </c>
      <c r="C25" s="765">
        <f>IF(B25="容积率修正",IF(G3&lt;10,D26,J26),C27)</f>
        <v>0</v>
      </c>
      <c r="D25" s="1975"/>
      <c r="E25" s="1975"/>
      <c r="F25" s="1975"/>
      <c r="G25" s="1975"/>
      <c r="H25" s="1975"/>
      <c r="I25" s="1975"/>
      <c r="J25" s="2097"/>
      <c r="K25" s="2081"/>
      <c r="L25" s="2082"/>
      <c r="M25" s="2082"/>
      <c r="N25" s="2098" t="s">
        <v>1294</v>
      </c>
      <c r="O25" s="2099"/>
      <c r="P25" s="2100">
        <f>SUMPRODUCT((地价!A3:A40=YEAR(G23)&amp;"-"&amp;ROUNDUP(MONTH(G23)/3,0))*(地价!AD2:AH2=N25)*(地价!AD3:AH40))</f>
        <v>0</v>
      </c>
      <c r="Q25" s="2082"/>
      <c r="R25" s="2145"/>
      <c r="S25" s="2145"/>
      <c r="T25" s="2022"/>
      <c r="U25" s="2022"/>
      <c r="V25" s="2022"/>
      <c r="W25" s="1860"/>
      <c r="X25" s="1860"/>
      <c r="Y25" s="1860"/>
      <c r="Z25" s="2081"/>
      <c r="AA25" s="2081"/>
      <c r="AB25" s="2081"/>
      <c r="AC25" s="2081"/>
      <c r="AD25" s="2081"/>
      <c r="AE25" s="2022"/>
      <c r="AF25" s="2022"/>
      <c r="AG25" s="2162"/>
      <c r="AH25" s="2162"/>
      <c r="AI25" s="2162"/>
      <c r="AJ25" s="2162"/>
    </row>
    <row r="26" spans="1:37" ht="14.25">
      <c r="A26" s="975" t="s">
        <v>1295</v>
      </c>
      <c r="B26" s="1976" t="s">
        <v>1296</v>
      </c>
      <c r="C26" s="1976" t="s">
        <v>1297</v>
      </c>
      <c r="D26" s="771">
        <f>IF(E26=G26,F26,IF(G3&lt;10,ROUND(F26+(H26-F26)*(G3-E26)/(G26-E26),4),"——"))</f>
        <v>1.0797000000000001</v>
      </c>
      <c r="E26" s="1873">
        <f>ROUNDDOWN(G3,1)</f>
        <v>1.6</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1873">
        <f>ROUNDUP(G3,1)</f>
        <v>1.7000000000000002</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1.0783</v>
      </c>
      <c r="I26" s="1976" t="s">
        <v>1298</v>
      </c>
      <c r="J26" s="684" t="str">
        <f>IF(G3&gt;=10,D115,"——")</f>
        <v>——</v>
      </c>
      <c r="K26" s="2081"/>
      <c r="L26" s="2082"/>
      <c r="M26" s="2082"/>
      <c r="N26" s="2098" t="s">
        <v>1299</v>
      </c>
      <c r="O26" s="2099"/>
      <c r="P26" s="2100">
        <f>SUMPRODUCT((地价!A3:A40=YEAR(G23)&amp;"-"&amp;ROUNDUP(MONTH(G23)/3,0))*(地价!AD2:AH2=N26)*(地价!AD3:AH40))</f>
        <v>0</v>
      </c>
      <c r="Q26" s="1861"/>
      <c r="R26" s="2145"/>
      <c r="S26" s="2145"/>
      <c r="T26" s="2022"/>
      <c r="U26" s="2022"/>
      <c r="V26" s="2022"/>
      <c r="W26" s="1860"/>
      <c r="X26" s="1860"/>
      <c r="Y26" s="1860"/>
      <c r="Z26" s="2081"/>
      <c r="AA26" s="2081"/>
      <c r="AB26" s="2081"/>
      <c r="AC26" s="2081"/>
      <c r="AD26" s="2081"/>
      <c r="AE26" s="2022"/>
      <c r="AF26" s="2022"/>
      <c r="AG26" s="2162"/>
      <c r="AH26" s="2162"/>
      <c r="AI26" s="2162"/>
      <c r="AJ26" s="2162"/>
    </row>
    <row r="27" spans="1:37" ht="15">
      <c r="A27" s="975" t="s">
        <v>1300</v>
      </c>
      <c r="B27" s="1977" t="s">
        <v>1301</v>
      </c>
      <c r="C27" s="1978">
        <f>ROUND(IF(I3&lt;6,SUMPRODUCT((B106:B110=I3)*(C105:N105=G2)*(C106:N110)),SUMIF(C105:N105,G2,C112:N112)),4)</f>
        <v>0</v>
      </c>
      <c r="D27" s="1867"/>
      <c r="E27" s="1867"/>
      <c r="F27" s="1979"/>
      <c r="G27" s="1980"/>
      <c r="H27" s="1981"/>
      <c r="I27" s="2101"/>
      <c r="J27" s="2102"/>
      <c r="K27" s="1860"/>
      <c r="L27" s="1861"/>
      <c r="M27" s="1861"/>
      <c r="N27" s="2098" t="s">
        <v>1302</v>
      </c>
      <c r="O27" s="2099"/>
      <c r="P27" s="2100">
        <f>SUMPRODUCT((地价!A3:A40=YEAR(G23)&amp;"-"&amp;ROUNDUP(MONTH(G23)/3,0))*(地价!AD2:AH2=N27)*(地价!AD3:AH40))</f>
        <v>0</v>
      </c>
      <c r="Q27" s="1861"/>
      <c r="R27" s="2145"/>
      <c r="S27" s="2145"/>
      <c r="T27" s="2022"/>
      <c r="U27" s="2022"/>
      <c r="V27" s="2022"/>
      <c r="W27" s="1860"/>
      <c r="X27" s="1860"/>
      <c r="Y27" s="1860"/>
      <c r="Z27" s="2081"/>
      <c r="AA27" s="2081"/>
      <c r="AB27" s="2081"/>
      <c r="AC27" s="2081"/>
      <c r="AD27" s="2081"/>
      <c r="AE27" s="2022"/>
      <c r="AF27" s="2022"/>
      <c r="AG27" s="2162"/>
      <c r="AH27" s="2162"/>
      <c r="AI27" s="2162"/>
      <c r="AJ27" s="2162"/>
    </row>
    <row r="28" spans="1:37" ht="15">
      <c r="A28" s="1967" t="s">
        <v>1303</v>
      </c>
      <c r="B28" s="1961" t="s">
        <v>1304</v>
      </c>
      <c r="C28" s="1962">
        <f>SUMIF(A47:A101,E2,B47:B101)</f>
        <v>1.0616000000000001</v>
      </c>
      <c r="D28" s="1982"/>
      <c r="E28" s="1983"/>
      <c r="F28" s="1983"/>
      <c r="G28" s="1983"/>
      <c r="H28" s="1983"/>
      <c r="I28" s="1983"/>
      <c r="J28" s="2103"/>
      <c r="K28" s="2081"/>
      <c r="L28" s="2082"/>
      <c r="M28" s="2082"/>
      <c r="N28" s="2104" t="s">
        <v>1305</v>
      </c>
      <c r="O28" s="2105"/>
      <c r="P28" s="2106">
        <f>SUMPRODUCT((地价!A3:A40=YEAR(G23)&amp;"-"&amp;ROUNDUP(MONTH(G23)/3,0))*(地价!AD2:AH2=N28)*(地价!AD3:AH40))</f>
        <v>0</v>
      </c>
      <c r="Q28" s="2145"/>
      <c r="R28" s="2145"/>
      <c r="S28" s="2145"/>
      <c r="T28" s="2022"/>
      <c r="U28" s="2022"/>
      <c r="V28" s="2022"/>
      <c r="W28" s="1860"/>
      <c r="X28" s="1860"/>
      <c r="Y28" s="1860"/>
      <c r="Z28" s="2081"/>
      <c r="AA28" s="2081"/>
      <c r="AB28" s="2081"/>
      <c r="AC28" s="2081"/>
      <c r="AD28" s="2081"/>
      <c r="AE28" s="2022"/>
      <c r="AF28" s="2022"/>
      <c r="AG28" s="2162"/>
      <c r="AH28" s="2162"/>
      <c r="AI28" s="2162"/>
      <c r="AJ28" s="2162"/>
    </row>
    <row r="29" spans="1:37" ht="15">
      <c r="A29" s="1967" t="s">
        <v>1306</v>
      </c>
      <c r="B29" s="1984" t="s">
        <v>1307</v>
      </c>
      <c r="C29" s="1985"/>
      <c r="D29" s="1892"/>
      <c r="E29" s="1892"/>
      <c r="F29" s="1986"/>
      <c r="G29" s="1892"/>
      <c r="H29" s="1892"/>
      <c r="I29" s="1892"/>
      <c r="J29" s="2062"/>
      <c r="K29" s="1860"/>
      <c r="L29" s="1861"/>
      <c r="M29" s="1861"/>
      <c r="N29" s="2107" t="s">
        <v>1308</v>
      </c>
      <c r="O29" s="2108"/>
      <c r="P29" s="2109">
        <f>SUMPRODUCT((地价!A3:A40=YEAR(G23)&amp;"-"&amp;ROUNDUP(MONTH(G23)/3,0))*(地价!AD2:AH2=N29)*(地价!AD3:AH40))</f>
        <v>0</v>
      </c>
      <c r="Q29" s="2145"/>
      <c r="R29" s="2145"/>
      <c r="S29" s="2145"/>
      <c r="T29" s="2022"/>
      <c r="U29" s="2022"/>
      <c r="V29" s="2022"/>
      <c r="W29" s="1860"/>
      <c r="X29" s="1860"/>
      <c r="Y29" s="1860"/>
      <c r="Z29" s="2081"/>
      <c r="AA29" s="2081"/>
      <c r="AB29" s="2081"/>
      <c r="AC29" s="2081"/>
      <c r="AD29" s="2081"/>
      <c r="AE29" s="1860"/>
      <c r="AF29" s="1860"/>
      <c r="AG29" s="1861"/>
      <c r="AH29" s="1861"/>
      <c r="AI29" s="1861"/>
      <c r="AJ29" s="1861"/>
    </row>
    <row r="30" spans="1:37" ht="15">
      <c r="A30" s="1987"/>
      <c r="B30" s="1976" t="s">
        <v>1309</v>
      </c>
      <c r="C30" s="1988">
        <f>IF(B25="容积率修正",E33+SUM(E37:E42),SUM(V2:V16)+SUM(E37:E42))</f>
        <v>394880</v>
      </c>
      <c r="D30" s="1989"/>
      <c r="E30" s="1867"/>
      <c r="F30" s="1990"/>
      <c r="G30" s="1867"/>
      <c r="H30" s="1867"/>
      <c r="I30" s="1867"/>
      <c r="J30" s="2110"/>
      <c r="K30" s="1860"/>
      <c r="L30" s="2111" t="s">
        <v>1194</v>
      </c>
      <c r="M30" s="2112" t="s">
        <v>1310</v>
      </c>
      <c r="N30" s="2112" t="s">
        <v>1311</v>
      </c>
      <c r="O30" s="2112" t="s">
        <v>1312</v>
      </c>
      <c r="P30" s="2112" t="s">
        <v>1313</v>
      </c>
      <c r="Q30" s="2146" t="s">
        <v>280</v>
      </c>
      <c r="R30" s="2145"/>
      <c r="S30" s="2145"/>
      <c r="T30" s="2022"/>
      <c r="U30" s="2022"/>
      <c r="V30" s="2022"/>
      <c r="W30" s="1860"/>
      <c r="X30" s="1860"/>
      <c r="Y30" s="1860"/>
      <c r="Z30" s="2081"/>
      <c r="AA30" s="2081"/>
      <c r="AB30" s="2081"/>
      <c r="AC30" s="2081"/>
      <c r="AD30" s="2081"/>
      <c r="AE30" s="1860"/>
      <c r="AF30" s="1860"/>
      <c r="AG30" s="1861"/>
      <c r="AH30" s="1861"/>
      <c r="AI30" s="1861"/>
      <c r="AJ30" s="1861"/>
    </row>
    <row r="31" spans="1:37" ht="15">
      <c r="A31" s="1987"/>
      <c r="B31" s="1925" t="s">
        <v>1314</v>
      </c>
      <c r="C31" s="1991">
        <f>E34+SUM(I37:I42)</f>
        <v>12265</v>
      </c>
      <c r="D31" s="1992"/>
      <c r="E31" s="1993"/>
      <c r="F31" s="1994"/>
      <c r="G31" s="1993"/>
      <c r="H31" s="1993"/>
      <c r="I31" s="1993"/>
      <c r="J31" s="2113"/>
      <c r="K31" s="1860"/>
      <c r="L31" s="2114" t="s">
        <v>1315</v>
      </c>
      <c r="M31" s="1869">
        <v>0.25</v>
      </c>
      <c r="N31" s="1869">
        <v>0.2</v>
      </c>
      <c r="O31" s="1869">
        <v>0.15</v>
      </c>
      <c r="P31" s="1869">
        <v>0.1</v>
      </c>
      <c r="Q31" s="2147">
        <v>0.15</v>
      </c>
      <c r="R31" s="2145"/>
      <c r="S31" s="2145"/>
      <c r="T31" s="2022"/>
      <c r="U31" s="2022"/>
      <c r="V31" s="2022"/>
      <c r="W31" s="1860"/>
      <c r="X31" s="1860"/>
      <c r="Y31" s="1860"/>
      <c r="Z31" s="2081"/>
      <c r="AA31" s="2081"/>
      <c r="AB31" s="2081"/>
      <c r="AC31" s="2081"/>
      <c r="AD31" s="2081"/>
      <c r="AE31" s="1860"/>
      <c r="AF31" s="1860"/>
      <c r="AG31" s="1861"/>
      <c r="AH31" s="1861"/>
      <c r="AI31" s="1861"/>
      <c r="AJ31" s="1861"/>
    </row>
    <row r="32" spans="1:37" ht="15">
      <c r="A32" s="1995"/>
      <c r="B32" s="1996" t="s">
        <v>1316</v>
      </c>
      <c r="C32" s="1997" t="s">
        <v>1317</v>
      </c>
      <c r="D32" s="1997" t="s">
        <v>575</v>
      </c>
      <c r="E32" s="1998" t="s">
        <v>1318</v>
      </c>
      <c r="F32" s="1999"/>
      <c r="G32" s="1913"/>
      <c r="H32" s="1913"/>
      <c r="I32" s="1913"/>
      <c r="J32" s="2067"/>
      <c r="K32" s="1860"/>
      <c r="L32" s="2115" t="s">
        <v>1287</v>
      </c>
      <c r="M32" s="2116">
        <f>ROUND($E$24*(1+M31),3)</f>
        <v>5.3999999999999999E-2</v>
      </c>
      <c r="N32" s="2116">
        <f>ROUND($E$24*(1+N31),3)</f>
        <v>5.1999999999999998E-2</v>
      </c>
      <c r="O32" s="2116">
        <f>ROUND($E$24*(1+O31),3)</f>
        <v>0.05</v>
      </c>
      <c r="P32" s="2116">
        <f>ROUND($E$24*(1+P31),3)</f>
        <v>4.8000000000000001E-2</v>
      </c>
      <c r="Q32" s="2148">
        <f>ROUND($E$24*(1+Q31),3)</f>
        <v>0.05</v>
      </c>
      <c r="R32" s="2145"/>
      <c r="S32" s="2145"/>
      <c r="T32" s="2022"/>
      <c r="U32" s="2022"/>
      <c r="V32" s="2022"/>
      <c r="W32" s="1860"/>
      <c r="X32" s="1860"/>
      <c r="Y32" s="1860"/>
      <c r="Z32" s="2081"/>
      <c r="AA32" s="2081"/>
      <c r="AB32" s="2081"/>
      <c r="AC32" s="2081"/>
      <c r="AD32" s="2081"/>
      <c r="AE32" s="1860"/>
      <c r="AF32" s="1860"/>
      <c r="AG32" s="1861"/>
      <c r="AH32" s="1861"/>
      <c r="AI32" s="1861"/>
      <c r="AJ32" s="1861"/>
    </row>
    <row r="33" spans="1:37" ht="14.25">
      <c r="A33" s="2000"/>
      <c r="B33" s="2001" t="s">
        <v>1319</v>
      </c>
      <c r="C33" s="2002">
        <f>ROUND(C5*C22*C23*C24*C25*C28,0)</f>
        <v>0</v>
      </c>
      <c r="D33" s="2003">
        <f>'数据-汇总表'!F19</f>
        <v>286319.48000000004</v>
      </c>
      <c r="E33" s="842">
        <f>ROUND(C33*D33/10000,0)</f>
        <v>0</v>
      </c>
      <c r="F33" s="2004" t="s">
        <v>1320</v>
      </c>
      <c r="G33" s="2005"/>
      <c r="H33" s="2005"/>
      <c r="I33" s="2005"/>
      <c r="J33" s="2117"/>
      <c r="K33" s="1860"/>
      <c r="L33" s="2118" t="s">
        <v>1321</v>
      </c>
      <c r="M33" s="2119">
        <v>5.5E-2</v>
      </c>
      <c r="N33" s="2119">
        <v>5.5E-2</v>
      </c>
      <c r="O33" s="2119">
        <v>0.05</v>
      </c>
      <c r="P33" s="2119">
        <v>0.05</v>
      </c>
      <c r="Q33" s="2119">
        <v>0.05</v>
      </c>
      <c r="R33" s="2145"/>
      <c r="S33" s="2145"/>
      <c r="T33" s="2022"/>
      <c r="U33" s="2022"/>
      <c r="V33" s="2022"/>
      <c r="W33" s="1860"/>
      <c r="X33" s="1860"/>
      <c r="Y33" s="1860"/>
      <c r="Z33" s="2081"/>
      <c r="AA33" s="2081"/>
      <c r="AB33" s="2081"/>
      <c r="AC33" s="2081"/>
      <c r="AD33" s="2081"/>
      <c r="AE33" s="2022"/>
      <c r="AF33" s="2022"/>
      <c r="AG33" s="2162"/>
      <c r="AH33" s="2162"/>
      <c r="AI33" s="2162"/>
      <c r="AJ33" s="2162"/>
    </row>
    <row r="34" spans="1:37" ht="24.75">
      <c r="A34" s="2006"/>
      <c r="B34" s="2007" t="s">
        <v>1322</v>
      </c>
      <c r="C34" s="1951" t="e">
        <f>ROUND(IF(E2="工业",C33*M42,IF(B25="楼层修正",SUM(V2:V16)*M41*10000/D34,C33*M41)),0)</f>
        <v>#DIV/0!</v>
      </c>
      <c r="D34" s="2008"/>
      <c r="E34" s="842">
        <f>ROUND(IF(B25="楼层修正",SUM(V2:V16)*M40,C34*D34/10000),0)</f>
        <v>0</v>
      </c>
      <c r="F34" s="2009" t="s">
        <v>1323</v>
      </c>
      <c r="G34" s="2010"/>
      <c r="H34" s="2010"/>
      <c r="I34" s="2010"/>
      <c r="J34" s="2120"/>
      <c r="K34" s="1860"/>
      <c r="L34" s="2118" t="s">
        <v>1324</v>
      </c>
      <c r="M34" s="2119">
        <v>6.5000000000000002E-2</v>
      </c>
      <c r="N34" s="2119">
        <v>6.5000000000000002E-2</v>
      </c>
      <c r="O34" s="2119">
        <v>0.06</v>
      </c>
      <c r="P34" s="2119">
        <v>0.06</v>
      </c>
      <c r="Q34" s="2119">
        <v>0.06</v>
      </c>
      <c r="R34" s="2145"/>
      <c r="S34" s="2145"/>
      <c r="T34" s="2022"/>
      <c r="U34" s="2022"/>
      <c r="V34" s="2022"/>
      <c r="W34" s="1860"/>
      <c r="X34" s="1860"/>
      <c r="Y34" s="1860"/>
      <c r="Z34" s="2081"/>
      <c r="AA34" s="2081"/>
      <c r="AB34" s="2081"/>
      <c r="AC34" s="2081"/>
      <c r="AD34" s="2081"/>
      <c r="AE34" s="2022"/>
      <c r="AF34" s="2022"/>
      <c r="AG34" s="2162"/>
      <c r="AH34" s="2162"/>
      <c r="AI34" s="2162"/>
      <c r="AJ34" s="2162"/>
    </row>
    <row r="35" spans="1:37">
      <c r="A35" s="2011"/>
      <c r="B35" s="2012" t="s">
        <v>1325</v>
      </c>
      <c r="C35" s="2013" t="s">
        <v>1326</v>
      </c>
      <c r="D35" s="1913"/>
      <c r="E35" s="2014"/>
      <c r="F35" s="2014"/>
      <c r="G35" s="1911" t="s">
        <v>1323</v>
      </c>
      <c r="H35" s="1913"/>
      <c r="I35" s="2121"/>
      <c r="J35" s="2067"/>
      <c r="K35" s="1860"/>
      <c r="L35" s="1860"/>
      <c r="M35" s="1860"/>
      <c r="N35" s="1860"/>
      <c r="O35" s="2083"/>
      <c r="P35" s="2083"/>
      <c r="Q35" s="2145"/>
      <c r="R35" s="1860"/>
      <c r="S35" s="1860"/>
      <c r="T35" s="1860"/>
      <c r="U35" s="1860"/>
      <c r="V35" s="1860"/>
      <c r="W35" s="1860"/>
      <c r="X35" s="1860"/>
      <c r="Y35" s="1860"/>
      <c r="Z35" s="2022"/>
      <c r="AA35" s="2022"/>
      <c r="AB35" s="2022"/>
      <c r="AC35" s="2022"/>
      <c r="AD35" s="2022"/>
      <c r="AE35" s="2022"/>
      <c r="AF35" s="2022"/>
      <c r="AG35" s="2162"/>
      <c r="AH35" s="2162"/>
      <c r="AI35" s="2162"/>
      <c r="AJ35" s="2162"/>
    </row>
    <row r="36" spans="1:37" ht="24">
      <c r="A36" s="2000"/>
      <c r="B36" s="2015"/>
      <c r="C36" s="754" t="s">
        <v>1317</v>
      </c>
      <c r="D36" s="751" t="s">
        <v>575</v>
      </c>
      <c r="E36" s="751" t="s">
        <v>1318</v>
      </c>
      <c r="F36" s="1731" t="s">
        <v>1327</v>
      </c>
      <c r="G36" s="2016" t="s">
        <v>1317</v>
      </c>
      <c r="H36" s="2016" t="s">
        <v>575</v>
      </c>
      <c r="I36" s="2016" t="s">
        <v>1318</v>
      </c>
      <c r="J36" s="393"/>
      <c r="K36" s="2026" t="s">
        <v>1328</v>
      </c>
      <c r="L36" s="2122">
        <f ca="1">'数据-取费表'!B40</f>
        <v>0.03</v>
      </c>
      <c r="M36" s="2123">
        <f ca="1">ROUND($L$36*(1+M31),3)</f>
        <v>3.7999999999999999E-2</v>
      </c>
      <c r="N36" s="2123">
        <f ca="1">ROUND($L$36*(1+N31),3)</f>
        <v>3.5999999999999997E-2</v>
      </c>
      <c r="O36" s="2123">
        <f ca="1">ROUND($L$36*(1+O31),3)</f>
        <v>3.5000000000000003E-2</v>
      </c>
      <c r="P36" s="2123">
        <f ca="1">ROUND($L$36*(1+P31),3)</f>
        <v>3.3000000000000002E-2</v>
      </c>
      <c r="Q36" s="2123">
        <f ca="1">ROUND($L$36*(1+Q31),3)</f>
        <v>3.5000000000000003E-2</v>
      </c>
      <c r="R36" s="1860"/>
      <c r="S36" s="1860"/>
      <c r="T36" s="1860"/>
      <c r="U36" s="1860"/>
      <c r="V36" s="1860"/>
      <c r="W36" s="1860"/>
      <c r="X36" s="1860"/>
      <c r="Y36" s="1860"/>
      <c r="Z36" s="2022"/>
      <c r="AA36" s="2022"/>
      <c r="AB36" s="2022"/>
      <c r="AC36" s="2022"/>
      <c r="AD36" s="2022"/>
      <c r="AE36" s="2022"/>
      <c r="AF36" s="2022"/>
      <c r="AG36" s="2162"/>
      <c r="AH36" s="2162"/>
      <c r="AI36" s="2162"/>
      <c r="AJ36" s="2162"/>
    </row>
    <row r="37" spans="1:37" ht="24">
      <c r="A37" s="3486"/>
      <c r="B37" s="2017" t="s">
        <v>1329</v>
      </c>
      <c r="C37" s="2002">
        <f>ROUND(D5*C22*C23*C24*C28*F37,0)</f>
        <v>5953</v>
      </c>
      <c r="D37" s="2003"/>
      <c r="E37" s="773">
        <f>ROUND(C37*D37/10000,0)</f>
        <v>0</v>
      </c>
      <c r="F37" s="773">
        <f>SUMIF(修正!A57:A68,G2,修正!B57:B68)</f>
        <v>0.6</v>
      </c>
      <c r="G37" s="773">
        <f>ROUND(IF(E2="工业",C37*$M$42,C37*$M$41),0)</f>
        <v>1488</v>
      </c>
      <c r="H37" s="773">
        <f>D37</f>
        <v>0</v>
      </c>
      <c r="I37" s="773">
        <f>ROUND(G37*H37/10000,0)</f>
        <v>0</v>
      </c>
      <c r="J37" s="2124"/>
      <c r="K37" s="2125" t="s">
        <v>1330</v>
      </c>
      <c r="L37" s="2026">
        <f ca="1">L36+K38</f>
        <v>3.4999999999999996E-2</v>
      </c>
      <c r="M37" s="2123">
        <f ca="1">ROUND($L$37*(1+M31),3)</f>
        <v>4.3999999999999997E-2</v>
      </c>
      <c r="N37" s="2123">
        <f t="shared" ref="N37:Q37" ca="1" si="3">ROUND($L$37*(1+N31),3)</f>
        <v>4.2000000000000003E-2</v>
      </c>
      <c r="O37" s="2123">
        <f t="shared" ca="1" si="3"/>
        <v>0.04</v>
      </c>
      <c r="P37" s="2123">
        <f t="shared" ca="1" si="3"/>
        <v>3.9E-2</v>
      </c>
      <c r="Q37" s="2123">
        <f t="shared" ca="1" si="3"/>
        <v>0.04</v>
      </c>
      <c r="R37" s="1860"/>
      <c r="S37" s="1860"/>
      <c r="T37" s="1860"/>
      <c r="U37" s="1860"/>
      <c r="V37" s="1860"/>
      <c r="W37" s="1860"/>
      <c r="X37" s="1860"/>
      <c r="Y37" s="1860"/>
      <c r="Z37" s="2022"/>
      <c r="AA37" s="2022"/>
      <c r="AB37" s="2022"/>
      <c r="AC37" s="2022"/>
      <c r="AD37" s="2022"/>
      <c r="AE37" s="2022"/>
      <c r="AF37" s="2022"/>
      <c r="AG37" s="2162"/>
      <c r="AH37" s="2162"/>
      <c r="AI37" s="2162"/>
      <c r="AJ37" s="2162"/>
    </row>
    <row r="38" spans="1:37">
      <c r="A38" s="3487"/>
      <c r="B38" s="1916" t="s">
        <v>1331</v>
      </c>
      <c r="C38" s="2002">
        <f>ROUND(D5*C22*C23*C24*C28*F38,0)</f>
        <v>2976</v>
      </c>
      <c r="D38" s="2003"/>
      <c r="E38" s="773">
        <f t="shared" ref="E38:E42" si="4">ROUND(C38*D38/10000,0)</f>
        <v>0</v>
      </c>
      <c r="F38" s="773">
        <f>SUMIF(修正!A57:A68,G2,修正!C57:C68)</f>
        <v>0.3</v>
      </c>
      <c r="G38" s="773">
        <f>ROUND(IF(E2="工业",C38*$M$42,C38*$M$41),0)</f>
        <v>744</v>
      </c>
      <c r="H38" s="773">
        <f t="shared" ref="H38:H42" si="5">D38</f>
        <v>0</v>
      </c>
      <c r="I38" s="773">
        <f t="shared" ref="I38:I42" si="6">ROUND(G38*H38/10000,0)</f>
        <v>0</v>
      </c>
      <c r="J38" s="2018"/>
      <c r="K38" s="2026">
        <v>5.0000000000000001E-3</v>
      </c>
      <c r="L38" s="2026"/>
      <c r="M38" s="2026"/>
      <c r="N38" s="2026"/>
      <c r="O38" s="2026"/>
      <c r="P38" s="2026"/>
      <c r="Q38" s="2026"/>
      <c r="R38" s="1860"/>
      <c r="S38" s="1860"/>
      <c r="T38" s="1860"/>
      <c r="U38" s="1860"/>
      <c r="V38" s="1860"/>
      <c r="W38" s="1860"/>
      <c r="X38" s="1860"/>
      <c r="Y38" s="1860"/>
      <c r="Z38" s="2022"/>
      <c r="AA38" s="2022"/>
      <c r="AB38" s="2022"/>
      <c r="AC38" s="2022"/>
      <c r="AD38" s="2022"/>
    </row>
    <row r="39" spans="1:37">
      <c r="A39" s="3487"/>
      <c r="B39" s="1916" t="s">
        <v>1332</v>
      </c>
      <c r="C39" s="2002">
        <f>ROUND(D5*C22*C23*C24*C28*F39,0)</f>
        <v>2480</v>
      </c>
      <c r="D39" s="2003"/>
      <c r="E39" s="773">
        <f t="shared" si="4"/>
        <v>0</v>
      </c>
      <c r="F39" s="773">
        <f>SUMIF(修正!A57:A68,G2,修正!D57:D68)</f>
        <v>0.25</v>
      </c>
      <c r="G39" s="773">
        <f>ROUND(IF(E2="工业",C39*$M$42,C39*$M$41),0)</f>
        <v>620</v>
      </c>
      <c r="H39" s="773">
        <f t="shared" si="5"/>
        <v>0</v>
      </c>
      <c r="I39" s="773">
        <f t="shared" si="6"/>
        <v>0</v>
      </c>
      <c r="J39" s="2018"/>
      <c r="K39" s="1860"/>
      <c r="L39" s="1860"/>
      <c r="M39" s="1860"/>
      <c r="N39" s="1860"/>
      <c r="O39" s="1860"/>
      <c r="P39" s="1860"/>
      <c r="Q39" s="1860"/>
      <c r="R39" s="1860"/>
      <c r="S39" s="1860"/>
      <c r="T39" s="1860"/>
      <c r="U39" s="1860"/>
      <c r="V39" s="1860"/>
      <c r="W39" s="1860"/>
      <c r="X39" s="1860"/>
      <c r="Y39" s="1860"/>
      <c r="Z39" s="2022"/>
      <c r="AA39" s="2022"/>
      <c r="AB39" s="2022"/>
      <c r="AC39" s="2022"/>
      <c r="AD39" s="2022"/>
    </row>
    <row r="40" spans="1:37" s="1860" customFormat="1">
      <c r="A40" s="2019"/>
      <c r="B40" s="1916" t="s">
        <v>1333</v>
      </c>
      <c r="C40" s="773">
        <f>ROUND(D5*C22*C23*C24*C28*F40,0)</f>
        <v>2480</v>
      </c>
      <c r="D40" s="2003"/>
      <c r="E40" s="773">
        <f t="shared" si="4"/>
        <v>0</v>
      </c>
      <c r="F40" s="2002">
        <f>SUMIF(修正!A57:A68,G2,修正!E57:E68)</f>
        <v>0.25</v>
      </c>
      <c r="G40" s="773">
        <f>ROUND(IF(E2="工业",C40*$M$42,C40*$M$41),0)</f>
        <v>620</v>
      </c>
      <c r="H40" s="773">
        <f t="shared" si="5"/>
        <v>0</v>
      </c>
      <c r="I40" s="773">
        <f t="shared" si="6"/>
        <v>0</v>
      </c>
      <c r="J40" s="607"/>
      <c r="L40" s="2126" t="s">
        <v>1334</v>
      </c>
      <c r="M40" s="2127"/>
      <c r="Z40" s="2022"/>
      <c r="AA40" s="2022"/>
      <c r="AB40" s="2022"/>
      <c r="AC40" s="2022"/>
      <c r="AD40" s="2022"/>
      <c r="AE40" s="2022"/>
      <c r="AF40" s="2022"/>
      <c r="AG40" s="2022"/>
      <c r="AH40" s="2022"/>
      <c r="AI40" s="2022"/>
      <c r="AJ40" s="2022"/>
    </row>
    <row r="41" spans="1:37" s="1860" customFormat="1">
      <c r="A41" s="2019"/>
      <c r="B41" s="1916" t="s">
        <v>1335</v>
      </c>
      <c r="C41" s="773">
        <f>ROUND(D5*C22*C23*C44*C28*F41,0)</f>
        <v>2715</v>
      </c>
      <c r="D41" s="2003"/>
      <c r="E41" s="773">
        <f t="shared" si="4"/>
        <v>0</v>
      </c>
      <c r="F41" s="2002">
        <f>SUMIF(修正!A57:A68,G2,修正!F57:F68)</f>
        <v>0.25</v>
      </c>
      <c r="G41" s="773">
        <f>ROUND(IF(E2="工业",C41*$M$42,C41*$M$41),0)</f>
        <v>679</v>
      </c>
      <c r="H41" s="773">
        <f t="shared" si="5"/>
        <v>0</v>
      </c>
      <c r="I41" s="773">
        <f t="shared" si="6"/>
        <v>0</v>
      </c>
      <c r="J41" s="607"/>
      <c r="L41" s="2128" t="s">
        <v>1336</v>
      </c>
      <c r="M41" s="2129">
        <v>0.25</v>
      </c>
      <c r="Z41" s="2022"/>
      <c r="AA41" s="2022"/>
      <c r="AB41" s="2022"/>
      <c r="AC41" s="2022"/>
      <c r="AD41" s="2022"/>
      <c r="AE41" s="2022"/>
      <c r="AF41" s="2022"/>
      <c r="AG41" s="2022"/>
      <c r="AH41" s="2022"/>
      <c r="AI41" s="2022"/>
      <c r="AJ41" s="2022"/>
    </row>
    <row r="42" spans="1:37" s="1860" customFormat="1">
      <c r="A42" s="2006"/>
      <c r="B42" s="2020" t="s">
        <v>1337</v>
      </c>
      <c r="C42" s="1951">
        <f>ROUND(D5*C22*C23*C44*C28*F42,0)</f>
        <v>1629</v>
      </c>
      <c r="D42" s="2008">
        <f>'数据-汇总表'!G19</f>
        <v>301355.98</v>
      </c>
      <c r="E42" s="1951">
        <f t="shared" si="4"/>
        <v>49091</v>
      </c>
      <c r="F42" s="2021">
        <f>SUMIF(修正!A57:A68,G2,修正!G57:G68)</f>
        <v>0.15</v>
      </c>
      <c r="G42" s="1951">
        <f>ROUND(IF(E2="工业",C42*$M$42,C42*$M$41),0)</f>
        <v>407</v>
      </c>
      <c r="H42" s="1951">
        <f t="shared" si="5"/>
        <v>301355.98</v>
      </c>
      <c r="I42" s="1951">
        <f t="shared" si="6"/>
        <v>12265</v>
      </c>
      <c r="J42" s="2130"/>
      <c r="L42" s="2131" t="s">
        <v>1313</v>
      </c>
      <c r="M42" s="2132">
        <v>0.15</v>
      </c>
      <c r="Z42" s="2022"/>
      <c r="AA42" s="2022"/>
      <c r="AB42" s="2022"/>
      <c r="AC42" s="2022"/>
      <c r="AD42" s="2022"/>
      <c r="AE42" s="2022"/>
      <c r="AF42" s="2022"/>
      <c r="AG42" s="2022"/>
      <c r="AH42" s="2022"/>
      <c r="AI42" s="2022"/>
      <c r="AJ42" s="2022"/>
    </row>
    <row r="43" spans="1:37" s="1860" customFormat="1">
      <c r="Z43" s="2022"/>
      <c r="AA43" s="2022"/>
      <c r="AB43" s="2022"/>
      <c r="AC43" s="2022"/>
      <c r="AD43" s="2022"/>
      <c r="AE43" s="2022"/>
      <c r="AF43" s="2022"/>
      <c r="AG43" s="2022"/>
      <c r="AH43" s="2022"/>
      <c r="AI43" s="2022"/>
      <c r="AJ43" s="2022"/>
    </row>
    <row r="44" spans="1:37" s="1860" customFormat="1">
      <c r="A44" s="2022"/>
      <c r="B44" s="2023" t="s">
        <v>1338</v>
      </c>
      <c r="C44" s="1731">
        <f>ROUND(POWER(1+E44,H44-G44)*(POWER(1+E44,G44)-1)/(POWER(1+E44,H44)-1),4)</f>
        <v>0.90310000000000001</v>
      </c>
      <c r="D44" s="773" t="s">
        <v>1287</v>
      </c>
      <c r="E44" s="2024">
        <f>G24</f>
        <v>5.5E-2</v>
      </c>
      <c r="F44" s="773" t="s">
        <v>1288</v>
      </c>
      <c r="G44" s="2025">
        <f>项目基本情况!F15</f>
        <v>34.340000000000003</v>
      </c>
      <c r="H44" s="773">
        <v>50</v>
      </c>
      <c r="Z44" s="2022"/>
      <c r="AA44" s="2022"/>
      <c r="AB44" s="2022"/>
      <c r="AC44" s="2022"/>
      <c r="AD44" s="2022"/>
      <c r="AE44" s="2022"/>
      <c r="AF44" s="2022"/>
      <c r="AG44" s="2022"/>
      <c r="AH44" s="2022"/>
      <c r="AI44" s="2022"/>
      <c r="AJ44" s="2022"/>
    </row>
    <row r="45" spans="1:37" s="1860" customFormat="1">
      <c r="A45" s="2022"/>
      <c r="B45" s="2026"/>
      <c r="Z45" s="2022"/>
      <c r="AA45" s="2022"/>
      <c r="AB45" s="2022"/>
      <c r="AC45" s="2022"/>
      <c r="AD45" s="2022"/>
      <c r="AE45" s="2022"/>
      <c r="AF45" s="2022"/>
      <c r="AG45" s="2022"/>
      <c r="AH45" s="2022"/>
      <c r="AI45" s="2022"/>
      <c r="AJ45" s="2022"/>
    </row>
    <row r="46" spans="1:37" s="1860" customFormat="1">
      <c r="A46" s="2022"/>
      <c r="B46" s="2026"/>
      <c r="AA46" s="2022"/>
      <c r="AB46" s="2022"/>
      <c r="AC46" s="2022"/>
      <c r="AD46" s="2022"/>
      <c r="AE46" s="2022"/>
      <c r="AF46" s="2022"/>
      <c r="AG46" s="2022"/>
      <c r="AH46" s="2022"/>
      <c r="AI46" s="2022"/>
      <c r="AJ46" s="2022"/>
      <c r="AK46" s="2022"/>
    </row>
    <row r="47" spans="1:37" s="1860" customFormat="1" ht="15">
      <c r="A47" s="2027" t="s">
        <v>1339</v>
      </c>
      <c r="B47" s="2028"/>
      <c r="C47" s="500"/>
      <c r="D47" s="500"/>
      <c r="E47" s="500"/>
      <c r="F47" s="2029"/>
      <c r="G47" s="2029"/>
      <c r="H47" s="2029"/>
      <c r="I47" s="2133"/>
      <c r="J47" s="2133"/>
      <c r="K47" s="2133"/>
      <c r="L47" s="2133"/>
      <c r="M47" s="2133"/>
      <c r="AA47" s="2022"/>
      <c r="AB47" s="2022"/>
      <c r="AC47" s="2022"/>
      <c r="AD47" s="2022"/>
      <c r="AE47" s="2022"/>
      <c r="AF47" s="2022"/>
      <c r="AG47" s="2022"/>
      <c r="AH47" s="2022"/>
      <c r="AI47" s="2022"/>
      <c r="AJ47" s="2022"/>
      <c r="AK47" s="2022"/>
    </row>
    <row r="48" spans="1:37" s="1860" customFormat="1" ht="15">
      <c r="A48" s="2030" t="s">
        <v>1340</v>
      </c>
      <c r="B48" s="2031">
        <f>1+E50</f>
        <v>1.0616000000000001</v>
      </c>
      <c r="C48" s="1272"/>
      <c r="D48" s="2032"/>
      <c r="E48" s="2033"/>
      <c r="F48" s="2034"/>
      <c r="G48" s="2029"/>
      <c r="H48" s="500"/>
      <c r="I48" s="2133"/>
      <c r="J48" s="2133"/>
      <c r="K48" s="2133"/>
      <c r="L48" s="2133"/>
      <c r="M48" s="2133"/>
      <c r="AA48" s="2022"/>
      <c r="AB48" s="2022"/>
      <c r="AC48" s="2022"/>
      <c r="AD48" s="2022"/>
      <c r="AE48" s="2022"/>
      <c r="AF48" s="2022"/>
      <c r="AG48" s="2022"/>
      <c r="AH48" s="2022"/>
      <c r="AI48" s="2022"/>
      <c r="AJ48" s="2022"/>
      <c r="AK48" s="2022"/>
    </row>
    <row r="49" spans="1:37" s="1860" customFormat="1" ht="24.75">
      <c r="A49" s="2035" t="s">
        <v>1341</v>
      </c>
      <c r="B49" s="2036" t="s">
        <v>1342</v>
      </c>
      <c r="C49" s="2036" t="s">
        <v>1343</v>
      </c>
      <c r="D49" s="2036" t="s">
        <v>1344</v>
      </c>
      <c r="E49" s="2037" t="s">
        <v>1345</v>
      </c>
      <c r="F49" s="2038" t="s">
        <v>1346</v>
      </c>
      <c r="G49" s="2036" t="s">
        <v>1260</v>
      </c>
      <c r="H49" s="2039" t="s">
        <v>1347</v>
      </c>
      <c r="I49" s="2036" t="s">
        <v>1348</v>
      </c>
      <c r="J49" s="857" t="s">
        <v>1349</v>
      </c>
      <c r="K49" s="857" t="s">
        <v>1350</v>
      </c>
      <c r="L49" s="857" t="s">
        <v>1351</v>
      </c>
      <c r="M49" s="857" t="s">
        <v>1352</v>
      </c>
      <c r="N49" s="857" t="s">
        <v>1353</v>
      </c>
      <c r="AA49" s="2022"/>
      <c r="AB49" s="2022"/>
      <c r="AC49" s="2022"/>
      <c r="AD49" s="2022"/>
      <c r="AE49" s="2022"/>
      <c r="AF49" s="2022"/>
      <c r="AG49" s="2022"/>
      <c r="AH49" s="2022"/>
      <c r="AI49" s="2022"/>
      <c r="AJ49" s="2022"/>
      <c r="AK49" s="2022"/>
    </row>
    <row r="50" spans="1:37" s="1860" customFormat="1" ht="38.25">
      <c r="A50" s="2035" t="s">
        <v>1354</v>
      </c>
      <c r="B50" s="2040" t="str">
        <f>估价对象房地状况!C4</f>
        <v>估价对象位于XX商圈，周边商业氛围成熟，人流量大，商业繁华度好</v>
      </c>
      <c r="C50" s="1922" t="s">
        <v>1355</v>
      </c>
      <c r="D50" s="2041">
        <f t="shared" ref="D50:D58" si="7">SUMIF($J$49:$N$49,C50,J50:N50)</f>
        <v>1.95E-2</v>
      </c>
      <c r="E50" s="2042">
        <f>ROUND(SUM(D50:D58),4)</f>
        <v>6.1600000000000002E-2</v>
      </c>
      <c r="F50" s="2043">
        <f>IF(E2="商业",SUMIF(L1:L12,G2,N1:N12),"——")</f>
        <v>0.13</v>
      </c>
      <c r="G50" s="2044">
        <f>H50</f>
        <v>1.95E-2</v>
      </c>
      <c r="H50" s="2045">
        <f t="shared" ref="H50:H58" si="8">IFERROR(ROUNDDOWN($F$50*I50/2,4),"——")</f>
        <v>1.95E-2</v>
      </c>
      <c r="I50" s="2134">
        <v>0.3</v>
      </c>
      <c r="J50" s="2135">
        <f t="shared" ref="J50:J58" si="9">K50+$G50</f>
        <v>3.9E-2</v>
      </c>
      <c r="K50" s="2135">
        <f t="shared" ref="K50:K58" si="10">$L50+$G50</f>
        <v>1.95E-2</v>
      </c>
      <c r="L50" s="2135">
        <v>0</v>
      </c>
      <c r="M50" s="2135">
        <f t="shared" ref="M50:N58" si="11">L50-$G50</f>
        <v>-1.95E-2</v>
      </c>
      <c r="N50" s="2135">
        <f t="shared" si="11"/>
        <v>-3.9E-2</v>
      </c>
      <c r="AA50" s="2022"/>
      <c r="AB50" s="2022"/>
      <c r="AC50" s="2022"/>
      <c r="AD50" s="2022"/>
      <c r="AE50" s="2022"/>
      <c r="AF50" s="2022"/>
      <c r="AG50" s="2022"/>
      <c r="AH50" s="2022"/>
      <c r="AI50" s="2022"/>
      <c r="AJ50" s="2022"/>
      <c r="AK50" s="2022"/>
    </row>
    <row r="51" spans="1:37" s="1860" customFormat="1" ht="38.25">
      <c r="A51" s="2035" t="s">
        <v>1356</v>
      </c>
      <c r="B51" s="2036" t="str">
        <f>估价对象房地状况!C18</f>
        <v>估价对象周边道路状况、公共交通通达情况、停车便捷程度，综合评价交通便捷度较好</v>
      </c>
      <c r="C51" s="1922" t="s">
        <v>1355</v>
      </c>
      <c r="D51" s="2041">
        <f t="shared" si="7"/>
        <v>1.43E-2</v>
      </c>
      <c r="E51" s="2046"/>
      <c r="F51" s="2043"/>
      <c r="G51" s="2044">
        <f t="shared" ref="G51:G58" si="12">H51</f>
        <v>1.43E-2</v>
      </c>
      <c r="H51" s="2045">
        <f t="shared" si="8"/>
        <v>1.43E-2</v>
      </c>
      <c r="I51" s="2134">
        <v>0.22</v>
      </c>
      <c r="J51" s="2135">
        <f t="shared" si="9"/>
        <v>2.86E-2</v>
      </c>
      <c r="K51" s="2135">
        <f t="shared" si="10"/>
        <v>1.43E-2</v>
      </c>
      <c r="L51" s="2135">
        <v>0</v>
      </c>
      <c r="M51" s="2135">
        <f t="shared" si="11"/>
        <v>-1.43E-2</v>
      </c>
      <c r="N51" s="2135">
        <f t="shared" si="11"/>
        <v>-2.86E-2</v>
      </c>
      <c r="AA51" s="2022"/>
      <c r="AB51" s="2022"/>
      <c r="AC51" s="2022"/>
      <c r="AD51" s="2022"/>
      <c r="AE51" s="2022"/>
      <c r="AF51" s="2022"/>
      <c r="AG51" s="2022"/>
      <c r="AH51" s="2022"/>
      <c r="AI51" s="2022"/>
      <c r="AJ51" s="2022"/>
      <c r="AK51" s="2022"/>
    </row>
    <row r="52" spans="1:37" s="1860" customFormat="1" ht="36">
      <c r="A52" s="2047" t="s">
        <v>1357</v>
      </c>
      <c r="B52" s="2036">
        <f>估价对象房地状况!C19</f>
        <v>0</v>
      </c>
      <c r="C52" s="1922" t="s">
        <v>1355</v>
      </c>
      <c r="D52" s="2041">
        <f t="shared" si="7"/>
        <v>7.7999999999999996E-3</v>
      </c>
      <c r="E52" s="2046"/>
      <c r="F52" s="2043"/>
      <c r="G52" s="2044">
        <f t="shared" si="12"/>
        <v>7.7999999999999996E-3</v>
      </c>
      <c r="H52" s="2045">
        <f t="shared" si="8"/>
        <v>7.7999999999999996E-3</v>
      </c>
      <c r="I52" s="2134">
        <v>0.12</v>
      </c>
      <c r="J52" s="2135">
        <f t="shared" si="9"/>
        <v>1.5599999999999999E-2</v>
      </c>
      <c r="K52" s="2135">
        <f t="shared" si="10"/>
        <v>7.7999999999999996E-3</v>
      </c>
      <c r="L52" s="2135">
        <v>0</v>
      </c>
      <c r="M52" s="2135">
        <f t="shared" si="11"/>
        <v>-7.7999999999999996E-3</v>
      </c>
      <c r="N52" s="2135">
        <f t="shared" si="11"/>
        <v>-1.5599999999999999E-2</v>
      </c>
      <c r="AA52" s="2022"/>
      <c r="AB52" s="2022"/>
      <c r="AC52" s="2022"/>
      <c r="AD52" s="2022"/>
      <c r="AE52" s="2022"/>
      <c r="AF52" s="2022"/>
      <c r="AG52" s="2022"/>
      <c r="AH52" s="2022"/>
      <c r="AI52" s="2022"/>
      <c r="AJ52" s="2022"/>
      <c r="AK52" s="2022"/>
    </row>
    <row r="53" spans="1:37" s="1860" customFormat="1" ht="36.75">
      <c r="A53" s="2035" t="s">
        <v>1358</v>
      </c>
      <c r="B53" s="2048" t="s">
        <v>1359</v>
      </c>
      <c r="C53" s="1922" t="s">
        <v>1355</v>
      </c>
      <c r="D53" s="2041">
        <f t="shared" si="7"/>
        <v>3.2000000000000002E-3</v>
      </c>
      <c r="E53" s="2046"/>
      <c r="F53" s="2043"/>
      <c r="G53" s="2044">
        <f t="shared" si="12"/>
        <v>3.2000000000000002E-3</v>
      </c>
      <c r="H53" s="2045">
        <f t="shared" si="8"/>
        <v>3.2000000000000002E-3</v>
      </c>
      <c r="I53" s="2134">
        <v>0.05</v>
      </c>
      <c r="J53" s="2135">
        <f t="shared" si="9"/>
        <v>6.4000000000000003E-3</v>
      </c>
      <c r="K53" s="2135">
        <f t="shared" si="10"/>
        <v>3.2000000000000002E-3</v>
      </c>
      <c r="L53" s="2135">
        <v>0</v>
      </c>
      <c r="M53" s="2135">
        <f t="shared" si="11"/>
        <v>-3.2000000000000002E-3</v>
      </c>
      <c r="N53" s="2135">
        <f t="shared" si="11"/>
        <v>-6.4000000000000003E-3</v>
      </c>
      <c r="AA53" s="2022"/>
      <c r="AB53" s="2022"/>
      <c r="AC53" s="2022"/>
      <c r="AD53" s="2022"/>
      <c r="AE53" s="2022"/>
      <c r="AF53" s="2022"/>
      <c r="AG53" s="2022"/>
      <c r="AH53" s="2022"/>
      <c r="AI53" s="2022"/>
      <c r="AJ53" s="2022"/>
      <c r="AK53" s="2022"/>
    </row>
    <row r="54" spans="1:37" s="1860" customFormat="1" ht="24">
      <c r="A54" s="2035" t="s">
        <v>1360</v>
      </c>
      <c r="B54" s="2036">
        <f>估价对象房地状况!C24</f>
        <v>0</v>
      </c>
      <c r="C54" s="1922" t="s">
        <v>1361</v>
      </c>
      <c r="D54" s="2041">
        <f t="shared" si="7"/>
        <v>0</v>
      </c>
      <c r="E54" s="2046"/>
      <c r="F54" s="2043"/>
      <c r="G54" s="2044">
        <f t="shared" si="12"/>
        <v>5.1999999999999998E-3</v>
      </c>
      <c r="H54" s="2045">
        <f t="shared" si="8"/>
        <v>5.1999999999999998E-3</v>
      </c>
      <c r="I54" s="2134">
        <v>0.08</v>
      </c>
      <c r="J54" s="2135">
        <f t="shared" si="9"/>
        <v>1.04E-2</v>
      </c>
      <c r="K54" s="2135">
        <f t="shared" si="10"/>
        <v>5.1999999999999998E-3</v>
      </c>
      <c r="L54" s="2135">
        <v>0</v>
      </c>
      <c r="M54" s="2135">
        <f t="shared" si="11"/>
        <v>-5.1999999999999998E-3</v>
      </c>
      <c r="N54" s="2135">
        <f t="shared" si="11"/>
        <v>-1.04E-2</v>
      </c>
      <c r="AA54" s="2022"/>
      <c r="AB54" s="2022"/>
      <c r="AC54" s="2022"/>
      <c r="AD54" s="2022"/>
      <c r="AE54" s="2022"/>
      <c r="AF54" s="2022"/>
      <c r="AG54" s="2022"/>
      <c r="AH54" s="2022"/>
      <c r="AI54" s="2022"/>
      <c r="AJ54" s="2022"/>
      <c r="AK54" s="2022"/>
    </row>
    <row r="55" spans="1:37" s="1860" customFormat="1" ht="24">
      <c r="A55" s="2035" t="s">
        <v>1362</v>
      </c>
      <c r="B55" s="2049" t="s">
        <v>1363</v>
      </c>
      <c r="C55" s="1922" t="s">
        <v>1355</v>
      </c>
      <c r="D55" s="2041">
        <f t="shared" si="7"/>
        <v>3.2000000000000002E-3</v>
      </c>
      <c r="E55" s="2046"/>
      <c r="F55" s="2043"/>
      <c r="G55" s="2044">
        <f t="shared" si="12"/>
        <v>3.2000000000000002E-3</v>
      </c>
      <c r="H55" s="2045">
        <f t="shared" si="8"/>
        <v>3.2000000000000002E-3</v>
      </c>
      <c r="I55" s="2134">
        <v>0.05</v>
      </c>
      <c r="J55" s="2135">
        <f t="shared" si="9"/>
        <v>6.4000000000000003E-3</v>
      </c>
      <c r="K55" s="2135">
        <f t="shared" si="10"/>
        <v>3.2000000000000002E-3</v>
      </c>
      <c r="L55" s="2135">
        <v>0</v>
      </c>
      <c r="M55" s="2135">
        <f t="shared" si="11"/>
        <v>-3.2000000000000002E-3</v>
      </c>
      <c r="N55" s="2135">
        <f t="shared" si="11"/>
        <v>-6.4000000000000003E-3</v>
      </c>
      <c r="AA55" s="2022"/>
      <c r="AB55" s="2022"/>
      <c r="AC55" s="2022"/>
      <c r="AD55" s="2022"/>
      <c r="AE55" s="2022"/>
      <c r="AF55" s="2022"/>
      <c r="AG55" s="2022"/>
      <c r="AH55" s="2022"/>
      <c r="AI55" s="2022"/>
      <c r="AJ55" s="2022"/>
      <c r="AK55" s="2022"/>
    </row>
    <row r="56" spans="1:37" s="1860" customFormat="1" ht="25.5">
      <c r="A56" s="2050" t="s">
        <v>1364</v>
      </c>
      <c r="B56" s="549" t="str">
        <f>估价对象房地状况!C21</f>
        <v>估价对象所在区域公共配套设施齐备情况</v>
      </c>
      <c r="C56" s="1922" t="s">
        <v>1355</v>
      </c>
      <c r="D56" s="2041">
        <f t="shared" si="7"/>
        <v>3.2000000000000002E-3</v>
      </c>
      <c r="E56" s="2046"/>
      <c r="F56" s="2043"/>
      <c r="G56" s="2044">
        <f t="shared" si="12"/>
        <v>3.2000000000000002E-3</v>
      </c>
      <c r="H56" s="2045">
        <f t="shared" si="8"/>
        <v>3.2000000000000002E-3</v>
      </c>
      <c r="I56" s="2134">
        <v>0.05</v>
      </c>
      <c r="J56" s="2135">
        <f t="shared" si="9"/>
        <v>6.4000000000000003E-3</v>
      </c>
      <c r="K56" s="2135">
        <f t="shared" si="10"/>
        <v>3.2000000000000002E-3</v>
      </c>
      <c r="L56" s="2135">
        <v>0</v>
      </c>
      <c r="M56" s="2135">
        <f t="shared" si="11"/>
        <v>-3.2000000000000002E-3</v>
      </c>
      <c r="N56" s="2135">
        <f t="shared" si="11"/>
        <v>-6.4000000000000003E-3</v>
      </c>
      <c r="AA56" s="2022"/>
      <c r="AB56" s="2022"/>
      <c r="AC56" s="2022"/>
      <c r="AD56" s="2022"/>
      <c r="AE56" s="2022"/>
      <c r="AF56" s="2022"/>
      <c r="AG56" s="2022"/>
      <c r="AH56" s="2022"/>
      <c r="AI56" s="2022"/>
      <c r="AJ56" s="2022"/>
      <c r="AK56" s="2022"/>
    </row>
    <row r="57" spans="1:37" s="1860" customFormat="1" ht="25.5">
      <c r="A57" s="2050" t="s">
        <v>1365</v>
      </c>
      <c r="B57" s="2036" t="str">
        <f>估价对象房地状况!C22</f>
        <v>估价对象所在区域基础设施水平</v>
      </c>
      <c r="C57" s="1922" t="s">
        <v>1366</v>
      </c>
      <c r="D57" s="2041">
        <f t="shared" si="7"/>
        <v>1.04E-2</v>
      </c>
      <c r="E57" s="2046"/>
      <c r="F57" s="2043"/>
      <c r="G57" s="2044">
        <f t="shared" si="12"/>
        <v>5.1999999999999998E-3</v>
      </c>
      <c r="H57" s="2045">
        <f t="shared" si="8"/>
        <v>5.1999999999999998E-3</v>
      </c>
      <c r="I57" s="2134">
        <v>0.08</v>
      </c>
      <c r="J57" s="2135">
        <f t="shared" si="9"/>
        <v>1.04E-2</v>
      </c>
      <c r="K57" s="2135">
        <f t="shared" si="10"/>
        <v>5.1999999999999998E-3</v>
      </c>
      <c r="L57" s="2135">
        <v>0</v>
      </c>
      <c r="M57" s="2135">
        <f t="shared" si="11"/>
        <v>-5.1999999999999998E-3</v>
      </c>
      <c r="N57" s="2135">
        <f t="shared" si="11"/>
        <v>-1.04E-2</v>
      </c>
      <c r="AA57" s="2022"/>
      <c r="AB57" s="2022"/>
      <c r="AC57" s="2022"/>
      <c r="AD57" s="2022"/>
      <c r="AE57" s="2022"/>
      <c r="AF57" s="2022"/>
      <c r="AG57" s="2022"/>
      <c r="AH57" s="2022"/>
      <c r="AI57" s="2022"/>
      <c r="AJ57" s="2022"/>
      <c r="AK57" s="2022"/>
    </row>
    <row r="58" spans="1:37" s="1860" customFormat="1" ht="25.5">
      <c r="A58" s="2051" t="s">
        <v>1367</v>
      </c>
      <c r="B58" s="2052" t="str">
        <f>估价对象房地状况!C20</f>
        <v>区域自然环境：；人文环境；综合评价环境状况一般</v>
      </c>
      <c r="C58" s="1922" t="s">
        <v>1361</v>
      </c>
      <c r="D58" s="2041">
        <f t="shared" si="7"/>
        <v>0</v>
      </c>
      <c r="E58" s="2053"/>
      <c r="F58" s="2043"/>
      <c r="G58" s="2044">
        <f t="shared" si="12"/>
        <v>3.2000000000000002E-3</v>
      </c>
      <c r="H58" s="2045">
        <f t="shared" si="8"/>
        <v>3.2000000000000002E-3</v>
      </c>
      <c r="I58" s="2136">
        <v>0.05</v>
      </c>
      <c r="J58" s="2135">
        <f t="shared" si="9"/>
        <v>6.4000000000000003E-3</v>
      </c>
      <c r="K58" s="2135">
        <f t="shared" si="10"/>
        <v>3.2000000000000002E-3</v>
      </c>
      <c r="L58" s="2135">
        <v>0</v>
      </c>
      <c r="M58" s="2135">
        <f t="shared" si="11"/>
        <v>-3.2000000000000002E-3</v>
      </c>
      <c r="N58" s="2135">
        <f t="shared" si="11"/>
        <v>-6.4000000000000003E-3</v>
      </c>
      <c r="AA58" s="2022"/>
      <c r="AB58" s="2022"/>
      <c r="AC58" s="2022"/>
      <c r="AD58" s="2022"/>
      <c r="AE58" s="2022"/>
      <c r="AF58" s="2022"/>
      <c r="AG58" s="2022"/>
      <c r="AH58" s="2022"/>
      <c r="AI58" s="2022"/>
      <c r="AJ58" s="2022"/>
      <c r="AK58" s="2022"/>
    </row>
    <row r="59" spans="1:37" s="1860" customFormat="1" ht="15">
      <c r="A59" s="2030" t="s">
        <v>1368</v>
      </c>
      <c r="B59" s="2031">
        <f>1+E61</f>
        <v>1</v>
      </c>
      <c r="C59" s="2032"/>
      <c r="D59" s="2032"/>
      <c r="E59" s="2033"/>
      <c r="F59" s="2034"/>
      <c r="G59" s="2029"/>
      <c r="H59" s="2029"/>
      <c r="I59" s="2029"/>
      <c r="J59" s="500"/>
      <c r="K59" s="500"/>
      <c r="L59" s="500"/>
      <c r="M59" s="500"/>
      <c r="N59" s="500"/>
      <c r="AA59" s="2022"/>
      <c r="AB59" s="2022"/>
      <c r="AC59" s="2022"/>
      <c r="AD59" s="2022"/>
      <c r="AE59" s="2022"/>
      <c r="AF59" s="2022"/>
      <c r="AG59" s="2022"/>
      <c r="AH59" s="2022"/>
      <c r="AI59" s="2022"/>
      <c r="AJ59" s="2022"/>
      <c r="AK59" s="2022"/>
    </row>
    <row r="60" spans="1:37" s="1860" customFormat="1" ht="24.75">
      <c r="A60" s="2035" t="s">
        <v>1341</v>
      </c>
      <c r="B60" s="2036"/>
      <c r="C60" s="2036" t="s">
        <v>1343</v>
      </c>
      <c r="D60" s="2036" t="s">
        <v>1344</v>
      </c>
      <c r="E60" s="2037" t="s">
        <v>1345</v>
      </c>
      <c r="F60" s="2038" t="s">
        <v>1369</v>
      </c>
      <c r="G60" s="2036" t="s">
        <v>1260</v>
      </c>
      <c r="H60" s="2039" t="s">
        <v>1347</v>
      </c>
      <c r="I60" s="2036" t="s">
        <v>1348</v>
      </c>
      <c r="J60" s="857" t="s">
        <v>1349</v>
      </c>
      <c r="K60" s="857" t="s">
        <v>1350</v>
      </c>
      <c r="L60" s="857" t="s">
        <v>1351</v>
      </c>
      <c r="M60" s="857" t="s">
        <v>1352</v>
      </c>
      <c r="N60" s="857" t="s">
        <v>1353</v>
      </c>
      <c r="AA60" s="2022"/>
      <c r="AB60" s="2022"/>
      <c r="AC60" s="2022"/>
      <c r="AD60" s="2022"/>
      <c r="AE60" s="2022"/>
      <c r="AF60" s="2022"/>
      <c r="AG60" s="2022"/>
      <c r="AH60" s="2022"/>
      <c r="AI60" s="2022"/>
      <c r="AJ60" s="2022"/>
      <c r="AK60" s="2022"/>
    </row>
    <row r="61" spans="1:37" s="1860" customFormat="1" ht="38.25">
      <c r="A61" s="2035" t="s">
        <v>1370</v>
      </c>
      <c r="B61" s="2040" t="str">
        <f>估价对象房地状况!C17</f>
        <v>估价对象位于XX商圈，周边办公楼项目较多，入驻率高，办公集聚程度较好</v>
      </c>
      <c r="C61" s="1922"/>
      <c r="D61" s="2041">
        <f t="shared" ref="D61:D69" si="13">SUMIF($J$60:$N$60,C61,J61:N61)</f>
        <v>0</v>
      </c>
      <c r="E61" s="2042">
        <f>ROUND(SUM(D61:D69),4)</f>
        <v>0</v>
      </c>
      <c r="F61" s="2043" t="str">
        <f>IF(E2="办公",SUMIF(L1:L12,G2,N1:N12),"——")</f>
        <v>——</v>
      </c>
      <c r="G61" s="2044"/>
      <c r="H61" s="2045" t="str">
        <f t="shared" ref="H61:H69" si="14">IFERROR(ROUNDDOWN($F$61*I61/2,4),"——")</f>
        <v>——</v>
      </c>
      <c r="I61" s="2134">
        <v>0.25</v>
      </c>
      <c r="J61" s="2135">
        <f t="shared" ref="J61:J69" si="15">K61+$G61</f>
        <v>0</v>
      </c>
      <c r="K61" s="2135">
        <f t="shared" ref="K61:K69" si="16">$L61+$G61</f>
        <v>0</v>
      </c>
      <c r="L61" s="2135">
        <v>0</v>
      </c>
      <c r="M61" s="2135">
        <f t="shared" ref="M61:N69" si="17">L61-$G61</f>
        <v>0</v>
      </c>
      <c r="N61" s="2135">
        <f t="shared" si="17"/>
        <v>0</v>
      </c>
      <c r="AA61" s="2022"/>
      <c r="AB61" s="2022"/>
      <c r="AC61" s="2022"/>
      <c r="AD61" s="2022"/>
      <c r="AE61" s="2022"/>
      <c r="AF61" s="2022"/>
      <c r="AG61" s="2022"/>
      <c r="AH61" s="2022"/>
      <c r="AI61" s="2022"/>
      <c r="AJ61" s="2022"/>
      <c r="AK61" s="2022"/>
    </row>
    <row r="62" spans="1:37" s="1860" customFormat="1" ht="38.25">
      <c r="A62" s="2035" t="s">
        <v>1356</v>
      </c>
      <c r="B62" s="2036" t="str">
        <f>估价对象房地状况!C18</f>
        <v>估价对象周边道路状况、公共交通通达情况、停车便捷程度，综合评价交通便捷度较好</v>
      </c>
      <c r="C62" s="1922"/>
      <c r="D62" s="2041">
        <f t="shared" si="13"/>
        <v>0</v>
      </c>
      <c r="E62" s="2046"/>
      <c r="F62" s="2043"/>
      <c r="G62" s="2044"/>
      <c r="H62" s="2045" t="str">
        <f t="shared" si="14"/>
        <v>——</v>
      </c>
      <c r="I62" s="2134">
        <v>0.26</v>
      </c>
      <c r="J62" s="2135">
        <f t="shared" si="15"/>
        <v>0</v>
      </c>
      <c r="K62" s="2135">
        <f t="shared" si="16"/>
        <v>0</v>
      </c>
      <c r="L62" s="2135">
        <v>0</v>
      </c>
      <c r="M62" s="2135">
        <f t="shared" si="17"/>
        <v>0</v>
      </c>
      <c r="N62" s="2135">
        <f t="shared" si="17"/>
        <v>0</v>
      </c>
      <c r="AA62" s="2022"/>
      <c r="AB62" s="2022"/>
      <c r="AC62" s="2022"/>
      <c r="AD62" s="2022"/>
      <c r="AE62" s="2022"/>
      <c r="AF62" s="2022"/>
      <c r="AG62" s="2022"/>
      <c r="AH62" s="2022"/>
      <c r="AI62" s="2022"/>
      <c r="AJ62" s="2022"/>
      <c r="AK62" s="2022"/>
    </row>
    <row r="63" spans="1:37" s="1860" customFormat="1" ht="36">
      <c r="A63" s="2047" t="s">
        <v>1357</v>
      </c>
      <c r="B63" s="2036">
        <f>估价对象房地状况!C19</f>
        <v>0</v>
      </c>
      <c r="C63" s="1922"/>
      <c r="D63" s="2041">
        <f t="shared" si="13"/>
        <v>0</v>
      </c>
      <c r="E63" s="2046"/>
      <c r="F63" s="2043"/>
      <c r="G63" s="2044"/>
      <c r="H63" s="2045" t="str">
        <f t="shared" si="14"/>
        <v>——</v>
      </c>
      <c r="I63" s="2134">
        <v>0.11</v>
      </c>
      <c r="J63" s="2135">
        <f t="shared" si="15"/>
        <v>0</v>
      </c>
      <c r="K63" s="2135">
        <f t="shared" si="16"/>
        <v>0</v>
      </c>
      <c r="L63" s="2135">
        <v>0</v>
      </c>
      <c r="M63" s="2135">
        <f t="shared" si="17"/>
        <v>0</v>
      </c>
      <c r="N63" s="2135">
        <f t="shared" si="17"/>
        <v>0</v>
      </c>
      <c r="AA63" s="2022"/>
      <c r="AB63" s="2022"/>
      <c r="AC63" s="2022"/>
      <c r="AD63" s="2022"/>
      <c r="AE63" s="2022"/>
      <c r="AF63" s="2022"/>
      <c r="AG63" s="2022"/>
      <c r="AH63" s="2022"/>
      <c r="AI63" s="2022"/>
      <c r="AJ63" s="2022"/>
      <c r="AK63" s="2022"/>
    </row>
    <row r="64" spans="1:37" s="1860" customFormat="1" ht="36.75">
      <c r="A64" s="2035" t="s">
        <v>1358</v>
      </c>
      <c r="B64" s="2048" t="s">
        <v>1359</v>
      </c>
      <c r="C64" s="1922"/>
      <c r="D64" s="2041">
        <f t="shared" si="13"/>
        <v>0</v>
      </c>
      <c r="E64" s="2046"/>
      <c r="F64" s="2043"/>
      <c r="G64" s="2044"/>
      <c r="H64" s="2045" t="str">
        <f t="shared" si="14"/>
        <v>——</v>
      </c>
      <c r="I64" s="2134">
        <v>0.05</v>
      </c>
      <c r="J64" s="2135">
        <f t="shared" si="15"/>
        <v>0</v>
      </c>
      <c r="K64" s="2135">
        <f t="shared" si="16"/>
        <v>0</v>
      </c>
      <c r="L64" s="2135">
        <v>0</v>
      </c>
      <c r="M64" s="2135">
        <f t="shared" si="17"/>
        <v>0</v>
      </c>
      <c r="N64" s="2135">
        <f t="shared" si="17"/>
        <v>0</v>
      </c>
      <c r="AA64" s="2022"/>
      <c r="AB64" s="2022"/>
      <c r="AC64" s="2022"/>
      <c r="AD64" s="2022"/>
      <c r="AE64" s="2022"/>
      <c r="AF64" s="2022"/>
      <c r="AG64" s="2022"/>
      <c r="AH64" s="2022"/>
      <c r="AI64" s="2022"/>
      <c r="AJ64" s="2022"/>
      <c r="AK64" s="2022"/>
    </row>
    <row r="65" spans="1:37" s="1860" customFormat="1" ht="24">
      <c r="A65" s="2035" t="s">
        <v>1360</v>
      </c>
      <c r="B65" s="2036">
        <f>估价对象房地状况!C24</f>
        <v>0</v>
      </c>
      <c r="C65" s="1922"/>
      <c r="D65" s="2041">
        <f t="shared" si="13"/>
        <v>0</v>
      </c>
      <c r="E65" s="2046"/>
      <c r="F65" s="2043"/>
      <c r="G65" s="2044"/>
      <c r="H65" s="2045" t="str">
        <f t="shared" si="14"/>
        <v>——</v>
      </c>
      <c r="I65" s="2134">
        <v>0.05</v>
      </c>
      <c r="J65" s="2135">
        <f t="shared" si="15"/>
        <v>0</v>
      </c>
      <c r="K65" s="2135">
        <f t="shared" si="16"/>
        <v>0</v>
      </c>
      <c r="L65" s="2135">
        <v>0</v>
      </c>
      <c r="M65" s="2135">
        <f t="shared" si="17"/>
        <v>0</v>
      </c>
      <c r="N65" s="2135">
        <f t="shared" si="17"/>
        <v>0</v>
      </c>
      <c r="AA65" s="2022"/>
      <c r="AB65" s="2022"/>
      <c r="AC65" s="2022"/>
      <c r="AD65" s="2022"/>
      <c r="AE65" s="2022"/>
      <c r="AF65" s="2022"/>
      <c r="AG65" s="2022"/>
      <c r="AH65" s="2022"/>
      <c r="AI65" s="2022"/>
      <c r="AJ65" s="2022"/>
      <c r="AK65" s="2022"/>
    </row>
    <row r="66" spans="1:37" s="1860" customFormat="1" ht="24">
      <c r="A66" s="2035" t="s">
        <v>1362</v>
      </c>
      <c r="B66" s="2049" t="s">
        <v>1363</v>
      </c>
      <c r="C66" s="1922"/>
      <c r="D66" s="2041">
        <f t="shared" si="13"/>
        <v>0</v>
      </c>
      <c r="E66" s="2046"/>
      <c r="F66" s="2043"/>
      <c r="G66" s="2044"/>
      <c r="H66" s="2045" t="str">
        <f t="shared" si="14"/>
        <v>——</v>
      </c>
      <c r="I66" s="2134">
        <v>0.06</v>
      </c>
      <c r="J66" s="2135">
        <f t="shared" si="15"/>
        <v>0</v>
      </c>
      <c r="K66" s="2135">
        <f t="shared" si="16"/>
        <v>0</v>
      </c>
      <c r="L66" s="2135">
        <v>0</v>
      </c>
      <c r="M66" s="2135">
        <f t="shared" si="17"/>
        <v>0</v>
      </c>
      <c r="N66" s="2135">
        <f t="shared" si="17"/>
        <v>0</v>
      </c>
      <c r="AA66" s="2022"/>
      <c r="AB66" s="2022"/>
      <c r="AC66" s="2022"/>
      <c r="AD66" s="2022"/>
      <c r="AE66" s="2022"/>
      <c r="AF66" s="2022"/>
      <c r="AG66" s="2022"/>
      <c r="AH66" s="2022"/>
      <c r="AI66" s="2022"/>
      <c r="AJ66" s="2022"/>
      <c r="AK66" s="2022"/>
    </row>
    <row r="67" spans="1:37" s="1860" customFormat="1" ht="25.5">
      <c r="A67" s="2035" t="s">
        <v>1364</v>
      </c>
      <c r="B67" s="549" t="str">
        <f>估价对象房地状况!C21</f>
        <v>估价对象所在区域公共配套设施齐备情况</v>
      </c>
      <c r="C67" s="1922"/>
      <c r="D67" s="2041">
        <f t="shared" si="13"/>
        <v>0</v>
      </c>
      <c r="E67" s="2046"/>
      <c r="F67" s="2043"/>
      <c r="G67" s="2044"/>
      <c r="H67" s="2045" t="str">
        <f t="shared" si="14"/>
        <v>——</v>
      </c>
      <c r="I67" s="2134">
        <v>0.06</v>
      </c>
      <c r="J67" s="2135">
        <f t="shared" si="15"/>
        <v>0</v>
      </c>
      <c r="K67" s="2135">
        <f t="shared" si="16"/>
        <v>0</v>
      </c>
      <c r="L67" s="2135">
        <v>0</v>
      </c>
      <c r="M67" s="2135">
        <f t="shared" si="17"/>
        <v>0</v>
      </c>
      <c r="N67" s="2135">
        <f t="shared" si="17"/>
        <v>0</v>
      </c>
      <c r="AA67" s="2022"/>
      <c r="AB67" s="2022"/>
      <c r="AC67" s="2022"/>
      <c r="AD67" s="2022"/>
      <c r="AE67" s="2022"/>
      <c r="AF67" s="2022"/>
      <c r="AG67" s="2022"/>
      <c r="AH67" s="2022"/>
      <c r="AI67" s="2022"/>
      <c r="AJ67" s="2022"/>
      <c r="AK67" s="2022"/>
    </row>
    <row r="68" spans="1:37" s="1860" customFormat="1" ht="25.5">
      <c r="A68" s="2035" t="s">
        <v>1365</v>
      </c>
      <c r="B68" s="549" t="str">
        <f>估价对象房地状况!C22</f>
        <v>估价对象所在区域基础设施水平</v>
      </c>
      <c r="C68" s="1922"/>
      <c r="D68" s="2041">
        <f t="shared" si="13"/>
        <v>0</v>
      </c>
      <c r="E68" s="2046"/>
      <c r="F68" s="2043"/>
      <c r="G68" s="2044"/>
      <c r="H68" s="2045" t="str">
        <f t="shared" si="14"/>
        <v>——</v>
      </c>
      <c r="I68" s="2134">
        <v>0.09</v>
      </c>
      <c r="J68" s="2135">
        <f t="shared" si="15"/>
        <v>0</v>
      </c>
      <c r="K68" s="2135">
        <f t="shared" si="16"/>
        <v>0</v>
      </c>
      <c r="L68" s="2135">
        <v>0</v>
      </c>
      <c r="M68" s="2135">
        <f t="shared" si="17"/>
        <v>0</v>
      </c>
      <c r="N68" s="2135">
        <f t="shared" si="17"/>
        <v>0</v>
      </c>
      <c r="AA68" s="2022"/>
      <c r="AB68" s="2022"/>
      <c r="AC68" s="2022"/>
      <c r="AD68" s="2022"/>
      <c r="AE68" s="2022"/>
      <c r="AF68" s="2022"/>
      <c r="AG68" s="2022"/>
      <c r="AH68" s="2022"/>
      <c r="AI68" s="2022"/>
      <c r="AJ68" s="2022"/>
      <c r="AK68" s="2022"/>
    </row>
    <row r="69" spans="1:37" s="1860" customFormat="1" ht="25.5">
      <c r="A69" s="2051" t="s">
        <v>1367</v>
      </c>
      <c r="B69" s="2165" t="str">
        <f>估价对象房地状况!C20</f>
        <v>区域自然环境：；人文环境；综合评价环境状况一般</v>
      </c>
      <c r="C69" s="1922"/>
      <c r="D69" s="2041">
        <f t="shared" si="13"/>
        <v>0</v>
      </c>
      <c r="E69" s="2053"/>
      <c r="F69" s="2043"/>
      <c r="G69" s="2044"/>
      <c r="H69" s="2045" t="str">
        <f t="shared" si="14"/>
        <v>——</v>
      </c>
      <c r="I69" s="2136">
        <v>7.0000000000000007E-2</v>
      </c>
      <c r="J69" s="2135">
        <f t="shared" si="15"/>
        <v>0</v>
      </c>
      <c r="K69" s="2135">
        <f t="shared" si="16"/>
        <v>0</v>
      </c>
      <c r="L69" s="2135">
        <v>0</v>
      </c>
      <c r="M69" s="2135">
        <f t="shared" si="17"/>
        <v>0</v>
      </c>
      <c r="N69" s="2135">
        <f t="shared" si="17"/>
        <v>0</v>
      </c>
      <c r="AA69" s="2022"/>
      <c r="AB69" s="2022"/>
      <c r="AC69" s="2022"/>
      <c r="AD69" s="2022"/>
      <c r="AE69" s="2022"/>
      <c r="AF69" s="2022"/>
      <c r="AG69" s="2022"/>
      <c r="AH69" s="2022"/>
      <c r="AI69" s="2022"/>
      <c r="AJ69" s="2022"/>
      <c r="AK69" s="2022"/>
    </row>
    <row r="70" spans="1:37" s="1860" customFormat="1" ht="15">
      <c r="A70" s="2030" t="s">
        <v>1371</v>
      </c>
      <c r="B70" s="2031">
        <f>1+E72</f>
        <v>1</v>
      </c>
      <c r="C70" s="2032"/>
      <c r="D70" s="2032"/>
      <c r="E70" s="2033"/>
      <c r="F70" s="2034"/>
      <c r="G70" s="2029"/>
      <c r="H70" s="2029"/>
      <c r="I70" s="2029"/>
      <c r="J70" s="500"/>
      <c r="K70" s="500"/>
      <c r="L70" s="500"/>
      <c r="M70" s="500"/>
      <c r="N70" s="500"/>
      <c r="AA70" s="2022"/>
      <c r="AB70" s="2022"/>
      <c r="AC70" s="2022"/>
      <c r="AD70" s="2022"/>
      <c r="AE70" s="2022"/>
      <c r="AF70" s="2022"/>
      <c r="AG70" s="2022"/>
      <c r="AH70" s="2022"/>
      <c r="AI70" s="2022"/>
      <c r="AJ70" s="2022"/>
      <c r="AK70" s="2022"/>
    </row>
    <row r="71" spans="1:37" s="1860" customFormat="1" ht="24.75">
      <c r="A71" s="2035" t="s">
        <v>1341</v>
      </c>
      <c r="B71" s="2036"/>
      <c r="C71" s="2036" t="s">
        <v>1343</v>
      </c>
      <c r="D71" s="2036" t="s">
        <v>1344</v>
      </c>
      <c r="E71" s="2037" t="s">
        <v>1345</v>
      </c>
      <c r="F71" s="2038" t="s">
        <v>1369</v>
      </c>
      <c r="G71" s="2036" t="s">
        <v>1260</v>
      </c>
      <c r="H71" s="2039" t="s">
        <v>1347</v>
      </c>
      <c r="I71" s="2036" t="s">
        <v>1348</v>
      </c>
      <c r="J71" s="857" t="s">
        <v>1349</v>
      </c>
      <c r="K71" s="857" t="s">
        <v>1350</v>
      </c>
      <c r="L71" s="857" t="s">
        <v>1351</v>
      </c>
      <c r="M71" s="857" t="s">
        <v>1352</v>
      </c>
      <c r="N71" s="857" t="s">
        <v>1353</v>
      </c>
      <c r="AA71" s="2022"/>
      <c r="AB71" s="2022"/>
      <c r="AC71" s="2022"/>
      <c r="AD71" s="2022"/>
      <c r="AE71" s="2022"/>
      <c r="AF71" s="2022"/>
      <c r="AG71" s="2022"/>
      <c r="AH71" s="2022"/>
      <c r="AI71" s="2022"/>
      <c r="AJ71" s="2022"/>
      <c r="AK71" s="2022"/>
    </row>
    <row r="72" spans="1:37" s="1860" customFormat="1" ht="51">
      <c r="A72" s="2035" t="s">
        <v>1372</v>
      </c>
      <c r="B72" s="2040" t="str">
        <f>估价对象房地状况!C15</f>
        <v>估价对象周边居住用地比例、居住小区规模和社区发展完善程度，综合评价居住社区成熟度一般</v>
      </c>
      <c r="C72" s="1922"/>
      <c r="D72" s="2041">
        <f t="shared" ref="D72:D80" si="18">SUMIF($J$71:$N$71,C72,J72:N72)</f>
        <v>0</v>
      </c>
      <c r="E72" s="2042">
        <f>ROUND(SUM(D72:D80),4)</f>
        <v>0</v>
      </c>
      <c r="F72" s="2043" t="str">
        <f>IF(E2="住宅",SUMIF(L1:L12,G2,N1:N12),"——")</f>
        <v>——</v>
      </c>
      <c r="G72" s="2044"/>
      <c r="H72" s="2045" t="str">
        <f t="shared" ref="H72:H80" si="19">IFERROR(ROUNDDOWN($F$72*I72/2,4),"——")</f>
        <v>——</v>
      </c>
      <c r="I72" s="2134">
        <v>0.2</v>
      </c>
      <c r="J72" s="2135">
        <f t="shared" ref="J72:J80" si="20">K72+$G72</f>
        <v>0</v>
      </c>
      <c r="K72" s="2135">
        <f t="shared" ref="K72:K80" si="21">$L72+$G72</f>
        <v>0</v>
      </c>
      <c r="L72" s="2135">
        <v>0</v>
      </c>
      <c r="M72" s="2135">
        <f t="shared" ref="M72:N80" si="22">L72-$G72</f>
        <v>0</v>
      </c>
      <c r="N72" s="2135">
        <f t="shared" si="22"/>
        <v>0</v>
      </c>
      <c r="AA72" s="2022"/>
      <c r="AB72" s="2022"/>
      <c r="AC72" s="2022"/>
      <c r="AD72" s="2022"/>
      <c r="AE72" s="2022"/>
      <c r="AF72" s="2022"/>
      <c r="AG72" s="2022"/>
      <c r="AH72" s="2022"/>
      <c r="AI72" s="2022"/>
      <c r="AJ72" s="2022"/>
      <c r="AK72" s="2022"/>
    </row>
    <row r="73" spans="1:37" s="1860" customFormat="1" ht="38.25">
      <c r="A73" s="2035" t="s">
        <v>1356</v>
      </c>
      <c r="B73" s="2036" t="str">
        <f>估价对象房地状况!C18</f>
        <v>估价对象周边道路状况、公共交通通达情况、停车便捷程度，综合评价交通便捷度较好</v>
      </c>
      <c r="C73" s="1922"/>
      <c r="D73" s="2041">
        <f t="shared" si="18"/>
        <v>0</v>
      </c>
      <c r="E73" s="2166"/>
      <c r="F73" s="2043"/>
      <c r="G73" s="2044"/>
      <c r="H73" s="2045" t="str">
        <f t="shared" si="19"/>
        <v>——</v>
      </c>
      <c r="I73" s="2134">
        <v>0.26</v>
      </c>
      <c r="J73" s="2135">
        <f t="shared" si="20"/>
        <v>0</v>
      </c>
      <c r="K73" s="2135">
        <f t="shared" si="21"/>
        <v>0</v>
      </c>
      <c r="L73" s="2135">
        <v>0</v>
      </c>
      <c r="M73" s="2135">
        <f t="shared" si="22"/>
        <v>0</v>
      </c>
      <c r="N73" s="2135">
        <f t="shared" si="22"/>
        <v>0</v>
      </c>
      <c r="AA73" s="2022"/>
      <c r="AB73" s="2022"/>
      <c r="AC73" s="2022"/>
      <c r="AD73" s="2022"/>
      <c r="AE73" s="2022"/>
      <c r="AF73" s="2022"/>
      <c r="AG73" s="2022"/>
      <c r="AH73" s="2022"/>
      <c r="AI73" s="2022"/>
      <c r="AJ73" s="2022"/>
      <c r="AK73" s="2022"/>
    </row>
    <row r="74" spans="1:37" s="1861" customFormat="1" ht="36">
      <c r="A74" s="2047" t="s">
        <v>1357</v>
      </c>
      <c r="B74" s="2036">
        <f>估价对象房地状况!C19</f>
        <v>0</v>
      </c>
      <c r="C74" s="1922"/>
      <c r="D74" s="2041">
        <f t="shared" si="18"/>
        <v>0</v>
      </c>
      <c r="E74" s="2166"/>
      <c r="F74" s="2043"/>
      <c r="G74" s="2044"/>
      <c r="H74" s="2045" t="str">
        <f t="shared" si="19"/>
        <v>——</v>
      </c>
      <c r="I74" s="2134">
        <v>0.1</v>
      </c>
      <c r="J74" s="2135">
        <f t="shared" si="20"/>
        <v>0</v>
      </c>
      <c r="K74" s="2135">
        <f t="shared" si="21"/>
        <v>0</v>
      </c>
      <c r="L74" s="2135">
        <v>0</v>
      </c>
      <c r="M74" s="2135">
        <f t="shared" si="22"/>
        <v>0</v>
      </c>
      <c r="N74" s="2135">
        <f t="shared" si="22"/>
        <v>0</v>
      </c>
      <c r="O74" s="1860"/>
      <c r="P74" s="1860"/>
      <c r="Q74" s="1860"/>
      <c r="AA74" s="2162"/>
      <c r="AB74" s="2022"/>
      <c r="AC74" s="2022"/>
      <c r="AD74" s="2022"/>
      <c r="AE74" s="2022"/>
      <c r="AF74" s="2022"/>
      <c r="AG74" s="2022"/>
      <c r="AH74" s="2162"/>
      <c r="AI74" s="2162"/>
      <c r="AJ74" s="2162"/>
      <c r="AK74" s="2162"/>
    </row>
    <row r="75" spans="1:37" ht="14.25">
      <c r="A75" s="2035" t="s">
        <v>1373</v>
      </c>
      <c r="B75" s="2036">
        <f>估价对象房地状况!C24</f>
        <v>0</v>
      </c>
      <c r="C75" s="1922"/>
      <c r="D75" s="2041">
        <f t="shared" si="18"/>
        <v>0</v>
      </c>
      <c r="E75" s="2166"/>
      <c r="F75" s="2043"/>
      <c r="G75" s="2044"/>
      <c r="H75" s="2045" t="str">
        <f t="shared" si="19"/>
        <v>——</v>
      </c>
      <c r="I75" s="2134">
        <v>0.05</v>
      </c>
      <c r="J75" s="2135">
        <f t="shared" si="20"/>
        <v>0</v>
      </c>
      <c r="K75" s="2135">
        <f t="shared" si="21"/>
        <v>0</v>
      </c>
      <c r="L75" s="2135">
        <v>0</v>
      </c>
      <c r="M75" s="2135">
        <f t="shared" si="22"/>
        <v>0</v>
      </c>
      <c r="N75" s="2135">
        <f t="shared" si="22"/>
        <v>0</v>
      </c>
      <c r="O75" s="1860"/>
      <c r="P75" s="1860"/>
      <c r="Q75" s="1861"/>
      <c r="Z75" s="1864"/>
      <c r="AA75" s="1862"/>
      <c r="AG75" s="1866"/>
      <c r="AK75" s="1862"/>
    </row>
    <row r="76" spans="1:37" ht="25.5">
      <c r="A76" s="2035" t="s">
        <v>1364</v>
      </c>
      <c r="B76" s="549" t="str">
        <f>估价对象房地状况!C21</f>
        <v>估价对象所在区域公共配套设施齐备情况</v>
      </c>
      <c r="C76" s="1922"/>
      <c r="D76" s="2041">
        <f t="shared" si="18"/>
        <v>0</v>
      </c>
      <c r="E76" s="2166"/>
      <c r="F76" s="2043"/>
      <c r="G76" s="2044"/>
      <c r="H76" s="2045" t="str">
        <f t="shared" si="19"/>
        <v>——</v>
      </c>
      <c r="I76" s="2134">
        <v>0.08</v>
      </c>
      <c r="J76" s="2135">
        <f t="shared" si="20"/>
        <v>0</v>
      </c>
      <c r="K76" s="2135">
        <f t="shared" si="21"/>
        <v>0</v>
      </c>
      <c r="L76" s="2135">
        <v>0</v>
      </c>
      <c r="M76" s="2135">
        <f t="shared" si="22"/>
        <v>0</v>
      </c>
      <c r="N76" s="2135">
        <f t="shared" si="22"/>
        <v>0</v>
      </c>
      <c r="O76" s="1860"/>
      <c r="P76" s="1860"/>
      <c r="Z76" s="1864"/>
      <c r="AA76" s="1862"/>
      <c r="AG76" s="1866"/>
      <c r="AK76" s="1862"/>
    </row>
    <row r="77" spans="1:37" ht="25.5">
      <c r="A77" s="2035" t="s">
        <v>1365</v>
      </c>
      <c r="B77" s="549" t="str">
        <f>估价对象房地状况!C22</f>
        <v>估价对象所在区域基础设施水平</v>
      </c>
      <c r="C77" s="1922"/>
      <c r="D77" s="2041">
        <f t="shared" si="18"/>
        <v>0</v>
      </c>
      <c r="E77" s="2166"/>
      <c r="F77" s="2043"/>
      <c r="G77" s="2044"/>
      <c r="H77" s="2045" t="str">
        <f t="shared" si="19"/>
        <v>——</v>
      </c>
      <c r="I77" s="2134">
        <v>0.09</v>
      </c>
      <c r="J77" s="2135">
        <f t="shared" si="20"/>
        <v>0</v>
      </c>
      <c r="K77" s="2135">
        <f t="shared" si="21"/>
        <v>0</v>
      </c>
      <c r="L77" s="2135">
        <v>0</v>
      </c>
      <c r="M77" s="2135">
        <f t="shared" si="22"/>
        <v>0</v>
      </c>
      <c r="N77" s="2135">
        <f t="shared" si="22"/>
        <v>0</v>
      </c>
      <c r="O77" s="1860"/>
      <c r="P77" s="1860"/>
      <c r="Z77" s="1864"/>
      <c r="AA77" s="1862"/>
      <c r="AG77" s="1866"/>
      <c r="AK77" s="1862"/>
    </row>
    <row r="78" spans="1:37" ht="24">
      <c r="A78" s="2035" t="s">
        <v>1362</v>
      </c>
      <c r="B78" s="2049" t="s">
        <v>1363</v>
      </c>
      <c r="C78" s="1922"/>
      <c r="D78" s="2041">
        <f t="shared" si="18"/>
        <v>0</v>
      </c>
      <c r="E78" s="2166"/>
      <c r="F78" s="2043"/>
      <c r="G78" s="2044"/>
      <c r="H78" s="2045" t="str">
        <f t="shared" si="19"/>
        <v>——</v>
      </c>
      <c r="I78" s="2134">
        <v>0.05</v>
      </c>
      <c r="J78" s="2135">
        <f t="shared" si="20"/>
        <v>0</v>
      </c>
      <c r="K78" s="2135">
        <f t="shared" si="21"/>
        <v>0</v>
      </c>
      <c r="L78" s="2135">
        <v>0</v>
      </c>
      <c r="M78" s="2135">
        <f t="shared" si="22"/>
        <v>0</v>
      </c>
      <c r="N78" s="2135">
        <f t="shared" si="22"/>
        <v>0</v>
      </c>
      <c r="O78" s="1861"/>
      <c r="P78" s="1861"/>
      <c r="Z78" s="1864"/>
      <c r="AA78" s="1862"/>
      <c r="AG78" s="1866"/>
      <c r="AK78" s="1862"/>
    </row>
    <row r="79" spans="1:37" ht="25.5">
      <c r="A79" s="2035" t="s">
        <v>1367</v>
      </c>
      <c r="B79" s="2040" t="str">
        <f>估价对象房地状况!C20</f>
        <v>区域自然环境：；人文环境；综合评价环境状况一般</v>
      </c>
      <c r="C79" s="1922"/>
      <c r="D79" s="2041">
        <f t="shared" si="18"/>
        <v>0</v>
      </c>
      <c r="E79" s="2166"/>
      <c r="F79" s="2043"/>
      <c r="G79" s="2044"/>
      <c r="H79" s="2045" t="str">
        <f t="shared" si="19"/>
        <v>——</v>
      </c>
      <c r="I79" s="2134">
        <v>0.12</v>
      </c>
      <c r="J79" s="2135">
        <f t="shared" si="20"/>
        <v>0</v>
      </c>
      <c r="K79" s="2135">
        <f t="shared" si="21"/>
        <v>0</v>
      </c>
      <c r="L79" s="2135">
        <v>0</v>
      </c>
      <c r="M79" s="2135">
        <f t="shared" si="22"/>
        <v>0</v>
      </c>
      <c r="N79" s="2135">
        <f t="shared" si="22"/>
        <v>0</v>
      </c>
      <c r="Z79" s="1864"/>
      <c r="AA79" s="1862"/>
      <c r="AG79" s="1866"/>
      <c r="AK79" s="1862"/>
    </row>
    <row r="80" spans="1:37" ht="24">
      <c r="A80" s="2051" t="s">
        <v>1374</v>
      </c>
      <c r="B80" s="2167"/>
      <c r="C80" s="1922"/>
      <c r="D80" s="2041">
        <f t="shared" si="18"/>
        <v>0</v>
      </c>
      <c r="E80" s="2168"/>
      <c r="F80" s="2043"/>
      <c r="G80" s="2044"/>
      <c r="H80" s="2045" t="str">
        <f t="shared" si="19"/>
        <v>——</v>
      </c>
      <c r="I80" s="2136">
        <v>0.05</v>
      </c>
      <c r="J80" s="2135">
        <f t="shared" si="20"/>
        <v>0</v>
      </c>
      <c r="K80" s="2135">
        <f t="shared" si="21"/>
        <v>0</v>
      </c>
      <c r="L80" s="2135">
        <v>0</v>
      </c>
      <c r="M80" s="2135">
        <f t="shared" si="22"/>
        <v>0</v>
      </c>
      <c r="N80" s="2135">
        <f t="shared" si="22"/>
        <v>0</v>
      </c>
      <c r="Z80" s="1864"/>
      <c r="AA80" s="1862"/>
      <c r="AG80" s="1866"/>
      <c r="AK80" s="1862"/>
    </row>
    <row r="81" spans="1:37" ht="15">
      <c r="A81" s="2030" t="s">
        <v>1375</v>
      </c>
      <c r="B81" s="2031">
        <f>1+E83</f>
        <v>1</v>
      </c>
      <c r="C81" s="2032"/>
      <c r="D81" s="2032"/>
      <c r="E81" s="2033"/>
      <c r="F81" s="2034"/>
      <c r="G81" s="2029"/>
      <c r="H81" s="2029"/>
      <c r="I81" s="2029"/>
      <c r="J81" s="500"/>
      <c r="K81" s="500"/>
      <c r="L81" s="500"/>
      <c r="M81" s="500"/>
      <c r="N81" s="500"/>
      <c r="Z81" s="1864"/>
      <c r="AA81" s="1862"/>
      <c r="AG81" s="1866"/>
      <c r="AK81" s="1862"/>
    </row>
    <row r="82" spans="1:37" ht="24.75">
      <c r="A82" s="2035" t="s">
        <v>1341</v>
      </c>
      <c r="B82" s="2036"/>
      <c r="C82" s="2036" t="s">
        <v>1343</v>
      </c>
      <c r="D82" s="2036" t="s">
        <v>1344</v>
      </c>
      <c r="E82" s="2037" t="s">
        <v>1345</v>
      </c>
      <c r="F82" s="2038" t="s">
        <v>1369</v>
      </c>
      <c r="G82" s="2036" t="s">
        <v>1260</v>
      </c>
      <c r="H82" s="2039" t="s">
        <v>1347</v>
      </c>
      <c r="I82" s="2036" t="s">
        <v>1348</v>
      </c>
      <c r="J82" s="857" t="s">
        <v>1349</v>
      </c>
      <c r="K82" s="857" t="s">
        <v>1350</v>
      </c>
      <c r="L82" s="857" t="s">
        <v>1351</v>
      </c>
      <c r="M82" s="857" t="s">
        <v>1352</v>
      </c>
      <c r="N82" s="857" t="s">
        <v>1353</v>
      </c>
      <c r="Z82" s="1864"/>
      <c r="AA82" s="1862"/>
      <c r="AG82" s="1866"/>
      <c r="AK82" s="1862"/>
    </row>
    <row r="83" spans="1:37" ht="38.25">
      <c r="A83" s="2035" t="s">
        <v>1376</v>
      </c>
      <c r="B83" s="2036" t="str">
        <f>估价对象房地状况!G15</f>
        <v>估价对象位于XX开发区，园区建设成熟度XX，产业集聚程度XX</v>
      </c>
      <c r="C83" s="1922"/>
      <c r="D83" s="2041">
        <f t="shared" ref="D83:D90" si="23">SUMIF($J$82:$N$82,C83,J83:N83)</f>
        <v>0</v>
      </c>
      <c r="E83" s="2042">
        <f>ROUND(SUM(D83:D90),4)</f>
        <v>0</v>
      </c>
      <c r="F83" s="2043" t="str">
        <f>IF(E2="工业",SUMIF(L1:L12,G2,N1:N12),"——")</f>
        <v>——</v>
      </c>
      <c r="G83" s="2044"/>
      <c r="H83" s="2045" t="str">
        <f t="shared" ref="H83:H90" si="24">IFERROR(ROUNDDOWN($F$83*I83/2,4),"——")</f>
        <v>——</v>
      </c>
      <c r="I83" s="2134">
        <v>0.26</v>
      </c>
      <c r="J83" s="2135">
        <f t="shared" ref="J83:J90" si="25">K83+$G83</f>
        <v>0</v>
      </c>
      <c r="K83" s="2135">
        <f t="shared" ref="K83:K90" si="26">$L83+$G83</f>
        <v>0</v>
      </c>
      <c r="L83" s="2135">
        <v>0</v>
      </c>
      <c r="M83" s="2135">
        <f t="shared" ref="M83:N90" si="27">L83-$G83</f>
        <v>0</v>
      </c>
      <c r="N83" s="2135">
        <f t="shared" si="27"/>
        <v>0</v>
      </c>
      <c r="Z83" s="1864"/>
      <c r="AA83" s="1862"/>
      <c r="AG83" s="1866"/>
      <c r="AK83" s="1862"/>
    </row>
    <row r="84" spans="1:37" ht="38.25">
      <c r="A84" s="2035" t="s">
        <v>1356</v>
      </c>
      <c r="B84" s="2036" t="str">
        <f>估价对象房地状况!G16</f>
        <v>估价对象周边道路状况、公共交通通达情况、停车便捷程度，综合评价交通便捷度较好</v>
      </c>
      <c r="C84" s="1922"/>
      <c r="D84" s="2041">
        <f t="shared" si="23"/>
        <v>0</v>
      </c>
      <c r="E84" s="2166"/>
      <c r="F84" s="2043"/>
      <c r="G84" s="2044"/>
      <c r="H84" s="2045" t="str">
        <f t="shared" si="24"/>
        <v>——</v>
      </c>
      <c r="I84" s="2134">
        <v>0.3</v>
      </c>
      <c r="J84" s="2135">
        <f t="shared" si="25"/>
        <v>0</v>
      </c>
      <c r="K84" s="2135">
        <f t="shared" si="26"/>
        <v>0</v>
      </c>
      <c r="L84" s="2135">
        <v>0</v>
      </c>
      <c r="M84" s="2135">
        <f t="shared" si="27"/>
        <v>0</v>
      </c>
      <c r="N84" s="2135">
        <f t="shared" si="27"/>
        <v>0</v>
      </c>
      <c r="Z84" s="1864"/>
      <c r="AA84" s="1862"/>
      <c r="AG84" s="1866"/>
      <c r="AK84" s="1862"/>
    </row>
    <row r="85" spans="1:37" ht="36">
      <c r="A85" s="2047" t="s">
        <v>1357</v>
      </c>
      <c r="B85" s="2036">
        <f>估价对象房地状况!G17</f>
        <v>0</v>
      </c>
      <c r="C85" s="1922"/>
      <c r="D85" s="2041">
        <f t="shared" si="23"/>
        <v>0</v>
      </c>
      <c r="E85" s="2166"/>
      <c r="F85" s="2043"/>
      <c r="G85" s="2044"/>
      <c r="H85" s="2045" t="str">
        <f t="shared" si="24"/>
        <v>——</v>
      </c>
      <c r="I85" s="2134">
        <v>0.1</v>
      </c>
      <c r="J85" s="2135">
        <f t="shared" si="25"/>
        <v>0</v>
      </c>
      <c r="K85" s="2135">
        <f t="shared" si="26"/>
        <v>0</v>
      </c>
      <c r="L85" s="2135">
        <v>0</v>
      </c>
      <c r="M85" s="2135">
        <f t="shared" si="27"/>
        <v>0</v>
      </c>
      <c r="N85" s="2135">
        <f t="shared" si="27"/>
        <v>0</v>
      </c>
      <c r="Z85" s="1864"/>
      <c r="AA85" s="1862"/>
      <c r="AG85" s="1866"/>
      <c r="AK85" s="1862"/>
    </row>
    <row r="86" spans="1:37" ht="14.25">
      <c r="A86" s="2035" t="s">
        <v>1373</v>
      </c>
      <c r="B86" s="2036">
        <f>估价对象房地状况!G22</f>
        <v>0</v>
      </c>
      <c r="C86" s="1922"/>
      <c r="D86" s="2041">
        <f t="shared" si="23"/>
        <v>0</v>
      </c>
      <c r="E86" s="2166"/>
      <c r="F86" s="2043"/>
      <c r="G86" s="2044"/>
      <c r="H86" s="2045" t="str">
        <f t="shared" si="24"/>
        <v>——</v>
      </c>
      <c r="I86" s="2134">
        <v>0.05</v>
      </c>
      <c r="J86" s="2135">
        <f t="shared" si="25"/>
        <v>0</v>
      </c>
      <c r="K86" s="2135">
        <f t="shared" si="26"/>
        <v>0</v>
      </c>
      <c r="L86" s="2135">
        <v>0</v>
      </c>
      <c r="M86" s="2135">
        <f t="shared" si="27"/>
        <v>0</v>
      </c>
      <c r="N86" s="2135">
        <f t="shared" si="27"/>
        <v>0</v>
      </c>
      <c r="Z86" s="1864"/>
      <c r="AA86" s="1862"/>
      <c r="AG86" s="1866"/>
      <c r="AK86" s="1862"/>
    </row>
    <row r="87" spans="1:37" ht="25.5">
      <c r="A87" s="2035" t="s">
        <v>1364</v>
      </c>
      <c r="B87" s="549" t="str">
        <f>估价对象房地状况!G19</f>
        <v>估价对象所在区域公共配套设施齐备情况</v>
      </c>
      <c r="C87" s="1922"/>
      <c r="D87" s="2041">
        <f t="shared" si="23"/>
        <v>0</v>
      </c>
      <c r="E87" s="2166"/>
      <c r="F87" s="2043"/>
      <c r="G87" s="2044"/>
      <c r="H87" s="2045" t="str">
        <f t="shared" si="24"/>
        <v>——</v>
      </c>
      <c r="I87" s="2134">
        <v>0.06</v>
      </c>
      <c r="J87" s="2135">
        <f t="shared" si="25"/>
        <v>0</v>
      </c>
      <c r="K87" s="2135">
        <f t="shared" si="26"/>
        <v>0</v>
      </c>
      <c r="L87" s="2135">
        <v>0</v>
      </c>
      <c r="M87" s="2135">
        <f t="shared" si="27"/>
        <v>0</v>
      </c>
      <c r="N87" s="2135">
        <f t="shared" si="27"/>
        <v>0</v>
      </c>
    </row>
    <row r="88" spans="1:37" ht="25.5">
      <c r="A88" s="2035" t="s">
        <v>1365</v>
      </c>
      <c r="B88" s="549" t="str">
        <f>估价对象房地状况!G20</f>
        <v>估价对象所在区域基础设施水平</v>
      </c>
      <c r="C88" s="1922"/>
      <c r="D88" s="2041">
        <f t="shared" si="23"/>
        <v>0</v>
      </c>
      <c r="E88" s="2166"/>
      <c r="F88" s="2043"/>
      <c r="G88" s="2044"/>
      <c r="H88" s="2045" t="str">
        <f t="shared" si="24"/>
        <v>——</v>
      </c>
      <c r="I88" s="2134">
        <v>0.12</v>
      </c>
      <c r="J88" s="2135">
        <f t="shared" si="25"/>
        <v>0</v>
      </c>
      <c r="K88" s="2135">
        <f t="shared" si="26"/>
        <v>0</v>
      </c>
      <c r="L88" s="2135">
        <v>0</v>
      </c>
      <c r="M88" s="2135">
        <f t="shared" si="27"/>
        <v>0</v>
      </c>
      <c r="N88" s="2135">
        <f t="shared" si="27"/>
        <v>0</v>
      </c>
    </row>
    <row r="89" spans="1:37" ht="24">
      <c r="A89" s="2035" t="s">
        <v>1362</v>
      </c>
      <c r="B89" s="2049" t="s">
        <v>1377</v>
      </c>
      <c r="C89" s="1922"/>
      <c r="D89" s="2041">
        <f t="shared" si="23"/>
        <v>0</v>
      </c>
      <c r="E89" s="2166"/>
      <c r="F89" s="2043"/>
      <c r="G89" s="2044"/>
      <c r="H89" s="2045" t="str">
        <f t="shared" si="24"/>
        <v>——</v>
      </c>
      <c r="I89" s="2134">
        <v>0.06</v>
      </c>
      <c r="J89" s="2135">
        <f t="shared" si="25"/>
        <v>0</v>
      </c>
      <c r="K89" s="2135">
        <f t="shared" si="26"/>
        <v>0</v>
      </c>
      <c r="L89" s="2135">
        <v>0</v>
      </c>
      <c r="M89" s="2135">
        <f t="shared" si="27"/>
        <v>0</v>
      </c>
      <c r="N89" s="2135">
        <f t="shared" si="27"/>
        <v>0</v>
      </c>
    </row>
    <row r="90" spans="1:37" ht="38.25">
      <c r="A90" s="2051" t="s">
        <v>1378</v>
      </c>
      <c r="B90" s="2169" t="str">
        <f>估价对象房地状况!G18</f>
        <v>该园区内是否有污染型企业，绿化情况，卫生条件，整体环境状况判断</v>
      </c>
      <c r="C90" s="1922"/>
      <c r="D90" s="2041">
        <f t="shared" si="23"/>
        <v>0</v>
      </c>
      <c r="E90" s="2168"/>
      <c r="F90" s="2043"/>
      <c r="G90" s="2044"/>
      <c r="H90" s="2045" t="str">
        <f t="shared" si="24"/>
        <v>——</v>
      </c>
      <c r="I90" s="2136">
        <v>0.05</v>
      </c>
      <c r="J90" s="2135">
        <f t="shared" si="25"/>
        <v>0</v>
      </c>
      <c r="K90" s="2135">
        <f t="shared" si="26"/>
        <v>0</v>
      </c>
      <c r="L90" s="2135">
        <v>0</v>
      </c>
      <c r="M90" s="2135">
        <f t="shared" si="27"/>
        <v>0</v>
      </c>
      <c r="N90" s="2135">
        <f t="shared" si="27"/>
        <v>0</v>
      </c>
    </row>
    <row r="91" spans="1:37" ht="15">
      <c r="A91" s="2170" t="s">
        <v>280</v>
      </c>
      <c r="B91" s="2171">
        <f>1+E93</f>
        <v>1</v>
      </c>
      <c r="C91" s="2172"/>
      <c r="D91" s="2173"/>
      <c r="E91" s="2043"/>
      <c r="F91" s="2043"/>
      <c r="G91" s="2174"/>
      <c r="H91" s="2175"/>
      <c r="I91" s="2207"/>
      <c r="J91" s="2208"/>
      <c r="K91" s="2208"/>
      <c r="L91" s="2208"/>
      <c r="M91" s="2208"/>
      <c r="N91" s="2208"/>
    </row>
    <row r="92" spans="1:37" ht="24.75">
      <c r="A92" s="2176" t="s">
        <v>1341</v>
      </c>
      <c r="B92" s="1934"/>
      <c r="C92" s="1934" t="s">
        <v>1343</v>
      </c>
      <c r="D92" s="1934" t="s">
        <v>1344</v>
      </c>
      <c r="E92" s="2147" t="s">
        <v>1345</v>
      </c>
      <c r="F92" s="2177" t="s">
        <v>1369</v>
      </c>
      <c r="G92" s="1934" t="s">
        <v>1260</v>
      </c>
      <c r="H92" s="2178" t="s">
        <v>1347</v>
      </c>
      <c r="I92" s="1934" t="s">
        <v>1348</v>
      </c>
      <c r="J92" s="2209" t="s">
        <v>1349</v>
      </c>
      <c r="K92" s="2209" t="s">
        <v>1350</v>
      </c>
      <c r="L92" s="2209" t="s">
        <v>1351</v>
      </c>
      <c r="M92" s="2209" t="s">
        <v>1352</v>
      </c>
      <c r="N92" s="2209" t="s">
        <v>1353</v>
      </c>
    </row>
    <row r="93" spans="1:37" ht="24">
      <c r="A93" s="2047" t="s">
        <v>1379</v>
      </c>
      <c r="B93" s="581"/>
      <c r="C93" s="1922"/>
      <c r="D93" s="1934">
        <f>SUMIF($J$92:$N$92,C93,J93:N93)</f>
        <v>0</v>
      </c>
      <c r="E93" s="2179">
        <f>ROUND(SUM(D93:D101),4)</f>
        <v>0</v>
      </c>
      <c r="F93" s="2043" t="str">
        <f>IF(E2="公共服务",SUMIF(L1:L12,G2,N1:N12),"——")</f>
        <v>——</v>
      </c>
      <c r="G93" s="2174"/>
      <c r="H93" s="2180" t="str">
        <f>IFERROR(ROUNDDOWN($F$93*I93/2,4),"——")</f>
        <v>——</v>
      </c>
      <c r="I93" s="2134">
        <v>0.25</v>
      </c>
      <c r="J93" s="1976">
        <f t="shared" ref="J93:J101" si="28">K93+$G93</f>
        <v>0</v>
      </c>
      <c r="K93" s="1976">
        <f t="shared" ref="K93:K101" si="29">$L93+$G93</f>
        <v>0</v>
      </c>
      <c r="L93" s="1976">
        <v>0</v>
      </c>
      <c r="M93" s="1976">
        <f t="shared" ref="M93:N101" si="30">L93-$G93</f>
        <v>0</v>
      </c>
      <c r="N93" s="1976">
        <f t="shared" si="30"/>
        <v>0</v>
      </c>
    </row>
    <row r="94" spans="1:37" ht="38.25">
      <c r="A94" s="2176" t="s">
        <v>1356</v>
      </c>
      <c r="B94" s="2181" t="str">
        <f>估价对象房地状况!C18</f>
        <v>估价对象周边道路状况、公共交通通达情况、停车便捷程度，综合评价交通便捷度较好</v>
      </c>
      <c r="C94" s="1922"/>
      <c r="D94" s="1934">
        <f t="shared" ref="D94:D101" si="31">SUMIF($J$60:$N$60,C94,J94:N94)</f>
        <v>0</v>
      </c>
      <c r="E94" s="2182"/>
      <c r="F94" s="2043"/>
      <c r="G94" s="2174"/>
      <c r="H94" s="2180" t="str">
        <f>IFERROR(ROUNDDOWN($F$93*I94/2,4),"——")</f>
        <v>——</v>
      </c>
      <c r="I94" s="2134">
        <v>0.26</v>
      </c>
      <c r="J94" s="1976">
        <f t="shared" si="28"/>
        <v>0</v>
      </c>
      <c r="K94" s="1976">
        <f t="shared" si="29"/>
        <v>0</v>
      </c>
      <c r="L94" s="1976">
        <v>0</v>
      </c>
      <c r="M94" s="1976">
        <f t="shared" si="30"/>
        <v>0</v>
      </c>
      <c r="N94" s="1976">
        <f t="shared" si="30"/>
        <v>0</v>
      </c>
    </row>
    <row r="95" spans="1:37" ht="36">
      <c r="A95" s="2047" t="s">
        <v>1357</v>
      </c>
      <c r="B95" s="2181">
        <f>估价对象房地状况!C19</f>
        <v>0</v>
      </c>
      <c r="C95" s="1922"/>
      <c r="D95" s="1934">
        <f t="shared" si="31"/>
        <v>0</v>
      </c>
      <c r="E95" s="2182"/>
      <c r="F95" s="2043"/>
      <c r="G95" s="2174"/>
      <c r="H95" s="2180" t="str">
        <f t="shared" ref="H95:H101" si="32">IFERROR(ROUNDDOWN($F$93*I95/2,4),"——")</f>
        <v>——</v>
      </c>
      <c r="I95" s="2134">
        <v>0.11</v>
      </c>
      <c r="J95" s="1976">
        <f t="shared" si="28"/>
        <v>0</v>
      </c>
      <c r="K95" s="1976">
        <f t="shared" si="29"/>
        <v>0</v>
      </c>
      <c r="L95" s="1976">
        <v>0</v>
      </c>
      <c r="M95" s="1976">
        <f t="shared" si="30"/>
        <v>0</v>
      </c>
      <c r="N95" s="1976">
        <f t="shared" si="30"/>
        <v>0</v>
      </c>
    </row>
    <row r="96" spans="1:37" ht="36.75">
      <c r="A96" s="2176" t="s">
        <v>1358</v>
      </c>
      <c r="B96" s="2183" t="s">
        <v>1359</v>
      </c>
      <c r="C96" s="1922"/>
      <c r="D96" s="1934">
        <f t="shared" si="31"/>
        <v>0</v>
      </c>
      <c r="E96" s="2182"/>
      <c r="F96" s="2043"/>
      <c r="G96" s="2174"/>
      <c r="H96" s="2180" t="str">
        <f t="shared" si="32"/>
        <v>——</v>
      </c>
      <c r="I96" s="2134">
        <v>0.05</v>
      </c>
      <c r="J96" s="1976">
        <f t="shared" si="28"/>
        <v>0</v>
      </c>
      <c r="K96" s="1976">
        <f t="shared" si="29"/>
        <v>0</v>
      </c>
      <c r="L96" s="1976">
        <v>0</v>
      </c>
      <c r="M96" s="1976">
        <f t="shared" si="30"/>
        <v>0</v>
      </c>
      <c r="N96" s="1976">
        <f t="shared" si="30"/>
        <v>0</v>
      </c>
    </row>
    <row r="97" spans="1:14" ht="24">
      <c r="A97" s="2176" t="s">
        <v>1360</v>
      </c>
      <c r="B97" s="2181">
        <f>估价对象房地状况!C24</f>
        <v>0</v>
      </c>
      <c r="C97" s="1922"/>
      <c r="D97" s="1934">
        <f t="shared" si="31"/>
        <v>0</v>
      </c>
      <c r="E97" s="2182"/>
      <c r="F97" s="2043"/>
      <c r="G97" s="2174"/>
      <c r="H97" s="2180" t="str">
        <f t="shared" si="32"/>
        <v>——</v>
      </c>
      <c r="I97" s="2134">
        <v>0.05</v>
      </c>
      <c r="J97" s="1976">
        <f t="shared" si="28"/>
        <v>0</v>
      </c>
      <c r="K97" s="1976">
        <f t="shared" si="29"/>
        <v>0</v>
      </c>
      <c r="L97" s="1976">
        <v>0</v>
      </c>
      <c r="M97" s="1976">
        <f t="shared" si="30"/>
        <v>0</v>
      </c>
      <c r="N97" s="1976">
        <f t="shared" si="30"/>
        <v>0</v>
      </c>
    </row>
    <row r="98" spans="1:14" ht="24">
      <c r="A98" s="2176" t="s">
        <v>1362</v>
      </c>
      <c r="B98" s="2184" t="s">
        <v>1363</v>
      </c>
      <c r="C98" s="1922"/>
      <c r="D98" s="1934">
        <f t="shared" si="31"/>
        <v>0</v>
      </c>
      <c r="E98" s="2182"/>
      <c r="F98" s="2043"/>
      <c r="G98" s="2174"/>
      <c r="H98" s="2180" t="str">
        <f t="shared" si="32"/>
        <v>——</v>
      </c>
      <c r="I98" s="2134">
        <v>0.06</v>
      </c>
      <c r="J98" s="1976">
        <f t="shared" si="28"/>
        <v>0</v>
      </c>
      <c r="K98" s="1976">
        <f t="shared" si="29"/>
        <v>0</v>
      </c>
      <c r="L98" s="1976">
        <v>0</v>
      </c>
      <c r="M98" s="1976">
        <f t="shared" si="30"/>
        <v>0</v>
      </c>
      <c r="N98" s="1976">
        <f t="shared" si="30"/>
        <v>0</v>
      </c>
    </row>
    <row r="99" spans="1:14" ht="25.5">
      <c r="A99" s="2176" t="s">
        <v>1364</v>
      </c>
      <c r="B99" s="2181" t="str">
        <f>估价对象房地状况!C21</f>
        <v>估价对象所在区域公共配套设施齐备情况</v>
      </c>
      <c r="C99" s="1922"/>
      <c r="D99" s="1934">
        <f t="shared" si="31"/>
        <v>0</v>
      </c>
      <c r="E99" s="2182"/>
      <c r="F99" s="2043"/>
      <c r="G99" s="2174"/>
      <c r="H99" s="2180" t="str">
        <f t="shared" si="32"/>
        <v>——</v>
      </c>
      <c r="I99" s="2134">
        <v>0.06</v>
      </c>
      <c r="J99" s="1976">
        <f t="shared" si="28"/>
        <v>0</v>
      </c>
      <c r="K99" s="1976">
        <f t="shared" si="29"/>
        <v>0</v>
      </c>
      <c r="L99" s="1976">
        <v>0</v>
      </c>
      <c r="M99" s="1976">
        <f t="shared" si="30"/>
        <v>0</v>
      </c>
      <c r="N99" s="1976">
        <f t="shared" si="30"/>
        <v>0</v>
      </c>
    </row>
    <row r="100" spans="1:14" ht="25.5">
      <c r="A100" s="2176" t="s">
        <v>1365</v>
      </c>
      <c r="B100" s="2181" t="str">
        <f>估价对象房地状况!C22</f>
        <v>估价对象所在区域基础设施水平</v>
      </c>
      <c r="C100" s="1922"/>
      <c r="D100" s="1934">
        <f t="shared" si="31"/>
        <v>0</v>
      </c>
      <c r="E100" s="2182"/>
      <c r="F100" s="2043"/>
      <c r="G100" s="2174"/>
      <c r="H100" s="2180" t="str">
        <f t="shared" si="32"/>
        <v>——</v>
      </c>
      <c r="I100" s="2134">
        <v>0.09</v>
      </c>
      <c r="J100" s="1976">
        <f t="shared" si="28"/>
        <v>0</v>
      </c>
      <c r="K100" s="1976">
        <f t="shared" si="29"/>
        <v>0</v>
      </c>
      <c r="L100" s="1976">
        <v>0</v>
      </c>
      <c r="M100" s="1976">
        <f t="shared" si="30"/>
        <v>0</v>
      </c>
      <c r="N100" s="1976">
        <f t="shared" si="30"/>
        <v>0</v>
      </c>
    </row>
    <row r="101" spans="1:14" ht="25.5">
      <c r="A101" s="2185" t="s">
        <v>1367</v>
      </c>
      <c r="B101" s="2186" t="str">
        <f>估价对象房地状况!C20</f>
        <v>区域自然环境：；人文环境；综合评价环境状况一般</v>
      </c>
      <c r="C101" s="1922"/>
      <c r="D101" s="1934">
        <f t="shared" si="31"/>
        <v>0</v>
      </c>
      <c r="E101" s="2187"/>
      <c r="F101" s="2043"/>
      <c r="G101" s="2174"/>
      <c r="H101" s="2180" t="str">
        <f t="shared" si="32"/>
        <v>——</v>
      </c>
      <c r="I101" s="2136">
        <v>7.0000000000000007E-2</v>
      </c>
      <c r="J101" s="1976">
        <f t="shared" si="28"/>
        <v>0</v>
      </c>
      <c r="K101" s="1976">
        <f t="shared" si="29"/>
        <v>0</v>
      </c>
      <c r="L101" s="1976">
        <v>0</v>
      </c>
      <c r="M101" s="1976">
        <f t="shared" si="30"/>
        <v>0</v>
      </c>
      <c r="N101" s="1976">
        <f t="shared" si="30"/>
        <v>0</v>
      </c>
    </row>
    <row r="103" spans="1:14">
      <c r="A103" s="3482" t="s">
        <v>1380</v>
      </c>
      <c r="B103" s="3482"/>
      <c r="C103" s="3482"/>
      <c r="D103" s="3482"/>
      <c r="E103" s="3482"/>
      <c r="F103" s="3482"/>
      <c r="G103" s="3482"/>
      <c r="H103" s="3482"/>
      <c r="I103" s="3482"/>
      <c r="J103" s="3482"/>
      <c r="K103" s="2188"/>
      <c r="L103" s="2188"/>
      <c r="M103" s="2188"/>
      <c r="N103" s="2188"/>
    </row>
    <row r="104" spans="1:14">
      <c r="A104" s="3488" t="s">
        <v>1381</v>
      </c>
      <c r="B104" s="3488" t="s">
        <v>1382</v>
      </c>
      <c r="C104" s="2190" t="s">
        <v>1383</v>
      </c>
      <c r="D104" s="2191"/>
      <c r="E104" s="2191"/>
      <c r="F104" s="2191"/>
      <c r="G104" s="2191"/>
      <c r="H104" s="2191"/>
      <c r="I104" s="2191"/>
      <c r="J104" s="2210"/>
      <c r="K104" s="2211"/>
      <c r="L104" s="2211"/>
      <c r="M104" s="2211"/>
      <c r="N104" s="2211"/>
    </row>
    <row r="105" spans="1:14">
      <c r="A105" s="3488"/>
      <c r="B105" s="3488"/>
      <c r="C105" s="2189" t="s">
        <v>1221</v>
      </c>
      <c r="D105" s="2189" t="s">
        <v>1222</v>
      </c>
      <c r="E105" s="2189" t="s">
        <v>1223</v>
      </c>
      <c r="F105" s="2189" t="s">
        <v>1224</v>
      </c>
      <c r="G105" s="2189" t="s">
        <v>1225</v>
      </c>
      <c r="H105" s="2189" t="s">
        <v>1226</v>
      </c>
      <c r="I105" s="2189" t="s">
        <v>1227</v>
      </c>
      <c r="J105" s="2189" t="s">
        <v>1228</v>
      </c>
      <c r="K105" s="2189" t="s">
        <v>1229</v>
      </c>
      <c r="L105" s="2189" t="s">
        <v>1230</v>
      </c>
      <c r="M105" s="2189" t="s">
        <v>1231</v>
      </c>
      <c r="N105" s="2189" t="s">
        <v>1232</v>
      </c>
    </row>
    <row r="106" spans="1:14">
      <c r="A106" s="3489" t="s">
        <v>1384</v>
      </c>
      <c r="B106" s="2189">
        <v>1</v>
      </c>
      <c r="C106" s="2189">
        <v>1.5206</v>
      </c>
      <c r="D106" s="2189">
        <v>1.5206</v>
      </c>
      <c r="E106" s="2189">
        <v>1.5019</v>
      </c>
      <c r="F106" s="2189">
        <v>1.5019</v>
      </c>
      <c r="G106" s="2189">
        <v>1.5019</v>
      </c>
      <c r="H106" s="2189">
        <v>1.5019</v>
      </c>
      <c r="I106" s="2189">
        <v>1.5019</v>
      </c>
      <c r="J106" s="2189">
        <v>1.5418000000000001</v>
      </c>
      <c r="K106" s="2189">
        <v>1.5418000000000001</v>
      </c>
      <c r="L106" s="2189">
        <v>1.5418000000000001</v>
      </c>
      <c r="M106" s="2189">
        <v>1.5418000000000001</v>
      </c>
      <c r="N106" s="2189">
        <v>1.5418000000000001</v>
      </c>
    </row>
    <row r="107" spans="1:14">
      <c r="A107" s="3490"/>
      <c r="B107" s="2189">
        <v>2</v>
      </c>
      <c r="C107" s="2189">
        <v>1.2072000000000001</v>
      </c>
      <c r="D107" s="2189">
        <v>1.2072000000000001</v>
      </c>
      <c r="E107" s="2189">
        <v>1.1838</v>
      </c>
      <c r="F107" s="2189">
        <v>1.1838</v>
      </c>
      <c r="G107" s="2189">
        <v>1.1838</v>
      </c>
      <c r="H107" s="2189">
        <v>1.1838</v>
      </c>
      <c r="I107" s="2189">
        <v>1.1838</v>
      </c>
      <c r="J107" s="2189">
        <v>1.1883999999999999</v>
      </c>
      <c r="K107" s="2189">
        <v>1.1883999999999999</v>
      </c>
      <c r="L107" s="2189">
        <v>1.1883999999999999</v>
      </c>
      <c r="M107" s="2189">
        <v>1.1883999999999999</v>
      </c>
      <c r="N107" s="2189">
        <v>1.1883999999999999</v>
      </c>
    </row>
    <row r="108" spans="1:14">
      <c r="A108" s="3490"/>
      <c r="B108" s="2189">
        <v>3</v>
      </c>
      <c r="C108" s="2189">
        <v>1.0430999999999999</v>
      </c>
      <c r="D108" s="2189">
        <v>1.0430999999999999</v>
      </c>
      <c r="E108" s="2189">
        <v>1.0004999999999999</v>
      </c>
      <c r="F108" s="2189">
        <v>1.0004999999999999</v>
      </c>
      <c r="G108" s="2189">
        <v>1.0004999999999999</v>
      </c>
      <c r="H108" s="2189">
        <v>1.0004999999999999</v>
      </c>
      <c r="I108" s="2189">
        <v>1.0004999999999999</v>
      </c>
      <c r="J108" s="2189">
        <v>0.96940000000000004</v>
      </c>
      <c r="K108" s="2189">
        <v>0.96940000000000004</v>
      </c>
      <c r="L108" s="2189">
        <v>0.96940000000000004</v>
      </c>
      <c r="M108" s="2189">
        <v>0.96940000000000004</v>
      </c>
      <c r="N108" s="2189">
        <v>0.96940000000000004</v>
      </c>
    </row>
    <row r="109" spans="1:14">
      <c r="A109" s="3490"/>
      <c r="B109" s="2189">
        <v>4</v>
      </c>
      <c r="C109" s="2189">
        <v>0.94389999999999996</v>
      </c>
      <c r="D109" s="2189">
        <v>0.94389999999999996</v>
      </c>
      <c r="E109" s="2189">
        <v>0.88239999999999996</v>
      </c>
      <c r="F109" s="2189">
        <v>0.88239999999999996</v>
      </c>
      <c r="G109" s="2189">
        <v>0.88239999999999996</v>
      </c>
      <c r="H109" s="2189">
        <v>0.88239999999999996</v>
      </c>
      <c r="I109" s="2189">
        <v>0.88239999999999996</v>
      </c>
      <c r="J109" s="2189">
        <v>0.82299999999999995</v>
      </c>
      <c r="K109" s="2189">
        <v>0.82299999999999995</v>
      </c>
      <c r="L109" s="2189">
        <v>0.82299999999999995</v>
      </c>
      <c r="M109" s="2189">
        <v>0.82299999999999995</v>
      </c>
      <c r="N109" s="2189">
        <v>0.82299999999999995</v>
      </c>
    </row>
    <row r="110" spans="1:14">
      <c r="A110" s="3490"/>
      <c r="B110" s="2189">
        <v>5</v>
      </c>
      <c r="C110" s="2189">
        <v>0.89959999999999996</v>
      </c>
      <c r="D110" s="2189">
        <v>0.89959999999999996</v>
      </c>
      <c r="E110" s="2189">
        <v>0.84799999999999998</v>
      </c>
      <c r="F110" s="2189">
        <v>0.84799999999999998</v>
      </c>
      <c r="G110" s="2189">
        <v>0.84799999999999998</v>
      </c>
      <c r="H110" s="2189">
        <v>0.84799999999999998</v>
      </c>
      <c r="I110" s="2189">
        <v>0.84799999999999998</v>
      </c>
      <c r="J110" s="2189">
        <v>0.74980000000000002</v>
      </c>
      <c r="K110" s="2189">
        <v>0.74980000000000002</v>
      </c>
      <c r="L110" s="2189">
        <v>0.74980000000000002</v>
      </c>
      <c r="M110" s="2189">
        <v>0.74980000000000002</v>
      </c>
      <c r="N110" s="2189">
        <v>0.74980000000000002</v>
      </c>
    </row>
    <row r="111" spans="1:14">
      <c r="A111" s="3490"/>
      <c r="B111" s="2189" t="s">
        <v>1237</v>
      </c>
      <c r="C111" s="2192">
        <f>$I$3</f>
        <v>0</v>
      </c>
      <c r="D111" s="2192">
        <f t="shared" ref="D111:N111" si="33">$I$3</f>
        <v>0</v>
      </c>
      <c r="E111" s="2192">
        <f t="shared" si="33"/>
        <v>0</v>
      </c>
      <c r="F111" s="2192">
        <f t="shared" si="33"/>
        <v>0</v>
      </c>
      <c r="G111" s="2192">
        <f t="shared" si="33"/>
        <v>0</v>
      </c>
      <c r="H111" s="2192">
        <f t="shared" si="33"/>
        <v>0</v>
      </c>
      <c r="I111" s="2192">
        <f t="shared" si="33"/>
        <v>0</v>
      </c>
      <c r="J111" s="2192">
        <f t="shared" si="33"/>
        <v>0</v>
      </c>
      <c r="K111" s="2192">
        <f t="shared" si="33"/>
        <v>0</v>
      </c>
      <c r="L111" s="2192">
        <f t="shared" si="33"/>
        <v>0</v>
      </c>
      <c r="M111" s="2192">
        <f t="shared" si="33"/>
        <v>0</v>
      </c>
      <c r="N111" s="2192">
        <f t="shared" si="33"/>
        <v>0</v>
      </c>
    </row>
    <row r="112" spans="1:14">
      <c r="A112" s="3491"/>
      <c r="B112" s="2189">
        <v>6</v>
      </c>
      <c r="C112" s="2178">
        <f>(-0.5556*(C111^2)-0.2719*C111+8944)*(10^(-4))</f>
        <v>0.89440000000000008</v>
      </c>
      <c r="D112" s="2178">
        <f>(-0.5556*(D111^2)-0.2719*D111+8944)*(10^(-4))</f>
        <v>0.89440000000000008</v>
      </c>
      <c r="E112" s="2178">
        <f>(-0.7912*(E111^2)-11.3794*E111+8482)*(10^(-4))</f>
        <v>0.84820000000000007</v>
      </c>
      <c r="F112" s="2178">
        <f t="shared" ref="F112:I112" si="34">(-0.7912*(F111^2)-11.3794*F111+8482)*(10^(-4))</f>
        <v>0.84820000000000007</v>
      </c>
      <c r="G112" s="2178">
        <f t="shared" si="34"/>
        <v>0.84820000000000007</v>
      </c>
      <c r="H112" s="2178">
        <f t="shared" si="34"/>
        <v>0.84820000000000007</v>
      </c>
      <c r="I112" s="2178">
        <f t="shared" si="34"/>
        <v>0.84820000000000007</v>
      </c>
      <c r="J112" s="2178">
        <f>(-0.989*(J111^2)-63.78*J111+7771)*(10^(-4))</f>
        <v>0.77710000000000001</v>
      </c>
      <c r="K112" s="2178">
        <f t="shared" ref="K112:N112" si="35">(-0.989*(K111^2)-63.78*K111+7771)*(10^(-4))</f>
        <v>0.77710000000000001</v>
      </c>
      <c r="L112" s="2178">
        <f t="shared" si="35"/>
        <v>0.77710000000000001</v>
      </c>
      <c r="M112" s="2178">
        <f t="shared" si="35"/>
        <v>0.77710000000000001</v>
      </c>
      <c r="N112" s="2178">
        <f t="shared" si="35"/>
        <v>0.77710000000000001</v>
      </c>
    </row>
    <row r="113" spans="1:14">
      <c r="A113" s="3483" t="s">
        <v>1385</v>
      </c>
      <c r="B113" s="3483"/>
      <c r="C113" s="3483"/>
      <c r="D113" s="3483"/>
      <c r="E113" s="3483"/>
      <c r="F113" s="3483"/>
      <c r="G113" s="3483"/>
      <c r="H113" s="3483"/>
      <c r="I113" s="3483"/>
      <c r="J113" s="3483"/>
      <c r="K113" s="2193"/>
      <c r="L113" s="2193"/>
      <c r="M113" s="2193"/>
      <c r="N113" s="2193"/>
    </row>
    <row r="114" spans="1:14">
      <c r="A114" s="2194"/>
      <c r="B114" s="2194"/>
      <c r="C114" s="2194"/>
      <c r="D114" s="2194"/>
      <c r="E114" s="2194"/>
      <c r="F114" s="2194"/>
      <c r="G114" s="2194"/>
      <c r="H114" s="2194"/>
      <c r="I114" s="2194"/>
      <c r="J114" s="2194"/>
      <c r="K114" s="2026"/>
      <c r="L114" s="2194"/>
      <c r="M114" s="2194"/>
      <c r="N114" s="2194"/>
    </row>
    <row r="115" spans="1:14">
      <c r="A115" s="2194"/>
      <c r="B115" s="2194"/>
      <c r="C115" s="2194"/>
      <c r="D115" s="2194"/>
      <c r="E115" s="2194"/>
      <c r="F115" s="2194"/>
      <c r="G115" s="2194"/>
      <c r="H115" s="2194"/>
      <c r="I115" s="2194"/>
      <c r="J115" s="2194"/>
      <c r="K115" s="2026"/>
      <c r="L115" s="2194"/>
      <c r="M115" s="2194"/>
      <c r="N115" s="2194"/>
    </row>
    <row r="116" spans="1:14" ht="24.75">
      <c r="A116" s="2195" t="s">
        <v>1386</v>
      </c>
      <c r="B116" s="2196">
        <f>G3</f>
        <v>1.69</v>
      </c>
      <c r="C116" s="2197" t="s">
        <v>1387</v>
      </c>
      <c r="D116" s="2198">
        <f>SUMPRODUCT((A118:A122=F116)*(B117:M117=H116)*B118:M122)</f>
        <v>0.92530000000000001</v>
      </c>
      <c r="E116" s="1869" t="s">
        <v>1194</v>
      </c>
      <c r="F116" s="2199" t="str">
        <f>E2</f>
        <v>商业</v>
      </c>
      <c r="G116" s="1869" t="s">
        <v>1195</v>
      </c>
      <c r="H116" s="2199" t="str">
        <f>G2</f>
        <v>六级</v>
      </c>
      <c r="I116" s="1869"/>
      <c r="J116" s="2212"/>
      <c r="K116" s="2212"/>
      <c r="L116" s="2212"/>
      <c r="M116" s="2212"/>
      <c r="N116" s="2194"/>
    </row>
    <row r="117" spans="1:14">
      <c r="A117" s="2200"/>
      <c r="B117" s="2201" t="s">
        <v>1388</v>
      </c>
      <c r="C117" s="2201" t="s">
        <v>1389</v>
      </c>
      <c r="D117" s="2201" t="s">
        <v>1390</v>
      </c>
      <c r="E117" s="2202" t="s">
        <v>1391</v>
      </c>
      <c r="F117" s="2202" t="s">
        <v>1392</v>
      </c>
      <c r="G117" s="2202" t="s">
        <v>1393</v>
      </c>
      <c r="H117" s="2203" t="s">
        <v>1394</v>
      </c>
      <c r="I117" s="2203" t="s">
        <v>1395</v>
      </c>
      <c r="J117" s="2213" t="s">
        <v>1396</v>
      </c>
      <c r="K117" s="2213" t="s">
        <v>1397</v>
      </c>
      <c r="L117" s="2213" t="s">
        <v>1398</v>
      </c>
      <c r="M117" s="2214" t="s">
        <v>1399</v>
      </c>
      <c r="N117" s="2194"/>
    </row>
    <row r="118" spans="1:14">
      <c r="A118" s="2114" t="s">
        <v>1310</v>
      </c>
      <c r="B118" s="2178">
        <f>ROUND(0.9968-0.011*B116,4)</f>
        <v>0.97819999999999996</v>
      </c>
      <c r="C118" s="2178">
        <f>B118</f>
        <v>0.97819999999999996</v>
      </c>
      <c r="D118" s="2178">
        <f>ROUND(0.949-0.014*B116,4)</f>
        <v>0.92530000000000001</v>
      </c>
      <c r="E118" s="2178">
        <f>D118</f>
        <v>0.92530000000000001</v>
      </c>
      <c r="F118" s="2178">
        <f>E118</f>
        <v>0.92530000000000001</v>
      </c>
      <c r="G118" s="2178">
        <f>F118</f>
        <v>0.92530000000000001</v>
      </c>
      <c r="H118" s="2178">
        <f>G118</f>
        <v>0.92530000000000001</v>
      </c>
      <c r="I118" s="2178">
        <f>ROUND(0.8486-0.018*B116,4)</f>
        <v>0.81820000000000004</v>
      </c>
      <c r="J118" s="2178">
        <f t="shared" ref="J118:M122" si="36">I118</f>
        <v>0.81820000000000004</v>
      </c>
      <c r="K118" s="2178">
        <f t="shared" si="36"/>
        <v>0.81820000000000004</v>
      </c>
      <c r="L118" s="2178">
        <f t="shared" si="36"/>
        <v>0.81820000000000004</v>
      </c>
      <c r="M118" s="2215">
        <f t="shared" si="36"/>
        <v>0.81820000000000004</v>
      </c>
      <c r="N118" s="2194"/>
    </row>
    <row r="119" spans="1:14">
      <c r="A119" s="2114" t="s">
        <v>1311</v>
      </c>
      <c r="B119" s="2178">
        <f>ROUND(0.993-0.0112*B116,4)</f>
        <v>0.97409999999999997</v>
      </c>
      <c r="C119" s="2178">
        <f>B119</f>
        <v>0.97409999999999997</v>
      </c>
      <c r="D119" s="2178">
        <f>ROUND(0.9415-0.0142*B116,4)</f>
        <v>0.91749999999999998</v>
      </c>
      <c r="E119" s="2178">
        <f t="shared" ref="E119:H120" si="37">D119</f>
        <v>0.91749999999999998</v>
      </c>
      <c r="F119" s="2178">
        <f t="shared" si="37"/>
        <v>0.91749999999999998</v>
      </c>
      <c r="G119" s="2178">
        <f t="shared" si="37"/>
        <v>0.91749999999999998</v>
      </c>
      <c r="H119" s="2178">
        <f t="shared" si="37"/>
        <v>0.91749999999999998</v>
      </c>
      <c r="I119" s="2178">
        <f>ROUND(0.838-0.0182*B116,4)</f>
        <v>0.80720000000000003</v>
      </c>
      <c r="J119" s="2178">
        <f t="shared" si="36"/>
        <v>0.80720000000000003</v>
      </c>
      <c r="K119" s="2178">
        <f t="shared" si="36"/>
        <v>0.80720000000000003</v>
      </c>
      <c r="L119" s="2178">
        <f t="shared" si="36"/>
        <v>0.80720000000000003</v>
      </c>
      <c r="M119" s="2215">
        <f t="shared" si="36"/>
        <v>0.80720000000000003</v>
      </c>
      <c r="N119" s="2194"/>
    </row>
    <row r="120" spans="1:14">
      <c r="A120" s="2114" t="s">
        <v>1312</v>
      </c>
      <c r="B120" s="2178">
        <f>ROUND(0.9448-0.0115*B116,4)</f>
        <v>0.9254</v>
      </c>
      <c r="C120" s="2178">
        <f>B120</f>
        <v>0.9254</v>
      </c>
      <c r="D120" s="2178">
        <f>ROUND(0.937-0.0145*B116,4)</f>
        <v>0.91249999999999998</v>
      </c>
      <c r="E120" s="2178">
        <f t="shared" si="37"/>
        <v>0.91249999999999998</v>
      </c>
      <c r="F120" s="2178">
        <f t="shared" si="37"/>
        <v>0.91249999999999998</v>
      </c>
      <c r="G120" s="2178">
        <f t="shared" si="37"/>
        <v>0.91249999999999998</v>
      </c>
      <c r="H120" s="2178">
        <f t="shared" si="37"/>
        <v>0.91249999999999998</v>
      </c>
      <c r="I120" s="2178">
        <f>ROUND(0.7965-0.0185*B116,4)</f>
        <v>0.76519999999999999</v>
      </c>
      <c r="J120" s="2178">
        <f t="shared" si="36"/>
        <v>0.76519999999999999</v>
      </c>
      <c r="K120" s="2178">
        <f t="shared" si="36"/>
        <v>0.76519999999999999</v>
      </c>
      <c r="L120" s="2178">
        <f t="shared" si="36"/>
        <v>0.76519999999999999</v>
      </c>
      <c r="M120" s="2215">
        <f t="shared" si="36"/>
        <v>0.76519999999999999</v>
      </c>
      <c r="N120" s="2194"/>
    </row>
    <row r="121" spans="1:14">
      <c r="A121" s="2204" t="s">
        <v>1313</v>
      </c>
      <c r="B121" s="2205">
        <f>ROUND(0.7836-0.012*B116,4)</f>
        <v>0.76329999999999998</v>
      </c>
      <c r="C121" s="2205">
        <f>B121</f>
        <v>0.76329999999999998</v>
      </c>
      <c r="D121" s="2205">
        <f>ROUND(0.753-0.015*B116,4)</f>
        <v>0.72770000000000001</v>
      </c>
      <c r="E121" s="2205">
        <f>D121</f>
        <v>0.72770000000000001</v>
      </c>
      <c r="F121" s="2205">
        <f>E121</f>
        <v>0.72770000000000001</v>
      </c>
      <c r="G121" s="2205">
        <f>ROUND(0.6612-0.018*B116,4)</f>
        <v>0.63080000000000003</v>
      </c>
      <c r="H121" s="2205">
        <f>G121</f>
        <v>0.63080000000000003</v>
      </c>
      <c r="I121" s="2205">
        <f>ROUND(0.5905-0.019*B116,4)</f>
        <v>0.55840000000000001</v>
      </c>
      <c r="J121" s="2205">
        <f t="shared" si="36"/>
        <v>0.55840000000000001</v>
      </c>
      <c r="K121" s="2205">
        <f t="shared" si="36"/>
        <v>0.55840000000000001</v>
      </c>
      <c r="L121" s="2205">
        <f t="shared" si="36"/>
        <v>0.55840000000000001</v>
      </c>
      <c r="M121" s="2216">
        <f t="shared" si="36"/>
        <v>0.55840000000000001</v>
      </c>
      <c r="N121" s="2194"/>
    </row>
    <row r="122" spans="1:14">
      <c r="A122" s="2206" t="s">
        <v>280</v>
      </c>
      <c r="B122" s="2178">
        <f>ROUND(0.9404-0.0106*B116,4)</f>
        <v>0.92249999999999999</v>
      </c>
      <c r="C122" s="2178">
        <f>B122</f>
        <v>0.92249999999999999</v>
      </c>
      <c r="D122" s="2178">
        <f>ROUND(0.8955-0.0135*B116,4)</f>
        <v>0.87270000000000003</v>
      </c>
      <c r="E122" s="2178">
        <f t="shared" ref="E122:H122" si="38">D122</f>
        <v>0.87270000000000003</v>
      </c>
      <c r="F122" s="2178">
        <f t="shared" si="38"/>
        <v>0.87270000000000003</v>
      </c>
      <c r="G122" s="2178">
        <f t="shared" si="38"/>
        <v>0.87270000000000003</v>
      </c>
      <c r="H122" s="2178">
        <f t="shared" si="38"/>
        <v>0.87270000000000003</v>
      </c>
      <c r="I122" s="2178">
        <f>ROUND(0.7632-0.0166*B116,4)</f>
        <v>0.73509999999999998</v>
      </c>
      <c r="J122" s="2178">
        <f t="shared" si="36"/>
        <v>0.73509999999999998</v>
      </c>
      <c r="K122" s="2178">
        <f t="shared" si="36"/>
        <v>0.73509999999999998</v>
      </c>
      <c r="L122" s="2178">
        <f t="shared" si="36"/>
        <v>0.73509999999999998</v>
      </c>
      <c r="M122" s="2215">
        <f t="shared" si="36"/>
        <v>0.73509999999999998</v>
      </c>
      <c r="N122" s="219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22" zoomScale="90" zoomScaleNormal="70" zoomScaleSheetLayoutView="90" workbookViewId="0">
      <selection activeCell="J50" sqref="J50"/>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1400</v>
      </c>
      <c r="B1" s="864"/>
      <c r="C1" s="1468" t="s">
        <v>615</v>
      </c>
      <c r="D1" s="1469" t="s">
        <v>124</v>
      </c>
      <c r="E1" s="1470" t="s">
        <v>1401</v>
      </c>
      <c r="F1" s="1471">
        <f ca="1">J53</f>
        <v>24.33</v>
      </c>
      <c r="G1" s="1472">
        <f>MATCH(C1,'数据-取费表'!A6:A16,0)+5</f>
        <v>6</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1402</v>
      </c>
      <c r="B2" s="1851">
        <f ca="1">C40+J29+L46</f>
        <v>1013677</v>
      </c>
      <c r="C2" s="1475" t="s">
        <v>1403</v>
      </c>
      <c r="D2" s="1475"/>
      <c r="E2" s="1477"/>
      <c r="F2" s="1478"/>
      <c r="G2" s="1479"/>
      <c r="H2" s="1480"/>
      <c r="I2" s="1480"/>
      <c r="J2" s="1480"/>
      <c r="K2" s="1635"/>
      <c r="L2" s="1480"/>
      <c r="M2" s="1480"/>
    </row>
    <row r="3" spans="1:37" ht="18" customHeight="1">
      <c r="A3" s="1481" t="s">
        <v>1404</v>
      </c>
      <c r="B3" s="1482">
        <f ca="1">IF(ISERROR(B2*10000/F43),0,ROUND(B2*10000/F43,0))</f>
        <v>17249</v>
      </c>
      <c r="C3" s="1475" t="s">
        <v>1405</v>
      </c>
      <c r="D3" s="1475"/>
      <c r="E3" s="1477"/>
      <c r="F3" s="1478"/>
      <c r="G3" s="1479"/>
      <c r="H3" s="1483" t="s">
        <v>1406</v>
      </c>
      <c r="I3" s="1636"/>
      <c r="J3" s="1636"/>
      <c r="K3" s="1637"/>
      <c r="L3" s="1636"/>
      <c r="M3" s="1636"/>
    </row>
    <row r="4" spans="1:37" ht="18" customHeight="1">
      <c r="A4" s="1484" t="s">
        <v>1407</v>
      </c>
      <c r="B4" s="1485" t="s">
        <v>1408</v>
      </c>
      <c r="C4" s="1485" t="s">
        <v>1409</v>
      </c>
      <c r="D4" s="1485" t="s">
        <v>1410</v>
      </c>
      <c r="E4" s="1486" t="s">
        <v>1411</v>
      </c>
      <c r="F4" s="1487"/>
      <c r="G4" s="1465"/>
      <c r="H4" s="1484" t="s">
        <v>1407</v>
      </c>
      <c r="I4" s="1485" t="s">
        <v>1408</v>
      </c>
      <c r="J4" s="1485" t="s">
        <v>1409</v>
      </c>
      <c r="K4" s="1485" t="s">
        <v>1410</v>
      </c>
      <c r="L4" s="1486" t="s">
        <v>1411</v>
      </c>
      <c r="M4" s="1487"/>
    </row>
    <row r="5" spans="1:37" ht="18" customHeight="1">
      <c r="A5" s="1488">
        <v>1</v>
      </c>
      <c r="B5" s="1489" t="s">
        <v>1412</v>
      </c>
      <c r="C5" s="1490">
        <f ca="1">C6+C10+C12</f>
        <v>75548</v>
      </c>
      <c r="D5" s="1491" t="s">
        <v>1413</v>
      </c>
      <c r="E5" s="1492"/>
      <c r="F5" s="1493"/>
      <c r="G5" s="1465"/>
      <c r="H5" s="1488">
        <v>1</v>
      </c>
      <c r="I5" s="1489" t="s">
        <v>1412</v>
      </c>
      <c r="J5" s="1490">
        <f ca="1">J6+J10+J12</f>
        <v>0</v>
      </c>
      <c r="K5" s="1491" t="s">
        <v>1413</v>
      </c>
      <c r="L5" s="1492"/>
      <c r="M5" s="1493"/>
    </row>
    <row r="6" spans="1:37" ht="18" customHeight="1">
      <c r="A6" s="1494" t="s">
        <v>938</v>
      </c>
      <c r="B6" s="3495" t="s">
        <v>1414</v>
      </c>
      <c r="C6" s="1495">
        <f ca="1">ROUND(F6*F8*F7*(1-F9)/10000,0)</f>
        <v>75454</v>
      </c>
      <c r="D6" s="1496" t="s">
        <v>1415</v>
      </c>
      <c r="E6" s="1497" t="s">
        <v>1416</v>
      </c>
      <c r="F6" s="1498">
        <f ca="1">INDIRECT("'数据-取费表'!u"&amp;$G$1)</f>
        <v>7.6</v>
      </c>
      <c r="G6" s="1465"/>
      <c r="H6" s="1494" t="s">
        <v>938</v>
      </c>
      <c r="I6" s="3495" t="s">
        <v>1414</v>
      </c>
      <c r="J6" s="1568">
        <f ca="1">ROUND(M6*M8*M7*(1-M9)/10000,0)</f>
        <v>0</v>
      </c>
      <c r="K6" s="1496" t="s">
        <v>1417</v>
      </c>
      <c r="L6" s="1497" t="s">
        <v>1416</v>
      </c>
      <c r="M6" s="1498">
        <f ca="1">INDIRECT("'数据-取费表'!z"&amp;$G$1)</f>
        <v>0</v>
      </c>
    </row>
    <row r="7" spans="1:37" ht="18" customHeight="1">
      <c r="A7" s="1499"/>
      <c r="B7" s="3496"/>
      <c r="C7" s="1500"/>
      <c r="D7" s="1501"/>
      <c r="E7" s="1502" t="s">
        <v>1418</v>
      </c>
      <c r="F7" s="1498">
        <f ca="1">IF(INDIRECT("'数据-取费表'!ah"&amp;$G$1)="",INDIRECT("'数据-取费表'!k"&amp;$G$1),INDIRECT("'数据-取费表'!ah"&amp;$G$1))</f>
        <v>286319.48000000004</v>
      </c>
      <c r="G7" s="1465"/>
      <c r="H7" s="1503"/>
      <c r="I7" s="3496"/>
      <c r="J7" s="1504"/>
      <c r="K7" s="1501"/>
      <c r="L7" s="1497" t="s">
        <v>1418</v>
      </c>
      <c r="M7" s="1498">
        <f ca="1">F7</f>
        <v>286319.48000000004</v>
      </c>
    </row>
    <row r="8" spans="1:37" ht="18" customHeight="1">
      <c r="A8" s="1503"/>
      <c r="B8" s="3496"/>
      <c r="C8" s="1504"/>
      <c r="D8" s="1501"/>
      <c r="E8" s="1497" t="s">
        <v>1419</v>
      </c>
      <c r="F8" s="1498">
        <f ca="1">INDIRECT("'数据-取费表'!ai"&amp;$G$1)</f>
        <v>365</v>
      </c>
      <c r="G8" s="1465"/>
      <c r="H8" s="1503"/>
      <c r="I8" s="3496"/>
      <c r="J8" s="1504"/>
      <c r="K8" s="1501"/>
      <c r="L8" s="1497" t="s">
        <v>1419</v>
      </c>
      <c r="M8" s="1498">
        <f ca="1">INDIRECT("'数据-取费表'!ai"&amp;$G$1)</f>
        <v>365</v>
      </c>
    </row>
    <row r="9" spans="1:37" ht="18" customHeight="1">
      <c r="A9" s="1503"/>
      <c r="B9" s="3497"/>
      <c r="C9" s="1504"/>
      <c r="D9" s="1501"/>
      <c r="E9" s="1497" t="s">
        <v>1420</v>
      </c>
      <c r="F9" s="1505">
        <f ca="1">INDIRECT("'数据-取费表'!w"&amp;$G$1)</f>
        <v>0.05</v>
      </c>
      <c r="G9" s="1465"/>
      <c r="H9" s="1503"/>
      <c r="I9" s="3497"/>
      <c r="J9" s="1504"/>
      <c r="K9" s="1501"/>
      <c r="L9" s="1508" t="s">
        <v>1420</v>
      </c>
      <c r="M9" s="1513">
        <f ca="1">INDIRECT("'数据-取费表'!ab"&amp;$G$1)</f>
        <v>0</v>
      </c>
    </row>
    <row r="10" spans="1:37" ht="18" customHeight="1">
      <c r="A10" s="1494" t="s">
        <v>942</v>
      </c>
      <c r="B10" s="1506" t="s">
        <v>1421</v>
      </c>
      <c r="C10" s="570">
        <f ca="1">ROUND(IF(F10="押一",C6/12*F11,IF(F10="押二",C6/12*2*F11,IF(F10="押三",C6/12*3*F11,C11*F11))),0)</f>
        <v>94</v>
      </c>
      <c r="D10" s="1507" t="s">
        <v>1422</v>
      </c>
      <c r="E10" s="1508" t="s">
        <v>1423</v>
      </c>
      <c r="F10" s="1509" t="s">
        <v>1424</v>
      </c>
      <c r="G10" s="1465"/>
      <c r="H10" s="1494" t="s">
        <v>942</v>
      </c>
      <c r="I10" s="1506" t="s">
        <v>1421</v>
      </c>
      <c r="J10" s="1568">
        <f ca="1">ROUND(IF(M10="押一",J6/12*M11,IF(M10="押二",J6/12*2*M11,IF(M10="押三",J6/12*3*M11,J11*M11))),0)</f>
        <v>0</v>
      </c>
      <c r="K10" s="1507" t="s">
        <v>1422</v>
      </c>
      <c r="L10" s="1508" t="s">
        <v>1423</v>
      </c>
      <c r="M10" s="1509"/>
    </row>
    <row r="11" spans="1:37" ht="18" customHeight="1">
      <c r="A11" s="1510"/>
      <c r="B11" s="1511" t="s">
        <v>1425</v>
      </c>
      <c r="C11" s="1512"/>
      <c r="D11" s="1852"/>
      <c r="E11" s="1508" t="s">
        <v>1426</v>
      </c>
      <c r="F11" s="1513">
        <f ca="1">'数据-取费表'!B39</f>
        <v>1.4999999999999999E-2</v>
      </c>
      <c r="G11" s="1465"/>
      <c r="H11" s="1514"/>
      <c r="I11" s="1511" t="s">
        <v>1425</v>
      </c>
      <c r="J11" s="1512"/>
      <c r="K11" s="1640"/>
      <c r="L11" s="1508" t="s">
        <v>1426</v>
      </c>
      <c r="M11" s="1641">
        <f ca="1">'数据-取费表'!B39</f>
        <v>1.4999999999999999E-2</v>
      </c>
    </row>
    <row r="12" spans="1:37" ht="18" customHeight="1">
      <c r="A12" s="1515" t="s">
        <v>987</v>
      </c>
      <c r="B12" s="1516" t="s">
        <v>1427</v>
      </c>
      <c r="C12" s="1517"/>
      <c r="D12" s="1518"/>
      <c r="E12" s="1519"/>
      <c r="F12" s="1520"/>
      <c r="G12" s="1465"/>
      <c r="H12" s="1515" t="s">
        <v>987</v>
      </c>
      <c r="I12" s="1516" t="s">
        <v>1427</v>
      </c>
      <c r="J12" s="1517"/>
      <c r="K12" s="1642"/>
      <c r="L12" s="1519"/>
      <c r="M12" s="1643"/>
    </row>
    <row r="13" spans="1:37" ht="18" customHeight="1">
      <c r="A13" s="1521">
        <v>2</v>
      </c>
      <c r="B13" s="1522" t="s">
        <v>1428</v>
      </c>
      <c r="C13" s="1523">
        <f ca="1">ROUND(C29*F13,0)</f>
        <v>614943</v>
      </c>
      <c r="D13" s="1524" t="s">
        <v>1429</v>
      </c>
      <c r="E13" s="1524" t="s">
        <v>1430</v>
      </c>
      <c r="F13" s="1525">
        <f ca="1">INDIRECT("'数据-取费表'!y"&amp;$G$1)</f>
        <v>0.82</v>
      </c>
      <c r="G13" s="1465"/>
      <c r="H13" s="1521">
        <v>2</v>
      </c>
      <c r="I13" s="1522" t="s">
        <v>1428</v>
      </c>
      <c r="J13" s="1644">
        <f ca="1">ROUND(J14*J15,0)</f>
        <v>0</v>
      </c>
      <c r="K13" s="1546" t="s">
        <v>1429</v>
      </c>
      <c r="L13" s="1645"/>
      <c r="M13" s="1646"/>
    </row>
    <row r="14" spans="1:37" ht="18" customHeight="1">
      <c r="A14" s="1526" t="s">
        <v>961</v>
      </c>
      <c r="B14" s="1497" t="s">
        <v>1431</v>
      </c>
      <c r="C14" s="1527">
        <f ca="1">INDIRECT("'数据-取费表'!m"&amp;$G$1)+INDIRECT("'数据-取费表'!t"&amp;$G$1)</f>
        <v>477595</v>
      </c>
      <c r="D14" s="1528" t="s">
        <v>1432</v>
      </c>
      <c r="E14" s="1529"/>
      <c r="F14" s="1530"/>
      <c r="G14" s="1465"/>
      <c r="H14" s="1526" t="s">
        <v>938</v>
      </c>
      <c r="I14" s="1497" t="s">
        <v>1433</v>
      </c>
      <c r="J14" s="571">
        <f ca="1">C29</f>
        <v>749931</v>
      </c>
      <c r="K14" s="1647"/>
      <c r="L14" s="1648"/>
      <c r="M14" s="1649"/>
    </row>
    <row r="15" spans="1:37" s="1464" customFormat="1" ht="18" customHeight="1">
      <c r="A15" s="1526" t="s">
        <v>965</v>
      </c>
      <c r="B15" s="1497" t="s">
        <v>1147</v>
      </c>
      <c r="C15" s="571">
        <f ca="1">ROUND(C14*F15,0)</f>
        <v>47760</v>
      </c>
      <c r="D15" s="1531" t="s">
        <v>1434</v>
      </c>
      <c r="E15" s="1531" t="s">
        <v>1435</v>
      </c>
      <c r="F15" s="1532">
        <f>'数据-取费表'!B33</f>
        <v>0.1</v>
      </c>
      <c r="G15" s="1533"/>
      <c r="H15" s="1534" t="s">
        <v>942</v>
      </c>
      <c r="I15" s="1519" t="s">
        <v>1430</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968</v>
      </c>
      <c r="B16" s="1497" t="s">
        <v>1150</v>
      </c>
      <c r="C16" s="571">
        <f ca="1">ROUND(INDIRECT("'数据-取费表'!m"&amp;$G$1)*F16,0)</f>
        <v>0</v>
      </c>
      <c r="D16" s="1497" t="s">
        <v>1434</v>
      </c>
      <c r="E16" s="1497" t="s">
        <v>1435</v>
      </c>
      <c r="F16" s="1535">
        <f ca="1">IF(INDIRECT("'数据-取费表'!c"&amp;$G$1)="住宅",'数据-取费表'!B34,0)</f>
        <v>0</v>
      </c>
      <c r="G16" s="1465"/>
      <c r="H16" s="1521" t="s">
        <v>1436</v>
      </c>
      <c r="I16" s="1522" t="s">
        <v>1437</v>
      </c>
      <c r="J16" s="1523">
        <f ca="1">ROUND(J17+J22+J23+J24,0)</f>
        <v>3776</v>
      </c>
      <c r="K16" s="1546" t="s">
        <v>1438</v>
      </c>
      <c r="L16" s="1547"/>
      <c r="M16" s="1493"/>
    </row>
    <row r="17" spans="1:37" s="1464" customFormat="1" ht="18" customHeight="1">
      <c r="A17" s="1526" t="s">
        <v>1439</v>
      </c>
      <c r="B17" s="1497" t="s">
        <v>1440</v>
      </c>
      <c r="C17" s="571">
        <f ca="1">ROUND(F17*(F43+INDIRECT("'数据-取费表'!S"&amp;$G$1))/10000,0)</f>
        <v>11940</v>
      </c>
      <c r="D17" s="1497" t="s">
        <v>1441</v>
      </c>
      <c r="E17" s="1497" t="s">
        <v>1442</v>
      </c>
      <c r="F17" s="1536">
        <f>'数据-取费表'!B35</f>
        <v>200</v>
      </c>
      <c r="G17" s="1533"/>
      <c r="H17" s="1526" t="s">
        <v>938</v>
      </c>
      <c r="I17" s="1497" t="s">
        <v>1443</v>
      </c>
      <c r="J17" s="1549">
        <f ca="1">ROUND(IF(AND(项目基本情况!B11="自然人",项目基本情况!B10="北京市"),J6*M17/(1+'数据-取费表'!C42),J18+J19+J20),2)</f>
        <v>26.25</v>
      </c>
      <c r="K17" s="1528" t="s">
        <v>1444</v>
      </c>
      <c r="L17" s="1550" t="s">
        <v>1445</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1446</v>
      </c>
      <c r="B18" s="1497" t="s">
        <v>1156</v>
      </c>
      <c r="C18" s="571">
        <f ca="1">ROUND(C14*F18,0)</f>
        <v>14328</v>
      </c>
      <c r="D18" s="1497" t="s">
        <v>1434</v>
      </c>
      <c r="E18" s="1497" t="s">
        <v>1435</v>
      </c>
      <c r="F18" s="1535">
        <f>'数据-取费表'!B36</f>
        <v>0.03</v>
      </c>
      <c r="G18" s="1533"/>
      <c r="H18" s="1526" t="s">
        <v>961</v>
      </c>
      <c r="I18" s="1497" t="s">
        <v>1447</v>
      </c>
      <c r="J18" s="571">
        <f ca="1">ROUND(J6*M18/(1+'数据-取费表'!C42),2)</f>
        <v>0</v>
      </c>
      <c r="K18" s="1550" t="s">
        <v>1448</v>
      </c>
      <c r="L18" s="1497" t="s">
        <v>1435</v>
      </c>
      <c r="M18" s="1535">
        <f>'数据-取费表'!B41</f>
        <v>5.5000000000000007E-2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938</v>
      </c>
      <c r="B19" s="1497" t="s">
        <v>1449</v>
      </c>
      <c r="C19" s="571">
        <f ca="1">SUM(C14:C18)</f>
        <v>551623</v>
      </c>
      <c r="D19" s="1537" t="s">
        <v>1450</v>
      </c>
      <c r="E19" s="573"/>
      <c r="F19" s="1536"/>
      <c r="G19" s="1465"/>
      <c r="H19" s="1526" t="s">
        <v>965</v>
      </c>
      <c r="I19" s="1497" t="s">
        <v>1451</v>
      </c>
      <c r="J19" s="571">
        <f ca="1">IF(K19="按租金收入计税",ROUND(J6*M19/(1+'数据-取费表'!C42),2),ROUND(C29*M19*0.7,2))</f>
        <v>0</v>
      </c>
      <c r="K19" s="1553" t="s">
        <v>1452</v>
      </c>
      <c r="L19" s="1497" t="s">
        <v>1435</v>
      </c>
      <c r="M19" s="1535">
        <f>IF(K19="按租金收入计税",'数据-取费表'!B51,'数据-取费表'!B50)</f>
        <v>0.12</v>
      </c>
    </row>
    <row r="20" spans="1:37" s="1464" customFormat="1" ht="18" customHeight="1">
      <c r="A20" s="1526" t="s">
        <v>942</v>
      </c>
      <c r="B20" s="1497" t="s">
        <v>1453</v>
      </c>
      <c r="C20" s="571">
        <f ca="1">ROUND(C19*F20,0)</f>
        <v>16549</v>
      </c>
      <c r="D20" s="1538" t="s">
        <v>1454</v>
      </c>
      <c r="E20" s="1497" t="s">
        <v>1435</v>
      </c>
      <c r="F20" s="1535">
        <f>'数据-取费表'!B37</f>
        <v>0.03</v>
      </c>
      <c r="G20" s="1533"/>
      <c r="H20" s="1526" t="s">
        <v>968</v>
      </c>
      <c r="I20" s="1496" t="s">
        <v>1455</v>
      </c>
      <c r="J20" s="1555">
        <f ca="1">ROUND(M20*M21/10000,2)</f>
        <v>26.25</v>
      </c>
      <c r="K20" s="1556" t="s">
        <v>1456</v>
      </c>
      <c r="L20" s="1497" t="s">
        <v>1457</v>
      </c>
      <c r="M20" s="1540">
        <f>'数据-取费表'!B52</f>
        <v>1.5</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987</v>
      </c>
      <c r="B21" s="1497" t="s">
        <v>1458</v>
      </c>
      <c r="C21" s="571" t="s">
        <v>124</v>
      </c>
      <c r="D21" s="1538" t="s">
        <v>1459</v>
      </c>
      <c r="E21" s="1497" t="s">
        <v>1460</v>
      </c>
      <c r="F21" s="1535">
        <f>'数据-取费表'!B38</f>
        <v>0.03</v>
      </c>
      <c r="G21" s="1533"/>
      <c r="H21" s="1539"/>
      <c r="I21" s="1653"/>
      <c r="J21" s="1559"/>
      <c r="K21" s="1560"/>
      <c r="L21" s="1497" t="s">
        <v>1461</v>
      </c>
      <c r="M21" s="1498">
        <f ca="1">INDIRECT("'数据-取费表'!r"&amp;$G$1)</f>
        <v>175003.3</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990</v>
      </c>
      <c r="B22" s="1497" t="s">
        <v>1462</v>
      </c>
      <c r="C22" s="571"/>
      <c r="D22" s="1537" t="str">
        <f>IF(F23&lt;=1,"单利计息。","复利计息。")&amp;"建造成本、管理费用、销售费用产生的利息。"</f>
        <v>复利计息。建造成本、管理费用、销售费用产生的利息。</v>
      </c>
      <c r="E22" s="573"/>
      <c r="F22" s="1536"/>
      <c r="G22" s="1465"/>
      <c r="H22" s="1526" t="s">
        <v>942</v>
      </c>
      <c r="I22" s="1497" t="s">
        <v>1463</v>
      </c>
      <c r="J22" s="571">
        <f ca="1">ROUND(J14*M22,2)</f>
        <v>3749.66</v>
      </c>
      <c r="K22" s="1550" t="s">
        <v>1464</v>
      </c>
      <c r="L22" s="1497" t="s">
        <v>1435</v>
      </c>
      <c r="M22" s="1562">
        <f ca="1">INDIRECT("'数据-取费表'!Ak"&amp;$G$1)</f>
        <v>5.0000000000000001E-3</v>
      </c>
    </row>
    <row r="23" spans="1:37" s="1464" customFormat="1" ht="18" customHeight="1">
      <c r="A23" s="1526" t="s">
        <v>961</v>
      </c>
      <c r="B23" s="1497" t="s">
        <v>1465</v>
      </c>
      <c r="C23" s="571">
        <f ca="1">IF('数据-取费表'!B22&lt;=1,ROUND(C19*F24*F23/2,0)+ROUND(C20*F24*F23/2,0),ROUND(C19*(POWER((1+F24),F23/2)-1),0)+ROUND(C20*(POWER((1+F24),F23/2)-1),0))</f>
        <v>30164</v>
      </c>
      <c r="D23" s="518" t="str">
        <f>IF(F23&lt;=1,"(建造成本+管理费用)×利率×(建设周期÷2)","(建造成本+管理费用)×((1+利率)^(建设周期÷2)-1)")</f>
        <v>(建造成本+管理费用)×((1+利率)^(建设周期÷2)-1)</v>
      </c>
      <c r="E23" s="1497" t="s">
        <v>1466</v>
      </c>
      <c r="F23" s="1540">
        <f>'数据-取费表'!B20</f>
        <v>3.5</v>
      </c>
      <c r="G23" s="1533"/>
      <c r="H23" s="1526" t="s">
        <v>987</v>
      </c>
      <c r="I23" s="1497" t="s">
        <v>1467</v>
      </c>
      <c r="J23" s="571">
        <f ca="1">ROUND(J13*M23,2)</f>
        <v>0</v>
      </c>
      <c r="K23" s="1550" t="s">
        <v>1468</v>
      </c>
      <c r="L23" s="1497" t="s">
        <v>1435</v>
      </c>
      <c r="M23" s="1563">
        <f ca="1">INDIRECT("'数据-取费表'!Al"&amp;$G$1)</f>
        <v>1.5E-3</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965</v>
      </c>
      <c r="B24" s="1497" t="s">
        <v>1469</v>
      </c>
      <c r="C24" s="571">
        <f ca="1">ROUND(IF('数据-取费表'!B22&lt;=1,F21*F24*F23/2,F21*(POWER((1+F24),F23/2)-1)),4)</f>
        <v>1.6000000000000001E-3</v>
      </c>
      <c r="D24" s="518" t="str">
        <f>IF(F23&lt;=1,"销售费用×利率×(建设周期÷2)","销售费用×((1+利率)^(建设周期÷2)-1)")</f>
        <v>销售费用×((1+利率)^(建设周期÷2)-1)</v>
      </c>
      <c r="E24" s="1497" t="s">
        <v>1470</v>
      </c>
      <c r="F24" s="1541">
        <f ca="1">'数据-取费表'!B40</f>
        <v>0.03</v>
      </c>
      <c r="G24" s="1533"/>
      <c r="H24" s="1534" t="s">
        <v>990</v>
      </c>
      <c r="I24" s="1519" t="s">
        <v>1453</v>
      </c>
      <c r="J24" s="1542">
        <f ca="1">ROUND(J5*M24,2)</f>
        <v>0</v>
      </c>
      <c r="K24" s="1543" t="s">
        <v>1471</v>
      </c>
      <c r="L24" s="1519" t="s">
        <v>1435</v>
      </c>
      <c r="M24" s="1520">
        <f ca="1">INDIRECT("'数据-取费表'!Am"&amp;$G$1)</f>
        <v>1.4999999999999999E-2</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24" customHeight="1">
      <c r="A25" s="1526" t="s">
        <v>994</v>
      </c>
      <c r="B25" s="1497" t="s">
        <v>1472</v>
      </c>
      <c r="C25" s="571"/>
      <c r="D25" s="1537" t="s">
        <v>1473</v>
      </c>
      <c r="E25" s="573"/>
      <c r="F25" s="1536"/>
      <c r="G25" s="1465"/>
      <c r="H25" s="1521" t="s">
        <v>1474</v>
      </c>
      <c r="I25" s="1564" t="s">
        <v>1475</v>
      </c>
      <c r="J25" s="1523">
        <f ca="1">J5-J16</f>
        <v>-3776</v>
      </c>
      <c r="K25" s="1565" t="s">
        <v>1476</v>
      </c>
      <c r="L25" s="1566"/>
      <c r="M25" s="1567"/>
    </row>
    <row r="26" spans="1:37">
      <c r="A26" s="1526" t="s">
        <v>961</v>
      </c>
      <c r="B26" s="1497" t="s">
        <v>1477</v>
      </c>
      <c r="C26" s="571">
        <f ca="1">ROUND((C19+C20)*F26,0)</f>
        <v>85226</v>
      </c>
      <c r="D26" s="1538" t="s">
        <v>1478</v>
      </c>
      <c r="E26" s="1508" t="s">
        <v>1479</v>
      </c>
      <c r="F26" s="1505">
        <f ca="1">INDIRECT("'数据-取费表'!q"&amp;$G$1)</f>
        <v>0.15</v>
      </c>
      <c r="G26" s="1465"/>
      <c r="H26" s="1488" t="s">
        <v>1480</v>
      </c>
      <c r="I26" s="1489" t="s">
        <v>1481</v>
      </c>
      <c r="J26" s="1568">
        <f ca="1">IF(J5&lt;&gt;0,ROUND(J25*(1-((1+M28)/(1+M26))^M27)/(M26-M28),0),0)</f>
        <v>0</v>
      </c>
      <c r="K26" s="1556" t="s">
        <v>1482</v>
      </c>
      <c r="L26" s="1497" t="s">
        <v>1483</v>
      </c>
      <c r="M26" s="1505">
        <f ca="1">INDIRECT("'数据-取费表'!I"&amp;$G$1)</f>
        <v>5.5E-2</v>
      </c>
    </row>
    <row r="27" spans="1:37" ht="18" customHeight="1">
      <c r="A27" s="1526" t="s">
        <v>965</v>
      </c>
      <c r="B27" s="1497" t="s">
        <v>1484</v>
      </c>
      <c r="C27" s="571">
        <f ca="1">ROUND(F21*F26,4)</f>
        <v>4.4999999999999997E-3</v>
      </c>
      <c r="D27" s="1538" t="s">
        <v>1485</v>
      </c>
      <c r="E27" s="1531"/>
      <c r="F27" s="1532"/>
      <c r="G27" s="1465"/>
      <c r="H27" s="1503"/>
      <c r="I27" s="1570"/>
      <c r="J27" s="1504"/>
      <c r="K27" s="1571" t="s">
        <v>1486</v>
      </c>
      <c r="L27" s="1497" t="s">
        <v>1487</v>
      </c>
      <c r="M27" s="1572">
        <f ca="1">INDIRECT("'数据-取费表'!ag"&amp;$G$1)</f>
        <v>0</v>
      </c>
    </row>
    <row r="28" spans="1:37" s="1464" customFormat="1" ht="18" customHeight="1">
      <c r="A28" s="1526" t="s">
        <v>995</v>
      </c>
      <c r="B28" s="1497" t="s">
        <v>1488</v>
      </c>
      <c r="C28" s="571">
        <f>ROUND(F28/(1+'数据-取费表'!C42),4)</f>
        <v>5.2400000000000002E-2</v>
      </c>
      <c r="D28" s="1538" t="s">
        <v>1489</v>
      </c>
      <c r="E28" s="1497" t="s">
        <v>1435</v>
      </c>
      <c r="F28" s="1535">
        <f>'数据-取费表'!B41</f>
        <v>5.5000000000000007E-2</v>
      </c>
      <c r="G28" s="1533"/>
      <c r="H28" s="1510"/>
      <c r="I28" s="1573"/>
      <c r="J28" s="1523"/>
      <c r="K28" s="1560"/>
      <c r="L28" s="1497" t="s">
        <v>1490</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1181</v>
      </c>
      <c r="B29" s="1519" t="s">
        <v>1491</v>
      </c>
      <c r="C29" s="1542">
        <f ca="1">ROUND((C19+C20+C23+C26)/(1-F21-C24-C27-C28),0)</f>
        <v>749931</v>
      </c>
      <c r="D29" s="1543"/>
      <c r="E29" s="1519"/>
      <c r="F29" s="1544"/>
      <c r="G29" s="1533"/>
      <c r="H29" s="1545" t="s">
        <v>1492</v>
      </c>
      <c r="I29" s="1574" t="s">
        <v>1493</v>
      </c>
      <c r="J29" s="1575">
        <f ca="1">ROUND(J26/(1+F40)^F41,0)</f>
        <v>0</v>
      </c>
      <c r="K29" s="1576" t="s">
        <v>1494</v>
      </c>
      <c r="L29" s="1577"/>
      <c r="M29" s="1578">
        <f ca="1">INDIRECT("'数据-取费表'!k"&amp;$G$1)</f>
        <v>587675.46</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1436</v>
      </c>
      <c r="B30" s="1522" t="s">
        <v>1437</v>
      </c>
      <c r="C30" s="1523">
        <f ca="1">ROUND(C31+C36+C37+C38,0)</f>
        <v>18407</v>
      </c>
      <c r="D30" s="1546" t="s">
        <v>1438</v>
      </c>
      <c r="E30" s="1547"/>
      <c r="F30" s="1493"/>
      <c r="G30" s="1465"/>
      <c r="H30" s="1548"/>
      <c r="I30" s="1654"/>
      <c r="J30" s="1655"/>
      <c r="K30" s="560"/>
      <c r="L30" s="1656"/>
      <c r="M30" s="1657"/>
    </row>
    <row r="31" spans="1:37" ht="18" customHeight="1">
      <c r="A31" s="1526" t="s">
        <v>938</v>
      </c>
      <c r="B31" s="1497" t="s">
        <v>1443</v>
      </c>
      <c r="C31" s="1549">
        <f ca="1">ROUND(IF(AND(项目基本情况!B11="自然人",项目基本情况!B10="北京市"),C6*F31/(1+'数据-取费表'!C42),C32+C33+C34),2)</f>
        <v>12601.91</v>
      </c>
      <c r="D31" s="1528" t="s">
        <v>1444</v>
      </c>
      <c r="E31" s="1550" t="s">
        <v>1445</v>
      </c>
      <c r="F31" s="1551" t="str">
        <f>IF(项目基本情况!B11="企业","——",IF(M47="住宅",IF(F6*F7*F8/12/(1+'数据-取费表'!F30)&gt;100000,4%,2.5%),IF(F6*F7*F8/12/(1+'数据-取费表'!F30)&gt;100000,12%,7%)))</f>
        <v>——</v>
      </c>
      <c r="G31" s="1465"/>
      <c r="H31" s="1552" t="s">
        <v>1495</v>
      </c>
      <c r="I31" s="1654"/>
      <c r="J31" s="1655"/>
      <c r="K31" s="560"/>
      <c r="L31" s="1656"/>
      <c r="M31" s="1657"/>
    </row>
    <row r="32" spans="1:37" ht="18" customHeight="1">
      <c r="A32" s="1526" t="s">
        <v>961</v>
      </c>
      <c r="B32" s="1497" t="s">
        <v>1447</v>
      </c>
      <c r="C32" s="571">
        <f ca="1">IF(项目基本情况!B11="自然人","——",ROUND(C6*F32/(1+'数据-取费表'!C42),2))</f>
        <v>3952.35</v>
      </c>
      <c r="D32" s="1550" t="s">
        <v>1448</v>
      </c>
      <c r="E32" s="1497" t="s">
        <v>1435</v>
      </c>
      <c r="F32" s="1541">
        <f>'数据-取费表'!B41</f>
        <v>5.5000000000000007E-2</v>
      </c>
      <c r="G32" s="1465"/>
      <c r="H32" s="1548"/>
      <c r="I32" s="1654"/>
      <c r="J32" s="1655"/>
      <c r="K32" s="560"/>
      <c r="L32" s="1656"/>
      <c r="M32" s="1657"/>
    </row>
    <row r="33" spans="1:18" ht="18" customHeight="1">
      <c r="A33" s="1526" t="s">
        <v>965</v>
      </c>
      <c r="B33" s="1497" t="s">
        <v>1451</v>
      </c>
      <c r="C33" s="571">
        <f ca="1">IF(项目基本情况!B11="自然人","——",IF(D33="按租金收入计税",ROUND(C6*F33/(1+'数据-取费表'!C42),2),IF(D33="按房产原值计税",ROUND(C29*F33*0.7,2),INDIRECT("'数据-取费表'!Aj"&amp;$G$1))))</f>
        <v>8623.31</v>
      </c>
      <c r="D33" s="1553" t="s">
        <v>1452</v>
      </c>
      <c r="E33" s="1497" t="s">
        <v>1435</v>
      </c>
      <c r="F33" s="1535">
        <f>IF(D33="按票据","——",IF(D33="按租金收入计税",'数据-取费表'!B51,'数据-取费表'!B50))</f>
        <v>0.12</v>
      </c>
      <c r="G33" s="1465"/>
      <c r="H33" s="1554"/>
      <c r="I33" s="1654"/>
      <c r="J33" s="1655"/>
      <c r="K33" s="1658"/>
      <c r="L33" s="1554"/>
      <c r="M33" s="1554"/>
    </row>
    <row r="34" spans="1:18" ht="18" customHeight="1">
      <c r="A34" s="1494" t="s">
        <v>968</v>
      </c>
      <c r="B34" s="1496" t="s">
        <v>1455</v>
      </c>
      <c r="C34" s="1555">
        <f ca="1">IF(项目基本情况!B11="自然人","——",ROUND(F34*F35/10000,2))</f>
        <v>26.25</v>
      </c>
      <c r="D34" s="1556" t="s">
        <v>1456</v>
      </c>
      <c r="E34" s="1497" t="s">
        <v>1457</v>
      </c>
      <c r="F34" s="1540">
        <f>'数据-取费表'!B52</f>
        <v>1.5</v>
      </c>
      <c r="G34" s="1465"/>
      <c r="H34" s="1548"/>
      <c r="I34" s="1654"/>
      <c r="J34" s="1655"/>
      <c r="K34" s="1659"/>
      <c r="L34" s="1660"/>
      <c r="M34" s="1660"/>
    </row>
    <row r="35" spans="1:18" ht="18" customHeight="1">
      <c r="A35" s="1557"/>
      <c r="B35" s="1558"/>
      <c r="C35" s="1559"/>
      <c r="D35" s="1560"/>
      <c r="E35" s="1497" t="s">
        <v>1461</v>
      </c>
      <c r="F35" s="1498">
        <f ca="1">INDIRECT("'数据-取费表'!r"&amp;$G$1)</f>
        <v>175003.3</v>
      </c>
      <c r="G35" s="1465"/>
      <c r="H35" s="1548"/>
      <c r="I35" s="1654"/>
      <c r="J35" s="1655"/>
      <c r="K35" s="1658"/>
      <c r="L35" s="1554"/>
      <c r="M35" s="1554"/>
    </row>
    <row r="36" spans="1:18" ht="18" customHeight="1">
      <c r="A36" s="1561" t="s">
        <v>942</v>
      </c>
      <c r="B36" s="1497" t="s">
        <v>1463</v>
      </c>
      <c r="C36" s="571">
        <f ca="1">ROUND(C29*F36,2)</f>
        <v>3749.66</v>
      </c>
      <c r="D36" s="1550" t="s">
        <v>1496</v>
      </c>
      <c r="E36" s="1497" t="s">
        <v>1435</v>
      </c>
      <c r="F36" s="1562">
        <f ca="1">INDIRECT("'数据-取费表'!Ak"&amp;$G$1)</f>
        <v>5.0000000000000001E-3</v>
      </c>
      <c r="G36" s="1465"/>
      <c r="H36" s="1554"/>
      <c r="I36" s="1654"/>
      <c r="J36" s="1655"/>
      <c r="K36" s="1661"/>
      <c r="L36" s="1554"/>
      <c r="M36" s="1554"/>
    </row>
    <row r="37" spans="1:18" ht="18" customHeight="1">
      <c r="A37" s="1526" t="s">
        <v>987</v>
      </c>
      <c r="B37" s="1497" t="s">
        <v>1467</v>
      </c>
      <c r="C37" s="571">
        <f ca="1">ROUND(C13*F37,2)</f>
        <v>922.41</v>
      </c>
      <c r="D37" s="1550" t="s">
        <v>1468</v>
      </c>
      <c r="E37" s="1497" t="s">
        <v>1435</v>
      </c>
      <c r="F37" s="1563">
        <f ca="1">INDIRECT("'数据-取费表'!Al"&amp;$G$1)</f>
        <v>1.5E-3</v>
      </c>
      <c r="G37" s="1465"/>
      <c r="H37" s="1554"/>
      <c r="I37" s="1654"/>
      <c r="J37" s="1655"/>
      <c r="K37" s="1661"/>
      <c r="L37" s="1554"/>
      <c r="M37" s="1554"/>
    </row>
    <row r="38" spans="1:18" ht="18" customHeight="1">
      <c r="A38" s="1534" t="s">
        <v>990</v>
      </c>
      <c r="B38" s="1519" t="s">
        <v>1453</v>
      </c>
      <c r="C38" s="1542">
        <f ca="1">ROUND(C5*F38,2)</f>
        <v>1133.22</v>
      </c>
      <c r="D38" s="1543" t="s">
        <v>1471</v>
      </c>
      <c r="E38" s="1519" t="s">
        <v>1435</v>
      </c>
      <c r="F38" s="1520">
        <f ca="1">INDIRECT("'数据-取费表'!Am"&amp;$G$1)</f>
        <v>1.4999999999999999E-2</v>
      </c>
      <c r="G38" s="1465"/>
      <c r="H38" s="1554"/>
      <c r="I38" s="1654"/>
      <c r="J38" s="1655"/>
      <c r="K38" s="1656"/>
      <c r="L38" s="1554"/>
      <c r="M38" s="1554"/>
    </row>
    <row r="39" spans="1:18" ht="24.6" customHeight="1">
      <c r="A39" s="1521" t="s">
        <v>1474</v>
      </c>
      <c r="B39" s="1564" t="s">
        <v>1475</v>
      </c>
      <c r="C39" s="1523">
        <f ca="1">C5-C30</f>
        <v>57141</v>
      </c>
      <c r="D39" s="1565" t="s">
        <v>1476</v>
      </c>
      <c r="E39" s="1566"/>
      <c r="F39" s="1567"/>
      <c r="G39" s="1465"/>
      <c r="H39" s="1554"/>
      <c r="I39" s="1654"/>
      <c r="J39" s="1655"/>
      <c r="K39" s="1656"/>
      <c r="L39" s="1554"/>
      <c r="M39" s="1554"/>
    </row>
    <row r="40" spans="1:18" ht="18" customHeight="1">
      <c r="A40" s="1488" t="s">
        <v>1480</v>
      </c>
      <c r="B40" s="1489" t="s">
        <v>1497</v>
      </c>
      <c r="C40" s="1568">
        <f ca="1">ROUND(C39*(1-((1+F42)/(1+F40))^F41)/(F40-F42),0)</f>
        <v>960626</v>
      </c>
      <c r="D40" s="1556" t="s">
        <v>1482</v>
      </c>
      <c r="E40" s="1497" t="s">
        <v>1483</v>
      </c>
      <c r="F40" s="1505">
        <f ca="1">INDIRECT("'数据-取费表'!I"&amp;$G$1)</f>
        <v>5.5E-2</v>
      </c>
      <c r="G40" s="1465"/>
      <c r="H40" s="1569"/>
      <c r="I40" s="1654"/>
      <c r="J40" s="1655"/>
      <c r="K40" s="1656"/>
      <c r="L40" s="1569"/>
      <c r="M40" s="1569"/>
    </row>
    <row r="41" spans="1:18" ht="18" customHeight="1">
      <c r="A41" s="1503"/>
      <c r="B41" s="1570"/>
      <c r="C41" s="1504"/>
      <c r="D41" s="1571" t="s">
        <v>1486</v>
      </c>
      <c r="E41" s="1497" t="s">
        <v>1487</v>
      </c>
      <c r="F41" s="1572">
        <f ca="1">IF(INDIRECT("'数据-取费表'!af"&amp;$G$1)=0,INDIRECT("'数据-取费表'!ae"&amp;$G$1),INDIRECT("'数据-取费表'!af"&amp;$G$1))</f>
        <v>24.33</v>
      </c>
      <c r="G41" s="1465"/>
      <c r="H41" s="560"/>
      <c r="I41" s="1654"/>
      <c r="J41" s="1655"/>
      <c r="K41" s="1661"/>
      <c r="L41" s="560"/>
      <c r="M41" s="560"/>
    </row>
    <row r="42" spans="1:18" ht="18" customHeight="1">
      <c r="A42" s="1510"/>
      <c r="B42" s="1573"/>
      <c r="C42" s="1523"/>
      <c r="D42" s="1560"/>
      <c r="E42" s="1497" t="s">
        <v>1490</v>
      </c>
      <c r="F42" s="1505">
        <f ca="1">INDIRECT("'数据-取费表'!v"&amp;$G$1)</f>
        <v>2.5000000000000001E-2</v>
      </c>
      <c r="G42" s="1465"/>
      <c r="H42" s="560"/>
      <c r="I42" s="1654"/>
      <c r="J42" s="1655"/>
      <c r="K42" s="1661"/>
      <c r="L42" s="560"/>
      <c r="M42" s="560"/>
    </row>
    <row r="43" spans="1:18" ht="18" customHeight="1">
      <c r="A43" s="1545" t="s">
        <v>1492</v>
      </c>
      <c r="B43" s="1574" t="s">
        <v>1498</v>
      </c>
      <c r="C43" s="1575">
        <f ca="1">ROUND(C40*10000/F43,0)</f>
        <v>16346</v>
      </c>
      <c r="D43" s="1576" t="s">
        <v>1499</v>
      </c>
      <c r="E43" s="1577" t="s">
        <v>1500</v>
      </c>
      <c r="F43" s="1578">
        <f ca="1">INDIRECT("'数据-取费表'!k"&amp;$G$1)</f>
        <v>587675.46</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79"/>
      <c r="B45" s="1579"/>
      <c r="C45" s="1580"/>
      <c r="D45" s="1579"/>
      <c r="E45" s="1579"/>
      <c r="F45" s="1579"/>
      <c r="J45" s="602"/>
      <c r="O45" s="1858" t="s">
        <v>1501</v>
      </c>
      <c r="P45" s="1569"/>
      <c r="Q45" s="1569"/>
      <c r="R45" s="1569"/>
    </row>
    <row r="46" spans="1:18" s="1465" customFormat="1">
      <c r="A46" s="1584" t="s">
        <v>1502</v>
      </c>
      <c r="C46" s="1585">
        <f ca="1">C68-C40</f>
        <v>-1022827</v>
      </c>
      <c r="D46" s="1586" t="str">
        <f>C2</f>
        <v>万元</v>
      </c>
      <c r="E46" s="1579"/>
      <c r="F46" s="1579"/>
      <c r="I46" s="1664" t="s">
        <v>1503</v>
      </c>
      <c r="J46" s="1665"/>
      <c r="K46" s="1666"/>
      <c r="L46" s="1667">
        <f ca="1">IF(M47="住宅",0,IF(L48&gt;J51,L60,J60))</f>
        <v>53051</v>
      </c>
      <c r="O46" s="1668" t="s">
        <v>1504</v>
      </c>
      <c r="P46" s="1669" t="s">
        <v>1505</v>
      </c>
      <c r="Q46" s="1711" t="s">
        <v>1506</v>
      </c>
      <c r="R46" s="1711" t="s">
        <v>1507</v>
      </c>
    </row>
    <row r="47" spans="1:18" s="1465" customFormat="1">
      <c r="A47" s="1587" t="s">
        <v>1407</v>
      </c>
      <c r="B47" s="1588" t="s">
        <v>1408</v>
      </c>
      <c r="C47" s="1853" t="s">
        <v>1409</v>
      </c>
      <c r="D47" s="1588" t="s">
        <v>1410</v>
      </c>
      <c r="E47" s="1589" t="s">
        <v>1411</v>
      </c>
      <c r="F47" s="564"/>
      <c r="G47" s="1590"/>
      <c r="I47" s="1670" t="s">
        <v>1508</v>
      </c>
      <c r="J47" s="1671" t="s">
        <v>1509</v>
      </c>
      <c r="K47" s="1672" t="s">
        <v>1510</v>
      </c>
      <c r="L47" s="1673">
        <f ca="1">INDIRECT("'数据-取费表'!d"&amp;$G$1)</f>
        <v>40</v>
      </c>
      <c r="M47" s="1674" t="str">
        <f>IF(ISNUMBER(FIND("住宅",C1)),"住宅","非住宅")</f>
        <v>非住宅</v>
      </c>
      <c r="O47" s="1675" t="s">
        <v>1044</v>
      </c>
      <c r="P47" s="1676" t="s">
        <v>1511</v>
      </c>
      <c r="Q47" s="1712">
        <f ca="1">C40+J29</f>
        <v>960626</v>
      </c>
      <c r="R47" s="1712" t="s">
        <v>1512</v>
      </c>
    </row>
    <row r="48" spans="1:18" s="1465" customFormat="1" ht="27.75">
      <c r="A48" s="1591" t="s">
        <v>1513</v>
      </c>
      <c r="B48" s="1489" t="s">
        <v>1412</v>
      </c>
      <c r="C48" s="572">
        <f ca="1">C49+C53+C55</f>
        <v>0</v>
      </c>
      <c r="D48" s="1592"/>
      <c r="E48" s="1593"/>
      <c r="F48" s="1594"/>
      <c r="G48" s="1590"/>
      <c r="H48" s="1595"/>
      <c r="I48" s="1677" t="s">
        <v>1514</v>
      </c>
      <c r="J48" s="1678" t="s">
        <v>1515</v>
      </c>
      <c r="K48" s="1679" t="s">
        <v>1516</v>
      </c>
      <c r="L48" s="1680">
        <f ca="1">INDIRECT("'数据-取费表'!f"&amp;$G$1)</f>
        <v>24.33</v>
      </c>
      <c r="O48" s="1675" t="s">
        <v>1048</v>
      </c>
      <c r="P48" s="1676" t="s">
        <v>1517</v>
      </c>
      <c r="Q48" s="1712">
        <f ca="1">J60</f>
        <v>53051</v>
      </c>
      <c r="R48" s="1712" t="s">
        <v>1518</v>
      </c>
    </row>
    <row r="49" spans="1:18" s="1465" customFormat="1">
      <c r="A49" s="1596" t="s">
        <v>1519</v>
      </c>
      <c r="B49" s="1597" t="s">
        <v>1520</v>
      </c>
      <c r="C49" s="1598">
        <f ca="1">ROUND(F49*F51*F50*(1-F52)/10000,0)</f>
        <v>0</v>
      </c>
      <c r="D49" s="1599" t="s">
        <v>1417</v>
      </c>
      <c r="E49" s="1600" t="s">
        <v>1521</v>
      </c>
      <c r="F49" s="1601"/>
      <c r="H49" s="1595"/>
      <c r="I49" s="1677" t="s">
        <v>1522</v>
      </c>
      <c r="J49" s="1681">
        <v>2014</v>
      </c>
      <c r="K49" s="1679" t="s">
        <v>1523</v>
      </c>
      <c r="L49" s="1682"/>
      <c r="O49" s="1683" t="s">
        <v>1524</v>
      </c>
      <c r="P49" s="1676" t="s">
        <v>1525</v>
      </c>
      <c r="Q49" s="1712">
        <f ca="1">C29</f>
        <v>749931</v>
      </c>
      <c r="R49" s="1712" t="s">
        <v>1512</v>
      </c>
    </row>
    <row r="50" spans="1:18" s="1465" customFormat="1">
      <c r="A50" s="1602"/>
      <c r="B50" s="534"/>
      <c r="C50" s="1854"/>
      <c r="D50" s="1604"/>
      <c r="E50" s="1605" t="s">
        <v>1418</v>
      </c>
      <c r="F50" s="1606">
        <f ca="1">F7</f>
        <v>286319.48000000004</v>
      </c>
      <c r="H50" s="1595"/>
      <c r="I50" s="1677" t="s">
        <v>1526</v>
      </c>
      <c r="J50" s="1684">
        <f>SUMPRODUCT((I63:I65=J47)*(J62:L62=J48)*(J63:L65))</f>
        <v>60</v>
      </c>
      <c r="K50" s="1679" t="s">
        <v>1527</v>
      </c>
      <c r="L50" s="1682"/>
      <c r="M50" s="1685"/>
      <c r="O50" s="1683" t="s">
        <v>1528</v>
      </c>
      <c r="P50" s="1676" t="s">
        <v>1529</v>
      </c>
      <c r="Q50" s="1713">
        <f ca="1">J58</f>
        <v>0.41099999999999998</v>
      </c>
      <c r="R50" s="1712"/>
    </row>
    <row r="51" spans="1:18" s="1465" customFormat="1">
      <c r="A51" s="1607"/>
      <c r="B51" s="534"/>
      <c r="C51" s="1603"/>
      <c r="D51" s="1604"/>
      <c r="E51" s="1608" t="s">
        <v>1419</v>
      </c>
      <c r="F51" s="1498">
        <f ca="1">F8</f>
        <v>365</v>
      </c>
      <c r="I51" s="1686" t="s">
        <v>1530</v>
      </c>
      <c r="J51" s="1680">
        <f>IF(J49="",J50,J49+J50-YEAR('数据-取费表'!B2))</f>
        <v>49</v>
      </c>
      <c r="K51" s="1687" t="s">
        <v>1531</v>
      </c>
      <c r="L51" s="1688">
        <f ca="1">ROUND(-PV(INDIRECT("'数据-取费表'!h"&amp;$G$1),J51,(C39-C13*C76),0),0)</f>
        <v>256088</v>
      </c>
      <c r="M51" s="1689"/>
      <c r="O51" s="1683" t="s">
        <v>1532</v>
      </c>
      <c r="P51" s="1676" t="s">
        <v>1533</v>
      </c>
      <c r="Q51" s="1713">
        <f>J52</f>
        <v>7.5000000000000011E-2</v>
      </c>
      <c r="R51" s="1712"/>
    </row>
    <row r="52" spans="1:18" s="1465" customFormat="1">
      <c r="A52" s="1607"/>
      <c r="B52" s="534"/>
      <c r="C52" s="1603"/>
      <c r="D52" s="1604"/>
      <c r="E52" s="1608" t="s">
        <v>1420</v>
      </c>
      <c r="F52" s="1609"/>
      <c r="I52" s="1690" t="s">
        <v>1534</v>
      </c>
      <c r="J52" s="1691">
        <f>'数据-取费表'!J6+0.005</f>
        <v>7.5000000000000011E-2</v>
      </c>
      <c r="K52" s="1690" t="s">
        <v>1535</v>
      </c>
      <c r="L52" s="1691"/>
      <c r="O52" s="1683" t="s">
        <v>1536</v>
      </c>
      <c r="P52" s="1676" t="s">
        <v>1537</v>
      </c>
      <c r="Q52" s="1712">
        <f ca="1">J53</f>
        <v>24.33</v>
      </c>
      <c r="R52" s="1712" t="s">
        <v>1538</v>
      </c>
    </row>
    <row r="53" spans="1:18" s="1465" customFormat="1" ht="24">
      <c r="A53" s="1855" t="s">
        <v>1539</v>
      </c>
      <c r="B53" s="1856" t="s">
        <v>1421</v>
      </c>
      <c r="C53" s="570">
        <f ca="1">ROUND(IF(F53="押一",C49/12*F11,IF(F53="押二",C49/12*2*F11,IF(F53="押三",C49/12*3*F11,C54*F11))),0)</f>
        <v>0</v>
      </c>
      <c r="D53" s="1507" t="s">
        <v>1422</v>
      </c>
      <c r="E53" s="1508" t="s">
        <v>1423</v>
      </c>
      <c r="F53" s="1509"/>
      <c r="I53" s="1692" t="s">
        <v>1540</v>
      </c>
      <c r="J53" s="1693">
        <f ca="1">IF(M47="住宅",IF(D1="——",MAX(J51,L48),MAX(J51,L48-'数据-取费表'!B24)),IF(D1="——",MIN(J51,L48),MIN(J51,L48-'数据-取费表'!B24)))</f>
        <v>24.33</v>
      </c>
      <c r="K53" s="3493" t="s">
        <v>1541</v>
      </c>
      <c r="L53" s="3494"/>
      <c r="O53" s="1675" t="s">
        <v>1149</v>
      </c>
      <c r="P53" s="1676" t="s">
        <v>1542</v>
      </c>
      <c r="Q53" s="1712">
        <f ca="1">Q47+Q48</f>
        <v>1013677</v>
      </c>
      <c r="R53" s="1712" t="s">
        <v>1543</v>
      </c>
    </row>
    <row r="54" spans="1:18" s="1465" customFormat="1">
      <c r="A54" s="1857"/>
      <c r="B54" s="1511" t="s">
        <v>1425</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5"/>
      <c r="K54" s="1695"/>
      <c r="L54" s="1695"/>
      <c r="O54" s="1663" t="s">
        <v>1544</v>
      </c>
      <c r="P54" s="1475"/>
      <c r="Q54" s="1475"/>
      <c r="R54" s="1475"/>
    </row>
    <row r="55" spans="1:18" s="1465" customFormat="1">
      <c r="A55" s="1515" t="s">
        <v>987</v>
      </c>
      <c r="B55" s="1516" t="s">
        <v>1427</v>
      </c>
      <c r="C55" s="1517"/>
      <c r="D55" s="1507"/>
      <c r="E55" s="1612"/>
      <c r="F55" s="1613"/>
      <c r="I55" s="1696" t="s">
        <v>1545</v>
      </c>
      <c r="J55" s="1697">
        <f ca="1">ROUND(IF(J47="钢混",J57/J50,1-(1-2%)*(J50-J57)/J50),3)</f>
        <v>0.41099999999999998</v>
      </c>
      <c r="K55" s="1698" t="s">
        <v>1546</v>
      </c>
      <c r="L55" s="1699"/>
      <c r="O55" s="1668" t="s">
        <v>1504</v>
      </c>
      <c r="P55" s="1669" t="s">
        <v>1505</v>
      </c>
      <c r="Q55" s="1711" t="s">
        <v>1506</v>
      </c>
      <c r="R55" s="1711" t="s">
        <v>1507</v>
      </c>
    </row>
    <row r="56" spans="1:18" s="1465" customFormat="1" ht="24">
      <c r="A56" s="1614">
        <v>2</v>
      </c>
      <c r="B56" s="1615" t="s">
        <v>1428</v>
      </c>
      <c r="C56" s="378">
        <f ca="1">C13</f>
        <v>614943</v>
      </c>
      <c r="D56" s="1616"/>
      <c r="E56" s="1617"/>
      <c r="F56" s="1613"/>
      <c r="I56" s="1700" t="s">
        <v>1547</v>
      </c>
      <c r="J56" s="1701" t="s">
        <v>1548</v>
      </c>
      <c r="K56" s="1677" t="s">
        <v>1549</v>
      </c>
      <c r="L56" s="1680" t="str">
        <f ca="1">IF(L48&lt;J51,"——",L48-J53)</f>
        <v>——</v>
      </c>
      <c r="O56" s="1675" t="s">
        <v>1044</v>
      </c>
      <c r="P56" s="1676" t="s">
        <v>1511</v>
      </c>
      <c r="Q56" s="1712">
        <f ca="1">C40+J29</f>
        <v>960626</v>
      </c>
      <c r="R56" s="1712" t="s">
        <v>1512</v>
      </c>
    </row>
    <row r="57" spans="1:18" s="1465" customFormat="1" ht="24">
      <c r="A57" s="1618"/>
      <c r="B57" s="1619" t="s">
        <v>1491</v>
      </c>
      <c r="C57" s="388">
        <f ca="1">C29</f>
        <v>749931</v>
      </c>
      <c r="D57" s="1620"/>
      <c r="E57" s="1621"/>
      <c r="F57" s="1622"/>
      <c r="I57" s="1702" t="s">
        <v>1550</v>
      </c>
      <c r="J57" s="1703">
        <f ca="1">IF(OR(M47="住宅",J51&lt;L48,J56="是"),"——",J51-L48)</f>
        <v>24.67</v>
      </c>
      <c r="K57" s="1677" t="s">
        <v>1551</v>
      </c>
      <c r="L57" s="1680" t="str">
        <f ca="1">IF(L48&lt;J51,"——",IF(L55="比较法",L49,IF(L55="基准地价",L50,L51)))</f>
        <v>——</v>
      </c>
      <c r="O57" s="1675" t="s">
        <v>1048</v>
      </c>
      <c r="P57" s="1676" t="s">
        <v>1552</v>
      </c>
      <c r="Q57" s="1712">
        <f ca="1">L60</f>
        <v>0</v>
      </c>
      <c r="R57" s="1712" t="s">
        <v>1553</v>
      </c>
    </row>
    <row r="58" spans="1:18" s="1465" customFormat="1" ht="24">
      <c r="A58" s="1623" t="s">
        <v>1436</v>
      </c>
      <c r="B58" s="1615" t="s">
        <v>1437</v>
      </c>
      <c r="C58" s="570">
        <f ca="1">ROUND(C59+C64+C65+C66,0)</f>
        <v>4698</v>
      </c>
      <c r="D58" s="1624" t="s">
        <v>1438</v>
      </c>
      <c r="E58" s="1625"/>
      <c r="F58" s="1594"/>
      <c r="I58" s="1702" t="s">
        <v>1554</v>
      </c>
      <c r="J58" s="1704">
        <f ca="1">IF(J55&lt;0.4,0.4,J55)</f>
        <v>0.41099999999999998</v>
      </c>
      <c r="K58" s="1687" t="s">
        <v>1555</v>
      </c>
      <c r="L58" s="1680" t="e">
        <f ca="1">ROUND(POWER(1+L52,L47-L48)*(POWER(1+L52,L48)-1)/(POWER(1+L52,L47)-1),4)</f>
        <v>#DIV/0!</v>
      </c>
      <c r="O58" s="1683" t="s">
        <v>1524</v>
      </c>
      <c r="P58" s="1676" t="s">
        <v>1556</v>
      </c>
      <c r="Q58" s="1712">
        <f>IF(L55="比较法",L49,IF(L55="基准地价",L50,0))</f>
        <v>0</v>
      </c>
      <c r="R58" s="1712" t="s">
        <v>1512</v>
      </c>
    </row>
    <row r="59" spans="1:18" s="1465" customFormat="1" ht="24">
      <c r="A59" s="1526" t="s">
        <v>938</v>
      </c>
      <c r="B59" s="1619" t="s">
        <v>1443</v>
      </c>
      <c r="C59" s="1549">
        <f ca="1">ROUND(IF(AND(项目基本情况!B11="自然人",项目基本情况!B10="北京市"),C49*F59/(1+'数据-取费表'!C42),C60+C61+C62),0)</f>
        <v>26</v>
      </c>
      <c r="D59" s="1626" t="s">
        <v>1444</v>
      </c>
      <c r="E59" s="1627" t="s">
        <v>1445</v>
      </c>
      <c r="F59" s="1551" t="str">
        <f>IF(项目基本情况!B11="企业","——",IF('数据-取费表'!B10="住宅",IF(F49*F50*F51/12/(1+'数据-取费表'!F30)&gt;100000,4%,2.5%),IF(F49*F50*F51/12/(1+'数据-取费表'!F30)&gt;100000,12%,7%)))</f>
        <v>——</v>
      </c>
      <c r="I59" s="1702" t="s">
        <v>1557</v>
      </c>
      <c r="J59" s="1703">
        <f ca="1">IF(OR(M47="住宅",J51&lt;L48,J56="是"),"——",ROUND(C29*J58,0))</f>
        <v>308222</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1528</v>
      </c>
      <c r="P59" s="1676" t="s">
        <v>1558</v>
      </c>
      <c r="Q59" s="1713">
        <f>L52</f>
        <v>0</v>
      </c>
      <c r="R59" s="1712"/>
    </row>
    <row r="60" spans="1:18" s="1465" customFormat="1" ht="15.75">
      <c r="A60" s="1526" t="s">
        <v>961</v>
      </c>
      <c r="B60" s="1619" t="s">
        <v>1447</v>
      </c>
      <c r="C60" s="571">
        <f ca="1">IF(项目基本情况!B11="自然人","——",ROUND(C48*F60/(1+'数据-取费表'!C42),2))</f>
        <v>0</v>
      </c>
      <c r="D60" s="1627" t="s">
        <v>1448</v>
      </c>
      <c r="E60" s="1619" t="s">
        <v>1435</v>
      </c>
      <c r="F60" s="1541">
        <f t="shared" ref="F60:F66" si="0">F32</f>
        <v>5.5000000000000007E-2</v>
      </c>
      <c r="I60" s="1705" t="s">
        <v>1559</v>
      </c>
      <c r="J60" s="1706">
        <f ca="1">IF(OR(M47="住宅",J51&lt;L48,J56="是"),"0",ROUND(J59/(1+J52)^J53,0))</f>
        <v>53051</v>
      </c>
      <c r="K60" s="1707" t="s">
        <v>1560</v>
      </c>
      <c r="L60" s="1706">
        <f ca="1">IF(OR(M47="住宅",L48&lt;J51),0,ROUND(L57*(L58/L59-1),0))</f>
        <v>0</v>
      </c>
      <c r="O60" s="1683" t="s">
        <v>1532</v>
      </c>
      <c r="P60" s="1676" t="s">
        <v>1561</v>
      </c>
      <c r="Q60" s="1712" t="e">
        <f ca="1">L58</f>
        <v>#DIV/0!</v>
      </c>
      <c r="R60" s="1712" t="s">
        <v>1562</v>
      </c>
    </row>
    <row r="61" spans="1:18" s="1465" customFormat="1">
      <c r="A61" s="1526" t="s">
        <v>965</v>
      </c>
      <c r="B61" s="1619" t="s">
        <v>1451</v>
      </c>
      <c r="C61" s="571">
        <f ca="1">IF(项目基本情况!B11="自然人","——",IF(D61="按租金收入计税",ROUND(C49*F61/(1+'数据-取费表'!C42),2),IF(D61="按房产原值计税",ROUND(C57*F61*0.7,2),INDIRECT("'数据-取费表'!Aj"&amp;$G$1))))</f>
        <v>0</v>
      </c>
      <c r="D61" s="1553" t="s">
        <v>1452</v>
      </c>
      <c r="E61" s="1619" t="s">
        <v>1435</v>
      </c>
      <c r="F61" s="1535">
        <f t="shared" si="0"/>
        <v>0.12</v>
      </c>
      <c r="I61" s="1569"/>
      <c r="J61" s="1569"/>
      <c r="K61" s="1569"/>
      <c r="L61" s="1569"/>
      <c r="O61" s="1683" t="s">
        <v>1536</v>
      </c>
      <c r="P61" s="1676" t="str">
        <f>K59</f>
        <v>建筑物剩余耐用年限下的土地年期修正系数Kn</v>
      </c>
      <c r="Q61" s="1712" t="e">
        <f ca="1">L59</f>
        <v>#DIV/0!</v>
      </c>
      <c r="R61" s="1712" t="s">
        <v>1563</v>
      </c>
    </row>
    <row r="62" spans="1:18" s="1465" customFormat="1">
      <c r="A62" s="1526" t="s">
        <v>968</v>
      </c>
      <c r="B62" s="1628" t="s">
        <v>1455</v>
      </c>
      <c r="C62" s="1555">
        <f ca="1">IF(项目基本情况!B11="自然人","——",ROUND(F62*F63/10000,2))</f>
        <v>26.25</v>
      </c>
      <c r="D62" s="1629" t="s">
        <v>1456</v>
      </c>
      <c r="E62" s="1619" t="s">
        <v>1457</v>
      </c>
      <c r="F62" s="1540">
        <f t="shared" si="0"/>
        <v>1.5</v>
      </c>
      <c r="I62" s="1708" t="s">
        <v>1564</v>
      </c>
      <c r="J62" s="768" t="s">
        <v>1565</v>
      </c>
      <c r="K62" s="768" t="s">
        <v>1566</v>
      </c>
      <c r="L62" s="768" t="s">
        <v>1567</v>
      </c>
      <c r="M62" s="1709" t="s">
        <v>1568</v>
      </c>
      <c r="O62" s="1675" t="s">
        <v>1149</v>
      </c>
      <c r="P62" s="1676" t="s">
        <v>1542</v>
      </c>
      <c r="Q62" s="1712">
        <f ca="1">Q56+Q57</f>
        <v>960626</v>
      </c>
      <c r="R62" s="1712" t="s">
        <v>1543</v>
      </c>
    </row>
    <row r="63" spans="1:18" s="1465" customFormat="1">
      <c r="A63" s="1539"/>
      <c r="B63" s="1630"/>
      <c r="C63" s="1559"/>
      <c r="D63" s="1631"/>
      <c r="E63" s="1619" t="s">
        <v>1461</v>
      </c>
      <c r="F63" s="1498">
        <f t="shared" ca="1" si="0"/>
        <v>175003.3</v>
      </c>
      <c r="I63" s="1708" t="s">
        <v>1569</v>
      </c>
      <c r="J63" s="768">
        <v>70</v>
      </c>
      <c r="K63" s="768">
        <v>50</v>
      </c>
      <c r="L63" s="768">
        <v>80</v>
      </c>
      <c r="M63" s="1710">
        <v>0.02</v>
      </c>
      <c r="O63" s="1663" t="s">
        <v>1570</v>
      </c>
      <c r="P63" s="1475"/>
      <c r="Q63" s="1475"/>
      <c r="R63" s="1475"/>
    </row>
    <row r="64" spans="1:18" s="1465" customFormat="1">
      <c r="A64" s="1526" t="s">
        <v>942</v>
      </c>
      <c r="B64" s="1619" t="s">
        <v>1463</v>
      </c>
      <c r="C64" s="571">
        <f ca="1">ROUND(C57*F64,2)</f>
        <v>3749.66</v>
      </c>
      <c r="D64" s="1627" t="s">
        <v>1496</v>
      </c>
      <c r="E64" s="1619" t="s">
        <v>1435</v>
      </c>
      <c r="F64" s="1562">
        <f t="shared" ca="1" si="0"/>
        <v>5.0000000000000001E-3</v>
      </c>
      <c r="I64" s="1708" t="s">
        <v>1571</v>
      </c>
      <c r="J64" s="768">
        <v>50</v>
      </c>
      <c r="K64" s="768">
        <v>35</v>
      </c>
      <c r="L64" s="768">
        <v>60</v>
      </c>
      <c r="M64" s="1709">
        <v>0</v>
      </c>
      <c r="O64" s="1668" t="s">
        <v>1504</v>
      </c>
      <c r="P64" s="1669" t="s">
        <v>1505</v>
      </c>
      <c r="Q64" s="1711" t="s">
        <v>1506</v>
      </c>
      <c r="R64" s="1711" t="s">
        <v>1507</v>
      </c>
    </row>
    <row r="65" spans="1:18" s="1465" customFormat="1">
      <c r="A65" s="1526" t="s">
        <v>987</v>
      </c>
      <c r="B65" s="1619" t="s">
        <v>1467</v>
      </c>
      <c r="C65" s="571">
        <f ca="1">ROUND(C56*F65,2)</f>
        <v>922.41</v>
      </c>
      <c r="D65" s="1627" t="s">
        <v>1468</v>
      </c>
      <c r="E65" s="1619" t="s">
        <v>1435</v>
      </c>
      <c r="F65" s="1563">
        <f t="shared" ca="1" si="0"/>
        <v>1.5E-3</v>
      </c>
      <c r="I65" s="1708" t="s">
        <v>1572</v>
      </c>
      <c r="J65" s="768">
        <v>40</v>
      </c>
      <c r="K65" s="768">
        <v>30</v>
      </c>
      <c r="L65" s="768">
        <v>50</v>
      </c>
      <c r="M65" s="1710">
        <v>0.02</v>
      </c>
      <c r="O65" s="1675" t="s">
        <v>1044</v>
      </c>
      <c r="P65" s="1676" t="s">
        <v>1511</v>
      </c>
      <c r="Q65" s="1712">
        <f ca="1">C40+J29</f>
        <v>960626</v>
      </c>
      <c r="R65" s="1712" t="s">
        <v>1512</v>
      </c>
    </row>
    <row r="66" spans="1:18" s="1465" customFormat="1" ht="15.75">
      <c r="A66" s="1526" t="s">
        <v>990</v>
      </c>
      <c r="B66" s="1619" t="s">
        <v>1453</v>
      </c>
      <c r="C66" s="571">
        <f ca="1">ROUND(C48*F66,2)</f>
        <v>0</v>
      </c>
      <c r="D66" s="1627" t="s">
        <v>1471</v>
      </c>
      <c r="E66" s="1619" t="s">
        <v>1435</v>
      </c>
      <c r="F66" s="1505">
        <f t="shared" ca="1" si="0"/>
        <v>1.4999999999999999E-2</v>
      </c>
      <c r="O66" s="1675" t="s">
        <v>1048</v>
      </c>
      <c r="P66" s="1676" t="s">
        <v>1552</v>
      </c>
      <c r="Q66" s="1712">
        <f ca="1">L60</f>
        <v>0</v>
      </c>
      <c r="R66" s="1712" t="s">
        <v>1553</v>
      </c>
    </row>
    <row r="67" spans="1:18" s="1465" customFormat="1" ht="15.75">
      <c r="A67" s="1614" t="s">
        <v>1474</v>
      </c>
      <c r="B67" s="1714" t="s">
        <v>1475</v>
      </c>
      <c r="C67" s="570">
        <f ca="1">C48-C58</f>
        <v>-4698</v>
      </c>
      <c r="D67" s="1626" t="s">
        <v>1476</v>
      </c>
      <c r="E67" s="1715"/>
      <c r="F67" s="1716"/>
      <c r="O67" s="1683" t="s">
        <v>1524</v>
      </c>
      <c r="P67" s="1676" t="s">
        <v>1556</v>
      </c>
      <c r="Q67" s="1737">
        <f ca="1">L51</f>
        <v>256088</v>
      </c>
      <c r="R67" s="1712" t="s">
        <v>1573</v>
      </c>
    </row>
    <row r="68" spans="1:18" s="1465" customFormat="1" ht="15.75">
      <c r="A68" s="1717" t="s">
        <v>1480</v>
      </c>
      <c r="B68" s="1718" t="s">
        <v>1497</v>
      </c>
      <c r="C68" s="1568">
        <f ca="1">ROUND(C67*(1-((1+F70)/(1+F68))^F69)/(F68-F70),0)</f>
        <v>-62201</v>
      </c>
      <c r="D68" s="1629" t="s">
        <v>1482</v>
      </c>
      <c r="E68" s="1619" t="s">
        <v>1483</v>
      </c>
      <c r="F68" s="1505">
        <f ca="1">F40</f>
        <v>5.5E-2</v>
      </c>
      <c r="O68" s="1683" t="s">
        <v>1528</v>
      </c>
      <c r="P68" s="1736" t="s">
        <v>1574</v>
      </c>
      <c r="Q68" s="1712">
        <f ca="1">ROUND(Q69-Q70*Q71,0)</f>
        <v>14095</v>
      </c>
      <c r="R68" s="1712" t="s">
        <v>1575</v>
      </c>
    </row>
    <row r="69" spans="1:18" s="1465" customFormat="1">
      <c r="A69" s="1719"/>
      <c r="B69" s="1720"/>
      <c r="C69" s="1504"/>
      <c r="D69" s="1721" t="s">
        <v>1486</v>
      </c>
      <c r="E69" s="1619" t="s">
        <v>1487</v>
      </c>
      <c r="F69" s="1572">
        <f ca="1">F41</f>
        <v>24.33</v>
      </c>
      <c r="O69" s="1683" t="s">
        <v>1576</v>
      </c>
      <c r="P69" s="1736" t="s">
        <v>1577</v>
      </c>
      <c r="Q69" s="1712">
        <f ca="1">C39</f>
        <v>57141</v>
      </c>
      <c r="R69" s="1712" t="s">
        <v>1512</v>
      </c>
    </row>
    <row r="70" spans="1:18" s="1465" customFormat="1">
      <c r="A70" s="1722"/>
      <c r="B70" s="1723"/>
      <c r="C70" s="1523"/>
      <c r="D70" s="1631"/>
      <c r="E70" s="1619" t="s">
        <v>1490</v>
      </c>
      <c r="F70" s="1609"/>
      <c r="O70" s="1683" t="s">
        <v>1578</v>
      </c>
      <c r="P70" s="1736" t="s">
        <v>1579</v>
      </c>
      <c r="Q70" s="1712">
        <f ca="1">C13</f>
        <v>614943</v>
      </c>
      <c r="R70" s="1712" t="s">
        <v>1512</v>
      </c>
    </row>
    <row r="71" spans="1:18" s="1465" customFormat="1">
      <c r="A71" s="1724" t="s">
        <v>1492</v>
      </c>
      <c r="B71" s="1725" t="s">
        <v>1498</v>
      </c>
      <c r="C71" s="1575">
        <f ca="1">ROUND(C68*10000/F71,0)</f>
        <v>-1058</v>
      </c>
      <c r="D71" s="1726" t="s">
        <v>1499</v>
      </c>
      <c r="E71" s="1727" t="s">
        <v>1500</v>
      </c>
      <c r="F71" s="1578">
        <f ca="1">F43</f>
        <v>587675.46</v>
      </c>
      <c r="O71" s="1683" t="s">
        <v>1580</v>
      </c>
      <c r="P71" s="1736" t="s">
        <v>1581</v>
      </c>
      <c r="Q71" s="1713">
        <f ca="1">C76</f>
        <v>7.0000000000000007E-2</v>
      </c>
      <c r="R71" s="1712"/>
    </row>
    <row r="72" spans="1:18" s="1465" customFormat="1">
      <c r="B72" s="602"/>
      <c r="C72" s="602"/>
      <c r="O72" s="1683" t="s">
        <v>1532</v>
      </c>
      <c r="P72" s="1676" t="s">
        <v>1558</v>
      </c>
      <c r="Q72" s="1713">
        <f>L52</f>
        <v>0</v>
      </c>
      <c r="R72" s="1712"/>
    </row>
    <row r="73" spans="1:18" ht="15.75">
      <c r="A73" s="1465"/>
      <c r="B73" s="602"/>
      <c r="C73" s="602"/>
      <c r="D73" s="1465"/>
      <c r="E73" s="1465"/>
      <c r="F73" s="1465"/>
      <c r="O73" s="1683" t="s">
        <v>1536</v>
      </c>
      <c r="P73" s="1676" t="s">
        <v>1561</v>
      </c>
      <c r="Q73" s="1712" t="e">
        <f ca="1">L58</f>
        <v>#DIV/0!</v>
      </c>
      <c r="R73" s="1712" t="s">
        <v>1562</v>
      </c>
    </row>
    <row r="74" spans="1:18">
      <c r="A74" s="1465"/>
      <c r="B74" s="420" t="s">
        <v>1582</v>
      </c>
      <c r="C74" s="1728"/>
      <c r="D74" s="1465"/>
      <c r="E74" s="1465"/>
      <c r="F74" s="1465"/>
      <c r="O74" s="1683" t="s">
        <v>1583</v>
      </c>
      <c r="P74" s="1676" t="str">
        <f>K59</f>
        <v>建筑物剩余耐用年限下的土地年期修正系数Kn</v>
      </c>
      <c r="Q74" s="1712" t="e">
        <f ca="1">L59</f>
        <v>#DIV/0!</v>
      </c>
      <c r="R74" s="1712" t="s">
        <v>1563</v>
      </c>
    </row>
    <row r="75" spans="1:18">
      <c r="A75" s="1465"/>
      <c r="B75" s="1729" t="s">
        <v>1584</v>
      </c>
      <c r="C75" s="1730">
        <f ca="1">ROUND(C13*C76,0)</f>
        <v>43046</v>
      </c>
      <c r="D75" s="1465"/>
      <c r="E75" s="1465"/>
      <c r="F75" s="1465"/>
      <c r="K75" s="1662"/>
      <c r="L75" s="1465"/>
      <c r="O75" s="1675" t="s">
        <v>1149</v>
      </c>
      <c r="P75" s="1676" t="s">
        <v>1542</v>
      </c>
      <c r="Q75" s="1712">
        <f ca="1">Q65+Q66</f>
        <v>960626</v>
      </c>
      <c r="R75" s="1712" t="s">
        <v>1543</v>
      </c>
    </row>
    <row r="76" spans="1:18">
      <c r="B76" s="1731" t="s">
        <v>1585</v>
      </c>
      <c r="C76" s="1732">
        <f ca="1">INDIRECT("'数据-取费表'!j"&amp;$G$1)</f>
        <v>7.0000000000000007E-2</v>
      </c>
      <c r="I76" s="1465"/>
      <c r="J76" s="1465"/>
      <c r="K76" s="1662"/>
      <c r="L76" s="1465"/>
    </row>
    <row r="77" spans="1:18">
      <c r="B77" s="1733" t="s">
        <v>1586</v>
      </c>
      <c r="C77" s="1734"/>
      <c r="I77" s="1465"/>
      <c r="J77" s="1465"/>
      <c r="K77" s="1662"/>
      <c r="L77" s="1465"/>
    </row>
    <row r="78" spans="1:18">
      <c r="B78" s="418" t="s">
        <v>1587</v>
      </c>
      <c r="C78" s="1735"/>
    </row>
    <row r="79" spans="1:18">
      <c r="B79" s="1729" t="s">
        <v>1588</v>
      </c>
      <c r="C79" s="421">
        <f ca="1">1-C80</f>
        <v>0.247</v>
      </c>
    </row>
    <row r="80" spans="1:18">
      <c r="B80" s="1729" t="s">
        <v>1589</v>
      </c>
      <c r="C80" s="421">
        <f ca="1">ROUND(C75/C39,3)</f>
        <v>0.753</v>
      </c>
    </row>
    <row r="81" spans="2:3">
      <c r="B81" s="418" t="s">
        <v>1590</v>
      </c>
      <c r="C81" s="388"/>
    </row>
    <row r="82" spans="2:3">
      <c r="B82" s="420" t="s">
        <v>1125</v>
      </c>
      <c r="C82" s="422">
        <f ca="1">1-C83</f>
        <v>0.36</v>
      </c>
    </row>
    <row r="83" spans="2:3">
      <c r="B83" s="420" t="s">
        <v>1126</v>
      </c>
      <c r="C83" s="421">
        <f ca="1">ROUND(C13/C40,3)</f>
        <v>0.64</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VN471"/>
  <sheetViews>
    <sheetView zoomScale="90" zoomScaleNormal="90" workbookViewId="0">
      <pane xSplit="8" ySplit="3" topLeftCell="BB454" activePane="bottomRight" state="frozen"/>
      <selection pane="topRight"/>
      <selection pane="bottomLeft"/>
      <selection pane="bottomRight" activeCell="BG469" sqref="BG469"/>
    </sheetView>
  </sheetViews>
  <sheetFormatPr defaultColWidth="7.875" defaultRowHeight="30" customHeight="1"/>
  <cols>
    <col min="1" max="1" width="9" style="1739" customWidth="1"/>
    <col min="2" max="2" width="13.125" style="1740" customWidth="1"/>
    <col min="3" max="3" width="27.75" style="1741" customWidth="1"/>
    <col min="4" max="4" width="10.25" style="1741" customWidth="1"/>
    <col min="5" max="5" width="15.75" style="1741" customWidth="1"/>
    <col min="6" max="6" width="11.5" style="1741" hidden="1" customWidth="1"/>
    <col min="7" max="7" width="12.625" style="1739" customWidth="1"/>
    <col min="8" max="8" width="10.5" style="1739" customWidth="1"/>
    <col min="9" max="9" width="10.125" style="1739" customWidth="1"/>
    <col min="10" max="12" width="9.75" style="1739" customWidth="1"/>
    <col min="13" max="13" width="14.125" style="1739" customWidth="1"/>
    <col min="14" max="14" width="13.875" style="1739" customWidth="1"/>
    <col min="15" max="15" width="13.875" style="1742" customWidth="1"/>
    <col min="16" max="16" width="10.375" style="1739" customWidth="1"/>
    <col min="17" max="17" width="12.25" style="1739" customWidth="1"/>
    <col min="18" max="18" width="15.875" style="1739" customWidth="1"/>
    <col min="19" max="19" width="11.125" style="1739" customWidth="1"/>
    <col min="20" max="20" width="12.875" style="1739" customWidth="1"/>
    <col min="21" max="21" width="9.5" style="1739" customWidth="1"/>
    <col min="22" max="22" width="18.75" style="1739" customWidth="1"/>
    <col min="23" max="23" width="15.875" style="1739" customWidth="1"/>
    <col min="24" max="30" width="19.125" style="1743" customWidth="1"/>
    <col min="31" max="32" width="15.25" style="1743" customWidth="1"/>
    <col min="33" max="33" width="14.25" style="1741" customWidth="1"/>
    <col min="34" max="39" width="9.25" style="1741" customWidth="1"/>
    <col min="40" max="41" width="14.25" style="1741" customWidth="1"/>
    <col min="42" max="43" width="11" style="1744" customWidth="1"/>
    <col min="44" max="44" width="11.25" style="1745" customWidth="1"/>
    <col min="45" max="45" width="10" style="1745" customWidth="1"/>
    <col min="46" max="46" width="9.25" style="1745" customWidth="1"/>
    <col min="47" max="50" width="9.375" style="1745" customWidth="1"/>
    <col min="51" max="51" width="7.875" style="1739"/>
    <col min="52" max="52" width="10.375" style="1746" customWidth="1"/>
    <col min="53" max="53" width="11" style="1747" customWidth="1"/>
    <col min="54" max="54" width="12.5" style="1747" customWidth="1"/>
    <col min="55" max="55" width="10.375" style="1747" customWidth="1"/>
    <col min="56" max="56" width="11" style="1747" customWidth="1"/>
    <col min="57" max="57" width="10.875" style="1747" customWidth="1"/>
    <col min="58" max="58" width="11.5" style="1739" customWidth="1"/>
    <col min="59" max="65" width="11.875" style="1739" customWidth="1"/>
    <col min="66" max="66" width="7.875" style="1739"/>
    <col min="67" max="68" width="9.75" style="1739" customWidth="1"/>
    <col min="69" max="69" width="7.875" style="1739"/>
    <col min="70" max="71" width="10.5" style="1739" customWidth="1"/>
    <col min="72" max="72" width="7.875" style="1739"/>
    <col min="73" max="74" width="10.5" style="1739" customWidth="1"/>
    <col min="75" max="75" width="7.875" style="1739"/>
    <col min="76" max="77" width="10.5" style="1739" customWidth="1"/>
    <col min="78" max="78" width="7.875" style="1739"/>
    <col min="79" max="80" width="10.5" style="1739" customWidth="1"/>
    <col min="81" max="256" width="7.875" style="1739"/>
    <col min="257" max="257" width="9" style="1739" customWidth="1"/>
    <col min="258" max="258" width="13.125" style="1739" customWidth="1"/>
    <col min="259" max="259" width="27.75" style="1739" customWidth="1"/>
    <col min="260" max="260" width="10.25" style="1739" customWidth="1"/>
    <col min="261" max="261" width="15.75" style="1739" customWidth="1"/>
    <col min="262" max="262" width="7.875" style="1739" hidden="1" customWidth="1"/>
    <col min="263" max="263" width="12.625" style="1739" customWidth="1"/>
    <col min="264" max="264" width="10.5" style="1739" customWidth="1"/>
    <col min="265" max="265" width="10.125" style="1739" customWidth="1"/>
    <col min="266" max="268" width="9.75" style="1739" customWidth="1"/>
    <col min="269" max="269" width="12.25" style="1739" customWidth="1"/>
    <col min="270" max="271" width="13.875" style="1739" customWidth="1"/>
    <col min="272" max="272" width="10.375" style="1739" customWidth="1"/>
    <col min="273" max="273" width="10" style="1739" customWidth="1"/>
    <col min="274" max="274" width="15.875" style="1739" customWidth="1"/>
    <col min="275" max="275" width="11.125" style="1739" customWidth="1"/>
    <col min="276" max="276" width="12.875" style="1739" customWidth="1"/>
    <col min="277" max="277" width="9.5" style="1739" customWidth="1"/>
    <col min="278" max="278" width="18.75" style="1739" customWidth="1"/>
    <col min="279" max="279" width="15.875" style="1739" customWidth="1"/>
    <col min="280" max="286" width="19.125" style="1739" customWidth="1"/>
    <col min="287" max="288" width="15.25" style="1739" customWidth="1"/>
    <col min="289" max="289" width="14.25" style="1739" customWidth="1"/>
    <col min="290" max="295" width="9.25" style="1739" customWidth="1"/>
    <col min="296" max="297" width="14.25" style="1739" customWidth="1"/>
    <col min="298" max="299" width="11" style="1739" customWidth="1"/>
    <col min="300" max="300" width="11.25" style="1739" customWidth="1"/>
    <col min="301" max="301" width="10" style="1739" customWidth="1"/>
    <col min="302" max="302" width="9.25" style="1739" customWidth="1"/>
    <col min="303" max="306" width="9.375" style="1739" customWidth="1"/>
    <col min="307" max="307" width="7.875" style="1739"/>
    <col min="308" max="308" width="10.375" style="1739" customWidth="1"/>
    <col min="309" max="309" width="11" style="1739" customWidth="1"/>
    <col min="310" max="310" width="12.5" style="1739" customWidth="1"/>
    <col min="311" max="311" width="10.375" style="1739" customWidth="1"/>
    <col min="312" max="312" width="11" style="1739" customWidth="1"/>
    <col min="313" max="313" width="10.875" style="1739" customWidth="1"/>
    <col min="314" max="314" width="11.5" style="1739" customWidth="1"/>
    <col min="315" max="321" width="11.875" style="1739" customWidth="1"/>
    <col min="322" max="322" width="7.875" style="1739"/>
    <col min="323" max="324" width="9.75" style="1739" customWidth="1"/>
    <col min="325" max="325" width="7.875" style="1739"/>
    <col min="326" max="327" width="10.5" style="1739" customWidth="1"/>
    <col min="328" max="328" width="7.875" style="1739"/>
    <col min="329" max="330" width="10.5" style="1739" customWidth="1"/>
    <col min="331" max="331" width="7.875" style="1739"/>
    <col min="332" max="333" width="10.5" style="1739" customWidth="1"/>
    <col min="334" max="334" width="7.875" style="1739"/>
    <col min="335" max="336" width="10.5" style="1739" customWidth="1"/>
    <col min="337" max="512" width="7.875" style="1739"/>
    <col min="513" max="513" width="9" style="1739" customWidth="1"/>
    <col min="514" max="514" width="13.125" style="1739" customWidth="1"/>
    <col min="515" max="515" width="27.75" style="1739" customWidth="1"/>
    <col min="516" max="516" width="10.25" style="1739" customWidth="1"/>
    <col min="517" max="517" width="15.75" style="1739" customWidth="1"/>
    <col min="518" max="518" width="7.875" style="1739" hidden="1" customWidth="1"/>
    <col min="519" max="519" width="12.625" style="1739" customWidth="1"/>
    <col min="520" max="520" width="10.5" style="1739" customWidth="1"/>
    <col min="521" max="521" width="10.125" style="1739" customWidth="1"/>
    <col min="522" max="524" width="9.75" style="1739" customWidth="1"/>
    <col min="525" max="525" width="12.25" style="1739" customWidth="1"/>
    <col min="526" max="527" width="13.875" style="1739" customWidth="1"/>
    <col min="528" max="528" width="10.375" style="1739" customWidth="1"/>
    <col min="529" max="529" width="10" style="1739" customWidth="1"/>
    <col min="530" max="530" width="15.875" style="1739" customWidth="1"/>
    <col min="531" max="531" width="11.125" style="1739" customWidth="1"/>
    <col min="532" max="532" width="12.875" style="1739" customWidth="1"/>
    <col min="533" max="533" width="9.5" style="1739" customWidth="1"/>
    <col min="534" max="534" width="18.75" style="1739" customWidth="1"/>
    <col min="535" max="535" width="15.875" style="1739" customWidth="1"/>
    <col min="536" max="542" width="19.125" style="1739" customWidth="1"/>
    <col min="543" max="544" width="15.25" style="1739" customWidth="1"/>
    <col min="545" max="545" width="14.25" style="1739" customWidth="1"/>
    <col min="546" max="551" width="9.25" style="1739" customWidth="1"/>
    <col min="552" max="553" width="14.25" style="1739" customWidth="1"/>
    <col min="554" max="555" width="11" style="1739" customWidth="1"/>
    <col min="556" max="556" width="11.25" style="1739" customWidth="1"/>
    <col min="557" max="557" width="10" style="1739" customWidth="1"/>
    <col min="558" max="558" width="9.25" style="1739" customWidth="1"/>
    <col min="559" max="562" width="9.375" style="1739" customWidth="1"/>
    <col min="563" max="563" width="7.875" style="1739"/>
    <col min="564" max="564" width="10.375" style="1739" customWidth="1"/>
    <col min="565" max="565" width="11" style="1739" customWidth="1"/>
    <col min="566" max="566" width="12.5" style="1739" customWidth="1"/>
    <col min="567" max="567" width="10.375" style="1739" customWidth="1"/>
    <col min="568" max="568" width="11" style="1739" customWidth="1"/>
    <col min="569" max="569" width="10.875" style="1739" customWidth="1"/>
    <col min="570" max="570" width="11.5" style="1739" customWidth="1"/>
    <col min="571" max="577" width="11.875" style="1739" customWidth="1"/>
    <col min="578" max="578" width="7.875" style="1739"/>
    <col min="579" max="580" width="9.75" style="1739" customWidth="1"/>
    <col min="581" max="581" width="7.875" style="1739"/>
    <col min="582" max="583" width="10.5" style="1739" customWidth="1"/>
    <col min="584" max="584" width="7.875" style="1739"/>
    <col min="585" max="586" width="10.5" style="1739" customWidth="1"/>
    <col min="587" max="587" width="7.875" style="1739"/>
    <col min="588" max="589" width="10.5" style="1739" customWidth="1"/>
    <col min="590" max="590" width="7.875" style="1739"/>
    <col min="591" max="592" width="10.5" style="1739" customWidth="1"/>
    <col min="593" max="768" width="7.875" style="1739"/>
    <col min="769" max="769" width="9" style="1739" customWidth="1"/>
    <col min="770" max="770" width="13.125" style="1739" customWidth="1"/>
    <col min="771" max="771" width="27.75" style="1739" customWidth="1"/>
    <col min="772" max="772" width="10.25" style="1739" customWidth="1"/>
    <col min="773" max="773" width="15.75" style="1739" customWidth="1"/>
    <col min="774" max="774" width="7.875" style="1739" hidden="1" customWidth="1"/>
    <col min="775" max="775" width="12.625" style="1739" customWidth="1"/>
    <col min="776" max="776" width="10.5" style="1739" customWidth="1"/>
    <col min="777" max="777" width="10.125" style="1739" customWidth="1"/>
    <col min="778" max="780" width="9.75" style="1739" customWidth="1"/>
    <col min="781" max="781" width="12.25" style="1739" customWidth="1"/>
    <col min="782" max="783" width="13.875" style="1739" customWidth="1"/>
    <col min="784" max="784" width="10.375" style="1739" customWidth="1"/>
    <col min="785" max="785" width="10" style="1739" customWidth="1"/>
    <col min="786" max="786" width="15.875" style="1739" customWidth="1"/>
    <col min="787" max="787" width="11.125" style="1739" customWidth="1"/>
    <col min="788" max="788" width="12.875" style="1739" customWidth="1"/>
    <col min="789" max="789" width="9.5" style="1739" customWidth="1"/>
    <col min="790" max="790" width="18.75" style="1739" customWidth="1"/>
    <col min="791" max="791" width="15.875" style="1739" customWidth="1"/>
    <col min="792" max="798" width="19.125" style="1739" customWidth="1"/>
    <col min="799" max="800" width="15.25" style="1739" customWidth="1"/>
    <col min="801" max="801" width="14.25" style="1739" customWidth="1"/>
    <col min="802" max="807" width="9.25" style="1739" customWidth="1"/>
    <col min="808" max="809" width="14.25" style="1739" customWidth="1"/>
    <col min="810" max="811" width="11" style="1739" customWidth="1"/>
    <col min="812" max="812" width="11.25" style="1739" customWidth="1"/>
    <col min="813" max="813" width="10" style="1739" customWidth="1"/>
    <col min="814" max="814" width="9.25" style="1739" customWidth="1"/>
    <col min="815" max="818" width="9.375" style="1739" customWidth="1"/>
    <col min="819" max="819" width="7.875" style="1739"/>
    <col min="820" max="820" width="10.375" style="1739" customWidth="1"/>
    <col min="821" max="821" width="11" style="1739" customWidth="1"/>
    <col min="822" max="822" width="12.5" style="1739" customWidth="1"/>
    <col min="823" max="823" width="10.375" style="1739" customWidth="1"/>
    <col min="824" max="824" width="11" style="1739" customWidth="1"/>
    <col min="825" max="825" width="10.875" style="1739" customWidth="1"/>
    <col min="826" max="826" width="11.5" style="1739" customWidth="1"/>
    <col min="827" max="833" width="11.875" style="1739" customWidth="1"/>
    <col min="834" max="834" width="7.875" style="1739"/>
    <col min="835" max="836" width="9.75" style="1739" customWidth="1"/>
    <col min="837" max="837" width="7.875" style="1739"/>
    <col min="838" max="839" width="10.5" style="1739" customWidth="1"/>
    <col min="840" max="840" width="7.875" style="1739"/>
    <col min="841" max="842" width="10.5" style="1739" customWidth="1"/>
    <col min="843" max="843" width="7.875" style="1739"/>
    <col min="844" max="845" width="10.5" style="1739" customWidth="1"/>
    <col min="846" max="846" width="7.875" style="1739"/>
    <col min="847" max="848" width="10.5" style="1739" customWidth="1"/>
    <col min="849" max="1024" width="7.875" style="1739"/>
    <col min="1025" max="1025" width="9" style="1739" customWidth="1"/>
    <col min="1026" max="1026" width="13.125" style="1739" customWidth="1"/>
    <col min="1027" max="1027" width="27.75" style="1739" customWidth="1"/>
    <col min="1028" max="1028" width="10.25" style="1739" customWidth="1"/>
    <col min="1029" max="1029" width="15.75" style="1739" customWidth="1"/>
    <col min="1030" max="1030" width="7.875" style="1739" hidden="1" customWidth="1"/>
    <col min="1031" max="1031" width="12.625" style="1739" customWidth="1"/>
    <col min="1032" max="1032" width="10.5" style="1739" customWidth="1"/>
    <col min="1033" max="1033" width="10.125" style="1739" customWidth="1"/>
    <col min="1034" max="1036" width="9.75" style="1739" customWidth="1"/>
    <col min="1037" max="1037" width="12.25" style="1739" customWidth="1"/>
    <col min="1038" max="1039" width="13.875" style="1739" customWidth="1"/>
    <col min="1040" max="1040" width="10.375" style="1739" customWidth="1"/>
    <col min="1041" max="1041" width="10" style="1739" customWidth="1"/>
    <col min="1042" max="1042" width="15.875" style="1739" customWidth="1"/>
    <col min="1043" max="1043" width="11.125" style="1739" customWidth="1"/>
    <col min="1044" max="1044" width="12.875" style="1739" customWidth="1"/>
    <col min="1045" max="1045" width="9.5" style="1739" customWidth="1"/>
    <col min="1046" max="1046" width="18.75" style="1739" customWidth="1"/>
    <col min="1047" max="1047" width="15.875" style="1739" customWidth="1"/>
    <col min="1048" max="1054" width="19.125" style="1739" customWidth="1"/>
    <col min="1055" max="1056" width="15.25" style="1739" customWidth="1"/>
    <col min="1057" max="1057" width="14.25" style="1739" customWidth="1"/>
    <col min="1058" max="1063" width="9.25" style="1739" customWidth="1"/>
    <col min="1064" max="1065" width="14.25" style="1739" customWidth="1"/>
    <col min="1066" max="1067" width="11" style="1739" customWidth="1"/>
    <col min="1068" max="1068" width="11.25" style="1739" customWidth="1"/>
    <col min="1069" max="1069" width="10" style="1739" customWidth="1"/>
    <col min="1070" max="1070" width="9.25" style="1739" customWidth="1"/>
    <col min="1071" max="1074" width="9.375" style="1739" customWidth="1"/>
    <col min="1075" max="1075" width="7.875" style="1739"/>
    <col min="1076" max="1076" width="10.375" style="1739" customWidth="1"/>
    <col min="1077" max="1077" width="11" style="1739" customWidth="1"/>
    <col min="1078" max="1078" width="12.5" style="1739" customWidth="1"/>
    <col min="1079" max="1079" width="10.375" style="1739" customWidth="1"/>
    <col min="1080" max="1080" width="11" style="1739" customWidth="1"/>
    <col min="1081" max="1081" width="10.875" style="1739" customWidth="1"/>
    <col min="1082" max="1082" width="11.5" style="1739" customWidth="1"/>
    <col min="1083" max="1089" width="11.875" style="1739" customWidth="1"/>
    <col min="1090" max="1090" width="7.875" style="1739"/>
    <col min="1091" max="1092" width="9.75" style="1739" customWidth="1"/>
    <col min="1093" max="1093" width="7.875" style="1739"/>
    <col min="1094" max="1095" width="10.5" style="1739" customWidth="1"/>
    <col min="1096" max="1096" width="7.875" style="1739"/>
    <col min="1097" max="1098" width="10.5" style="1739" customWidth="1"/>
    <col min="1099" max="1099" width="7.875" style="1739"/>
    <col min="1100" max="1101" width="10.5" style="1739" customWidth="1"/>
    <col min="1102" max="1102" width="7.875" style="1739"/>
    <col min="1103" max="1104" width="10.5" style="1739" customWidth="1"/>
    <col min="1105" max="1280" width="7.875" style="1739"/>
    <col min="1281" max="1281" width="9" style="1739" customWidth="1"/>
    <col min="1282" max="1282" width="13.125" style="1739" customWidth="1"/>
    <col min="1283" max="1283" width="27.75" style="1739" customWidth="1"/>
    <col min="1284" max="1284" width="10.25" style="1739" customWidth="1"/>
    <col min="1285" max="1285" width="15.75" style="1739" customWidth="1"/>
    <col min="1286" max="1286" width="7.875" style="1739" hidden="1" customWidth="1"/>
    <col min="1287" max="1287" width="12.625" style="1739" customWidth="1"/>
    <col min="1288" max="1288" width="10.5" style="1739" customWidth="1"/>
    <col min="1289" max="1289" width="10.125" style="1739" customWidth="1"/>
    <col min="1290" max="1292" width="9.75" style="1739" customWidth="1"/>
    <col min="1293" max="1293" width="12.25" style="1739" customWidth="1"/>
    <col min="1294" max="1295" width="13.875" style="1739" customWidth="1"/>
    <col min="1296" max="1296" width="10.375" style="1739" customWidth="1"/>
    <col min="1297" max="1297" width="10" style="1739" customWidth="1"/>
    <col min="1298" max="1298" width="15.875" style="1739" customWidth="1"/>
    <col min="1299" max="1299" width="11.125" style="1739" customWidth="1"/>
    <col min="1300" max="1300" width="12.875" style="1739" customWidth="1"/>
    <col min="1301" max="1301" width="9.5" style="1739" customWidth="1"/>
    <col min="1302" max="1302" width="18.75" style="1739" customWidth="1"/>
    <col min="1303" max="1303" width="15.875" style="1739" customWidth="1"/>
    <col min="1304" max="1310" width="19.125" style="1739" customWidth="1"/>
    <col min="1311" max="1312" width="15.25" style="1739" customWidth="1"/>
    <col min="1313" max="1313" width="14.25" style="1739" customWidth="1"/>
    <col min="1314" max="1319" width="9.25" style="1739" customWidth="1"/>
    <col min="1320" max="1321" width="14.25" style="1739" customWidth="1"/>
    <col min="1322" max="1323" width="11" style="1739" customWidth="1"/>
    <col min="1324" max="1324" width="11.25" style="1739" customWidth="1"/>
    <col min="1325" max="1325" width="10" style="1739" customWidth="1"/>
    <col min="1326" max="1326" width="9.25" style="1739" customWidth="1"/>
    <col min="1327" max="1330" width="9.375" style="1739" customWidth="1"/>
    <col min="1331" max="1331" width="7.875" style="1739"/>
    <col min="1332" max="1332" width="10.375" style="1739" customWidth="1"/>
    <col min="1333" max="1333" width="11" style="1739" customWidth="1"/>
    <col min="1334" max="1334" width="12.5" style="1739" customWidth="1"/>
    <col min="1335" max="1335" width="10.375" style="1739" customWidth="1"/>
    <col min="1336" max="1336" width="11" style="1739" customWidth="1"/>
    <col min="1337" max="1337" width="10.875" style="1739" customWidth="1"/>
    <col min="1338" max="1338" width="11.5" style="1739" customWidth="1"/>
    <col min="1339" max="1345" width="11.875" style="1739" customWidth="1"/>
    <col min="1346" max="1346" width="7.875" style="1739"/>
    <col min="1347" max="1348" width="9.75" style="1739" customWidth="1"/>
    <col min="1349" max="1349" width="7.875" style="1739"/>
    <col min="1350" max="1351" width="10.5" style="1739" customWidth="1"/>
    <col min="1352" max="1352" width="7.875" style="1739"/>
    <col min="1353" max="1354" width="10.5" style="1739" customWidth="1"/>
    <col min="1355" max="1355" width="7.875" style="1739"/>
    <col min="1356" max="1357" width="10.5" style="1739" customWidth="1"/>
    <col min="1358" max="1358" width="7.875" style="1739"/>
    <col min="1359" max="1360" width="10.5" style="1739" customWidth="1"/>
    <col min="1361" max="1536" width="7.875" style="1739"/>
    <col min="1537" max="1537" width="9" style="1739" customWidth="1"/>
    <col min="1538" max="1538" width="13.125" style="1739" customWidth="1"/>
    <col min="1539" max="1539" width="27.75" style="1739" customWidth="1"/>
    <col min="1540" max="1540" width="10.25" style="1739" customWidth="1"/>
    <col min="1541" max="1541" width="15.75" style="1739" customWidth="1"/>
    <col min="1542" max="1542" width="7.875" style="1739" hidden="1" customWidth="1"/>
    <col min="1543" max="1543" width="12.625" style="1739" customWidth="1"/>
    <col min="1544" max="1544" width="10.5" style="1739" customWidth="1"/>
    <col min="1545" max="1545" width="10.125" style="1739" customWidth="1"/>
    <col min="1546" max="1548" width="9.75" style="1739" customWidth="1"/>
    <col min="1549" max="1549" width="12.25" style="1739" customWidth="1"/>
    <col min="1550" max="1551" width="13.875" style="1739" customWidth="1"/>
    <col min="1552" max="1552" width="10.375" style="1739" customWidth="1"/>
    <col min="1553" max="1553" width="10" style="1739" customWidth="1"/>
    <col min="1554" max="1554" width="15.875" style="1739" customWidth="1"/>
    <col min="1555" max="1555" width="11.125" style="1739" customWidth="1"/>
    <col min="1556" max="1556" width="12.875" style="1739" customWidth="1"/>
    <col min="1557" max="1557" width="9.5" style="1739" customWidth="1"/>
    <col min="1558" max="1558" width="18.75" style="1739" customWidth="1"/>
    <col min="1559" max="1559" width="15.875" style="1739" customWidth="1"/>
    <col min="1560" max="1566" width="19.125" style="1739" customWidth="1"/>
    <col min="1567" max="1568" width="15.25" style="1739" customWidth="1"/>
    <col min="1569" max="1569" width="14.25" style="1739" customWidth="1"/>
    <col min="1570" max="1575" width="9.25" style="1739" customWidth="1"/>
    <col min="1576" max="1577" width="14.25" style="1739" customWidth="1"/>
    <col min="1578" max="1579" width="11" style="1739" customWidth="1"/>
    <col min="1580" max="1580" width="11.25" style="1739" customWidth="1"/>
    <col min="1581" max="1581" width="10" style="1739" customWidth="1"/>
    <col min="1582" max="1582" width="9.25" style="1739" customWidth="1"/>
    <col min="1583" max="1586" width="9.375" style="1739" customWidth="1"/>
    <col min="1587" max="1587" width="7.875" style="1739"/>
    <col min="1588" max="1588" width="10.375" style="1739" customWidth="1"/>
    <col min="1589" max="1589" width="11" style="1739" customWidth="1"/>
    <col min="1590" max="1590" width="12.5" style="1739" customWidth="1"/>
    <col min="1591" max="1591" width="10.375" style="1739" customWidth="1"/>
    <col min="1592" max="1592" width="11" style="1739" customWidth="1"/>
    <col min="1593" max="1593" width="10.875" style="1739" customWidth="1"/>
    <col min="1594" max="1594" width="11.5" style="1739" customWidth="1"/>
    <col min="1595" max="1601" width="11.875" style="1739" customWidth="1"/>
    <col min="1602" max="1602" width="7.875" style="1739"/>
    <col min="1603" max="1604" width="9.75" style="1739" customWidth="1"/>
    <col min="1605" max="1605" width="7.875" style="1739"/>
    <col min="1606" max="1607" width="10.5" style="1739" customWidth="1"/>
    <col min="1608" max="1608" width="7.875" style="1739"/>
    <col min="1609" max="1610" width="10.5" style="1739" customWidth="1"/>
    <col min="1611" max="1611" width="7.875" style="1739"/>
    <col min="1612" max="1613" width="10.5" style="1739" customWidth="1"/>
    <col min="1614" max="1614" width="7.875" style="1739"/>
    <col min="1615" max="1616" width="10.5" style="1739" customWidth="1"/>
    <col min="1617" max="1792" width="7.875" style="1739"/>
    <col min="1793" max="1793" width="9" style="1739" customWidth="1"/>
    <col min="1794" max="1794" width="13.125" style="1739" customWidth="1"/>
    <col min="1795" max="1795" width="27.75" style="1739" customWidth="1"/>
    <col min="1796" max="1796" width="10.25" style="1739" customWidth="1"/>
    <col min="1797" max="1797" width="15.75" style="1739" customWidth="1"/>
    <col min="1798" max="1798" width="7.875" style="1739" hidden="1" customWidth="1"/>
    <col min="1799" max="1799" width="12.625" style="1739" customWidth="1"/>
    <col min="1800" max="1800" width="10.5" style="1739" customWidth="1"/>
    <col min="1801" max="1801" width="10.125" style="1739" customWidth="1"/>
    <col min="1802" max="1804" width="9.75" style="1739" customWidth="1"/>
    <col min="1805" max="1805" width="12.25" style="1739" customWidth="1"/>
    <col min="1806" max="1807" width="13.875" style="1739" customWidth="1"/>
    <col min="1808" max="1808" width="10.375" style="1739" customWidth="1"/>
    <col min="1809" max="1809" width="10" style="1739" customWidth="1"/>
    <col min="1810" max="1810" width="15.875" style="1739" customWidth="1"/>
    <col min="1811" max="1811" width="11.125" style="1739" customWidth="1"/>
    <col min="1812" max="1812" width="12.875" style="1739" customWidth="1"/>
    <col min="1813" max="1813" width="9.5" style="1739" customWidth="1"/>
    <col min="1814" max="1814" width="18.75" style="1739" customWidth="1"/>
    <col min="1815" max="1815" width="15.875" style="1739" customWidth="1"/>
    <col min="1816" max="1822" width="19.125" style="1739" customWidth="1"/>
    <col min="1823" max="1824" width="15.25" style="1739" customWidth="1"/>
    <col min="1825" max="1825" width="14.25" style="1739" customWidth="1"/>
    <col min="1826" max="1831" width="9.25" style="1739" customWidth="1"/>
    <col min="1832" max="1833" width="14.25" style="1739" customWidth="1"/>
    <col min="1834" max="1835" width="11" style="1739" customWidth="1"/>
    <col min="1836" max="1836" width="11.25" style="1739" customWidth="1"/>
    <col min="1837" max="1837" width="10" style="1739" customWidth="1"/>
    <col min="1838" max="1838" width="9.25" style="1739" customWidth="1"/>
    <col min="1839" max="1842" width="9.375" style="1739" customWidth="1"/>
    <col min="1843" max="1843" width="7.875" style="1739"/>
    <col min="1844" max="1844" width="10.375" style="1739" customWidth="1"/>
    <col min="1845" max="1845" width="11" style="1739" customWidth="1"/>
    <col min="1846" max="1846" width="12.5" style="1739" customWidth="1"/>
    <col min="1847" max="1847" width="10.375" style="1739" customWidth="1"/>
    <col min="1848" max="1848" width="11" style="1739" customWidth="1"/>
    <col min="1849" max="1849" width="10.875" style="1739" customWidth="1"/>
    <col min="1850" max="1850" width="11.5" style="1739" customWidth="1"/>
    <col min="1851" max="1857" width="11.875" style="1739" customWidth="1"/>
    <col min="1858" max="1858" width="7.875" style="1739"/>
    <col min="1859" max="1860" width="9.75" style="1739" customWidth="1"/>
    <col min="1861" max="1861" width="7.875" style="1739"/>
    <col min="1862" max="1863" width="10.5" style="1739" customWidth="1"/>
    <col min="1864" max="1864" width="7.875" style="1739"/>
    <col min="1865" max="1866" width="10.5" style="1739" customWidth="1"/>
    <col min="1867" max="1867" width="7.875" style="1739"/>
    <col min="1868" max="1869" width="10.5" style="1739" customWidth="1"/>
    <col min="1870" max="1870" width="7.875" style="1739"/>
    <col min="1871" max="1872" width="10.5" style="1739" customWidth="1"/>
    <col min="1873" max="2048" width="7.875" style="1739"/>
    <col min="2049" max="2049" width="9" style="1739" customWidth="1"/>
    <col min="2050" max="2050" width="13.125" style="1739" customWidth="1"/>
    <col min="2051" max="2051" width="27.75" style="1739" customWidth="1"/>
    <col min="2052" max="2052" width="10.25" style="1739" customWidth="1"/>
    <col min="2053" max="2053" width="15.75" style="1739" customWidth="1"/>
    <col min="2054" max="2054" width="7.875" style="1739" hidden="1" customWidth="1"/>
    <col min="2055" max="2055" width="12.625" style="1739" customWidth="1"/>
    <col min="2056" max="2056" width="10.5" style="1739" customWidth="1"/>
    <col min="2057" max="2057" width="10.125" style="1739" customWidth="1"/>
    <col min="2058" max="2060" width="9.75" style="1739" customWidth="1"/>
    <col min="2061" max="2061" width="12.25" style="1739" customWidth="1"/>
    <col min="2062" max="2063" width="13.875" style="1739" customWidth="1"/>
    <col min="2064" max="2064" width="10.375" style="1739" customWidth="1"/>
    <col min="2065" max="2065" width="10" style="1739" customWidth="1"/>
    <col min="2066" max="2066" width="15.875" style="1739" customWidth="1"/>
    <col min="2067" max="2067" width="11.125" style="1739" customWidth="1"/>
    <col min="2068" max="2068" width="12.875" style="1739" customWidth="1"/>
    <col min="2069" max="2069" width="9.5" style="1739" customWidth="1"/>
    <col min="2070" max="2070" width="18.75" style="1739" customWidth="1"/>
    <col min="2071" max="2071" width="15.875" style="1739" customWidth="1"/>
    <col min="2072" max="2078" width="19.125" style="1739" customWidth="1"/>
    <col min="2079" max="2080" width="15.25" style="1739" customWidth="1"/>
    <col min="2081" max="2081" width="14.25" style="1739" customWidth="1"/>
    <col min="2082" max="2087" width="9.25" style="1739" customWidth="1"/>
    <col min="2088" max="2089" width="14.25" style="1739" customWidth="1"/>
    <col min="2090" max="2091" width="11" style="1739" customWidth="1"/>
    <col min="2092" max="2092" width="11.25" style="1739" customWidth="1"/>
    <col min="2093" max="2093" width="10" style="1739" customWidth="1"/>
    <col min="2094" max="2094" width="9.25" style="1739" customWidth="1"/>
    <col min="2095" max="2098" width="9.375" style="1739" customWidth="1"/>
    <col min="2099" max="2099" width="7.875" style="1739"/>
    <col min="2100" max="2100" width="10.375" style="1739" customWidth="1"/>
    <col min="2101" max="2101" width="11" style="1739" customWidth="1"/>
    <col min="2102" max="2102" width="12.5" style="1739" customWidth="1"/>
    <col min="2103" max="2103" width="10.375" style="1739" customWidth="1"/>
    <col min="2104" max="2104" width="11" style="1739" customWidth="1"/>
    <col min="2105" max="2105" width="10.875" style="1739" customWidth="1"/>
    <col min="2106" max="2106" width="11.5" style="1739" customWidth="1"/>
    <col min="2107" max="2113" width="11.875" style="1739" customWidth="1"/>
    <col min="2114" max="2114" width="7.875" style="1739"/>
    <col min="2115" max="2116" width="9.75" style="1739" customWidth="1"/>
    <col min="2117" max="2117" width="7.875" style="1739"/>
    <col min="2118" max="2119" width="10.5" style="1739" customWidth="1"/>
    <col min="2120" max="2120" width="7.875" style="1739"/>
    <col min="2121" max="2122" width="10.5" style="1739" customWidth="1"/>
    <col min="2123" max="2123" width="7.875" style="1739"/>
    <col min="2124" max="2125" width="10.5" style="1739" customWidth="1"/>
    <col min="2126" max="2126" width="7.875" style="1739"/>
    <col min="2127" max="2128" width="10.5" style="1739" customWidth="1"/>
    <col min="2129" max="2304" width="7.875" style="1739"/>
    <col min="2305" max="2305" width="9" style="1739" customWidth="1"/>
    <col min="2306" max="2306" width="13.125" style="1739" customWidth="1"/>
    <col min="2307" max="2307" width="27.75" style="1739" customWidth="1"/>
    <col min="2308" max="2308" width="10.25" style="1739" customWidth="1"/>
    <col min="2309" max="2309" width="15.75" style="1739" customWidth="1"/>
    <col min="2310" max="2310" width="7.875" style="1739" hidden="1" customWidth="1"/>
    <col min="2311" max="2311" width="12.625" style="1739" customWidth="1"/>
    <col min="2312" max="2312" width="10.5" style="1739" customWidth="1"/>
    <col min="2313" max="2313" width="10.125" style="1739" customWidth="1"/>
    <col min="2314" max="2316" width="9.75" style="1739" customWidth="1"/>
    <col min="2317" max="2317" width="12.25" style="1739" customWidth="1"/>
    <col min="2318" max="2319" width="13.875" style="1739" customWidth="1"/>
    <col min="2320" max="2320" width="10.375" style="1739" customWidth="1"/>
    <col min="2321" max="2321" width="10" style="1739" customWidth="1"/>
    <col min="2322" max="2322" width="15.875" style="1739" customWidth="1"/>
    <col min="2323" max="2323" width="11.125" style="1739" customWidth="1"/>
    <col min="2324" max="2324" width="12.875" style="1739" customWidth="1"/>
    <col min="2325" max="2325" width="9.5" style="1739" customWidth="1"/>
    <col min="2326" max="2326" width="18.75" style="1739" customWidth="1"/>
    <col min="2327" max="2327" width="15.875" style="1739" customWidth="1"/>
    <col min="2328" max="2334" width="19.125" style="1739" customWidth="1"/>
    <col min="2335" max="2336" width="15.25" style="1739" customWidth="1"/>
    <col min="2337" max="2337" width="14.25" style="1739" customWidth="1"/>
    <col min="2338" max="2343" width="9.25" style="1739" customWidth="1"/>
    <col min="2344" max="2345" width="14.25" style="1739" customWidth="1"/>
    <col min="2346" max="2347" width="11" style="1739" customWidth="1"/>
    <col min="2348" max="2348" width="11.25" style="1739" customWidth="1"/>
    <col min="2349" max="2349" width="10" style="1739" customWidth="1"/>
    <col min="2350" max="2350" width="9.25" style="1739" customWidth="1"/>
    <col min="2351" max="2354" width="9.375" style="1739" customWidth="1"/>
    <col min="2355" max="2355" width="7.875" style="1739"/>
    <col min="2356" max="2356" width="10.375" style="1739" customWidth="1"/>
    <col min="2357" max="2357" width="11" style="1739" customWidth="1"/>
    <col min="2358" max="2358" width="12.5" style="1739" customWidth="1"/>
    <col min="2359" max="2359" width="10.375" style="1739" customWidth="1"/>
    <col min="2360" max="2360" width="11" style="1739" customWidth="1"/>
    <col min="2361" max="2361" width="10.875" style="1739" customWidth="1"/>
    <col min="2362" max="2362" width="11.5" style="1739" customWidth="1"/>
    <col min="2363" max="2369" width="11.875" style="1739" customWidth="1"/>
    <col min="2370" max="2370" width="7.875" style="1739"/>
    <col min="2371" max="2372" width="9.75" style="1739" customWidth="1"/>
    <col min="2373" max="2373" width="7.875" style="1739"/>
    <col min="2374" max="2375" width="10.5" style="1739" customWidth="1"/>
    <col min="2376" max="2376" width="7.875" style="1739"/>
    <col min="2377" max="2378" width="10.5" style="1739" customWidth="1"/>
    <col min="2379" max="2379" width="7.875" style="1739"/>
    <col min="2380" max="2381" width="10.5" style="1739" customWidth="1"/>
    <col min="2382" max="2382" width="7.875" style="1739"/>
    <col min="2383" max="2384" width="10.5" style="1739" customWidth="1"/>
    <col min="2385" max="2560" width="7.875" style="1739"/>
    <col min="2561" max="2561" width="9" style="1739" customWidth="1"/>
    <col min="2562" max="2562" width="13.125" style="1739" customWidth="1"/>
    <col min="2563" max="2563" width="27.75" style="1739" customWidth="1"/>
    <col min="2564" max="2564" width="10.25" style="1739" customWidth="1"/>
    <col min="2565" max="2565" width="15.75" style="1739" customWidth="1"/>
    <col min="2566" max="2566" width="7.875" style="1739" hidden="1" customWidth="1"/>
    <col min="2567" max="2567" width="12.625" style="1739" customWidth="1"/>
    <col min="2568" max="2568" width="10.5" style="1739" customWidth="1"/>
    <col min="2569" max="2569" width="10.125" style="1739" customWidth="1"/>
    <col min="2570" max="2572" width="9.75" style="1739" customWidth="1"/>
    <col min="2573" max="2573" width="12.25" style="1739" customWidth="1"/>
    <col min="2574" max="2575" width="13.875" style="1739" customWidth="1"/>
    <col min="2576" max="2576" width="10.375" style="1739" customWidth="1"/>
    <col min="2577" max="2577" width="10" style="1739" customWidth="1"/>
    <col min="2578" max="2578" width="15.875" style="1739" customWidth="1"/>
    <col min="2579" max="2579" width="11.125" style="1739" customWidth="1"/>
    <col min="2580" max="2580" width="12.875" style="1739" customWidth="1"/>
    <col min="2581" max="2581" width="9.5" style="1739" customWidth="1"/>
    <col min="2582" max="2582" width="18.75" style="1739" customWidth="1"/>
    <col min="2583" max="2583" width="15.875" style="1739" customWidth="1"/>
    <col min="2584" max="2590" width="19.125" style="1739" customWidth="1"/>
    <col min="2591" max="2592" width="15.25" style="1739" customWidth="1"/>
    <col min="2593" max="2593" width="14.25" style="1739" customWidth="1"/>
    <col min="2594" max="2599" width="9.25" style="1739" customWidth="1"/>
    <col min="2600" max="2601" width="14.25" style="1739" customWidth="1"/>
    <col min="2602" max="2603" width="11" style="1739" customWidth="1"/>
    <col min="2604" max="2604" width="11.25" style="1739" customWidth="1"/>
    <col min="2605" max="2605" width="10" style="1739" customWidth="1"/>
    <col min="2606" max="2606" width="9.25" style="1739" customWidth="1"/>
    <col min="2607" max="2610" width="9.375" style="1739" customWidth="1"/>
    <col min="2611" max="2611" width="7.875" style="1739"/>
    <col min="2612" max="2612" width="10.375" style="1739" customWidth="1"/>
    <col min="2613" max="2613" width="11" style="1739" customWidth="1"/>
    <col min="2614" max="2614" width="12.5" style="1739" customWidth="1"/>
    <col min="2615" max="2615" width="10.375" style="1739" customWidth="1"/>
    <col min="2616" max="2616" width="11" style="1739" customWidth="1"/>
    <col min="2617" max="2617" width="10.875" style="1739" customWidth="1"/>
    <col min="2618" max="2618" width="11.5" style="1739" customWidth="1"/>
    <col min="2619" max="2625" width="11.875" style="1739" customWidth="1"/>
    <col min="2626" max="2626" width="7.875" style="1739"/>
    <col min="2627" max="2628" width="9.75" style="1739" customWidth="1"/>
    <col min="2629" max="2629" width="7.875" style="1739"/>
    <col min="2630" max="2631" width="10.5" style="1739" customWidth="1"/>
    <col min="2632" max="2632" width="7.875" style="1739"/>
    <col min="2633" max="2634" width="10.5" style="1739" customWidth="1"/>
    <col min="2635" max="2635" width="7.875" style="1739"/>
    <col min="2636" max="2637" width="10.5" style="1739" customWidth="1"/>
    <col min="2638" max="2638" width="7.875" style="1739"/>
    <col min="2639" max="2640" width="10.5" style="1739" customWidth="1"/>
    <col min="2641" max="2816" width="7.875" style="1739"/>
    <col min="2817" max="2817" width="9" style="1739" customWidth="1"/>
    <col min="2818" max="2818" width="13.125" style="1739" customWidth="1"/>
    <col min="2819" max="2819" width="27.75" style="1739" customWidth="1"/>
    <col min="2820" max="2820" width="10.25" style="1739" customWidth="1"/>
    <col min="2821" max="2821" width="15.75" style="1739" customWidth="1"/>
    <col min="2822" max="2822" width="7.875" style="1739" hidden="1" customWidth="1"/>
    <col min="2823" max="2823" width="12.625" style="1739" customWidth="1"/>
    <col min="2824" max="2824" width="10.5" style="1739" customWidth="1"/>
    <col min="2825" max="2825" width="10.125" style="1739" customWidth="1"/>
    <col min="2826" max="2828" width="9.75" style="1739" customWidth="1"/>
    <col min="2829" max="2829" width="12.25" style="1739" customWidth="1"/>
    <col min="2830" max="2831" width="13.875" style="1739" customWidth="1"/>
    <col min="2832" max="2832" width="10.375" style="1739" customWidth="1"/>
    <col min="2833" max="2833" width="10" style="1739" customWidth="1"/>
    <col min="2834" max="2834" width="15.875" style="1739" customWidth="1"/>
    <col min="2835" max="2835" width="11.125" style="1739" customWidth="1"/>
    <col min="2836" max="2836" width="12.875" style="1739" customWidth="1"/>
    <col min="2837" max="2837" width="9.5" style="1739" customWidth="1"/>
    <col min="2838" max="2838" width="18.75" style="1739" customWidth="1"/>
    <col min="2839" max="2839" width="15.875" style="1739" customWidth="1"/>
    <col min="2840" max="2846" width="19.125" style="1739" customWidth="1"/>
    <col min="2847" max="2848" width="15.25" style="1739" customWidth="1"/>
    <col min="2849" max="2849" width="14.25" style="1739" customWidth="1"/>
    <col min="2850" max="2855" width="9.25" style="1739" customWidth="1"/>
    <col min="2856" max="2857" width="14.25" style="1739" customWidth="1"/>
    <col min="2858" max="2859" width="11" style="1739" customWidth="1"/>
    <col min="2860" max="2860" width="11.25" style="1739" customWidth="1"/>
    <col min="2861" max="2861" width="10" style="1739" customWidth="1"/>
    <col min="2862" max="2862" width="9.25" style="1739" customWidth="1"/>
    <col min="2863" max="2866" width="9.375" style="1739" customWidth="1"/>
    <col min="2867" max="2867" width="7.875" style="1739"/>
    <col min="2868" max="2868" width="10.375" style="1739" customWidth="1"/>
    <col min="2869" max="2869" width="11" style="1739" customWidth="1"/>
    <col min="2870" max="2870" width="12.5" style="1739" customWidth="1"/>
    <col min="2871" max="2871" width="10.375" style="1739" customWidth="1"/>
    <col min="2872" max="2872" width="11" style="1739" customWidth="1"/>
    <col min="2873" max="2873" width="10.875" style="1739" customWidth="1"/>
    <col min="2874" max="2874" width="11.5" style="1739" customWidth="1"/>
    <col min="2875" max="2881" width="11.875" style="1739" customWidth="1"/>
    <col min="2882" max="2882" width="7.875" style="1739"/>
    <col min="2883" max="2884" width="9.75" style="1739" customWidth="1"/>
    <col min="2885" max="2885" width="7.875" style="1739"/>
    <col min="2886" max="2887" width="10.5" style="1739" customWidth="1"/>
    <col min="2888" max="2888" width="7.875" style="1739"/>
    <col min="2889" max="2890" width="10.5" style="1739" customWidth="1"/>
    <col min="2891" max="2891" width="7.875" style="1739"/>
    <col min="2892" max="2893" width="10.5" style="1739" customWidth="1"/>
    <col min="2894" max="2894" width="7.875" style="1739"/>
    <col min="2895" max="2896" width="10.5" style="1739" customWidth="1"/>
    <col min="2897" max="3072" width="7.875" style="1739"/>
    <col min="3073" max="3073" width="9" style="1739" customWidth="1"/>
    <col min="3074" max="3074" width="13.125" style="1739" customWidth="1"/>
    <col min="3075" max="3075" width="27.75" style="1739" customWidth="1"/>
    <col min="3076" max="3076" width="10.25" style="1739" customWidth="1"/>
    <col min="3077" max="3077" width="15.75" style="1739" customWidth="1"/>
    <col min="3078" max="3078" width="7.875" style="1739" hidden="1" customWidth="1"/>
    <col min="3079" max="3079" width="12.625" style="1739" customWidth="1"/>
    <col min="3080" max="3080" width="10.5" style="1739" customWidth="1"/>
    <col min="3081" max="3081" width="10.125" style="1739" customWidth="1"/>
    <col min="3082" max="3084" width="9.75" style="1739" customWidth="1"/>
    <col min="3085" max="3085" width="12.25" style="1739" customWidth="1"/>
    <col min="3086" max="3087" width="13.875" style="1739" customWidth="1"/>
    <col min="3088" max="3088" width="10.375" style="1739" customWidth="1"/>
    <col min="3089" max="3089" width="10" style="1739" customWidth="1"/>
    <col min="3090" max="3090" width="15.875" style="1739" customWidth="1"/>
    <col min="3091" max="3091" width="11.125" style="1739" customWidth="1"/>
    <col min="3092" max="3092" width="12.875" style="1739" customWidth="1"/>
    <col min="3093" max="3093" width="9.5" style="1739" customWidth="1"/>
    <col min="3094" max="3094" width="18.75" style="1739" customWidth="1"/>
    <col min="3095" max="3095" width="15.875" style="1739" customWidth="1"/>
    <col min="3096" max="3102" width="19.125" style="1739" customWidth="1"/>
    <col min="3103" max="3104" width="15.25" style="1739" customWidth="1"/>
    <col min="3105" max="3105" width="14.25" style="1739" customWidth="1"/>
    <col min="3106" max="3111" width="9.25" style="1739" customWidth="1"/>
    <col min="3112" max="3113" width="14.25" style="1739" customWidth="1"/>
    <col min="3114" max="3115" width="11" style="1739" customWidth="1"/>
    <col min="3116" max="3116" width="11.25" style="1739" customWidth="1"/>
    <col min="3117" max="3117" width="10" style="1739" customWidth="1"/>
    <col min="3118" max="3118" width="9.25" style="1739" customWidth="1"/>
    <col min="3119" max="3122" width="9.375" style="1739" customWidth="1"/>
    <col min="3123" max="3123" width="7.875" style="1739"/>
    <col min="3124" max="3124" width="10.375" style="1739" customWidth="1"/>
    <col min="3125" max="3125" width="11" style="1739" customWidth="1"/>
    <col min="3126" max="3126" width="12.5" style="1739" customWidth="1"/>
    <col min="3127" max="3127" width="10.375" style="1739" customWidth="1"/>
    <col min="3128" max="3128" width="11" style="1739" customWidth="1"/>
    <col min="3129" max="3129" width="10.875" style="1739" customWidth="1"/>
    <col min="3130" max="3130" width="11.5" style="1739" customWidth="1"/>
    <col min="3131" max="3137" width="11.875" style="1739" customWidth="1"/>
    <col min="3138" max="3138" width="7.875" style="1739"/>
    <col min="3139" max="3140" width="9.75" style="1739" customWidth="1"/>
    <col min="3141" max="3141" width="7.875" style="1739"/>
    <col min="3142" max="3143" width="10.5" style="1739" customWidth="1"/>
    <col min="3144" max="3144" width="7.875" style="1739"/>
    <col min="3145" max="3146" width="10.5" style="1739" customWidth="1"/>
    <col min="3147" max="3147" width="7.875" style="1739"/>
    <col min="3148" max="3149" width="10.5" style="1739" customWidth="1"/>
    <col min="3150" max="3150" width="7.875" style="1739"/>
    <col min="3151" max="3152" width="10.5" style="1739" customWidth="1"/>
    <col min="3153" max="3328" width="7.875" style="1739"/>
    <col min="3329" max="3329" width="9" style="1739" customWidth="1"/>
    <col min="3330" max="3330" width="13.125" style="1739" customWidth="1"/>
    <col min="3331" max="3331" width="27.75" style="1739" customWidth="1"/>
    <col min="3332" max="3332" width="10.25" style="1739" customWidth="1"/>
    <col min="3333" max="3333" width="15.75" style="1739" customWidth="1"/>
    <col min="3334" max="3334" width="7.875" style="1739" hidden="1" customWidth="1"/>
    <col min="3335" max="3335" width="12.625" style="1739" customWidth="1"/>
    <col min="3336" max="3336" width="10.5" style="1739" customWidth="1"/>
    <col min="3337" max="3337" width="10.125" style="1739" customWidth="1"/>
    <col min="3338" max="3340" width="9.75" style="1739" customWidth="1"/>
    <col min="3341" max="3341" width="12.25" style="1739" customWidth="1"/>
    <col min="3342" max="3343" width="13.875" style="1739" customWidth="1"/>
    <col min="3344" max="3344" width="10.375" style="1739" customWidth="1"/>
    <col min="3345" max="3345" width="10" style="1739" customWidth="1"/>
    <col min="3346" max="3346" width="15.875" style="1739" customWidth="1"/>
    <col min="3347" max="3347" width="11.125" style="1739" customWidth="1"/>
    <col min="3348" max="3348" width="12.875" style="1739" customWidth="1"/>
    <col min="3349" max="3349" width="9.5" style="1739" customWidth="1"/>
    <col min="3350" max="3350" width="18.75" style="1739" customWidth="1"/>
    <col min="3351" max="3351" width="15.875" style="1739" customWidth="1"/>
    <col min="3352" max="3358" width="19.125" style="1739" customWidth="1"/>
    <col min="3359" max="3360" width="15.25" style="1739" customWidth="1"/>
    <col min="3361" max="3361" width="14.25" style="1739" customWidth="1"/>
    <col min="3362" max="3367" width="9.25" style="1739" customWidth="1"/>
    <col min="3368" max="3369" width="14.25" style="1739" customWidth="1"/>
    <col min="3370" max="3371" width="11" style="1739" customWidth="1"/>
    <col min="3372" max="3372" width="11.25" style="1739" customWidth="1"/>
    <col min="3373" max="3373" width="10" style="1739" customWidth="1"/>
    <col min="3374" max="3374" width="9.25" style="1739" customWidth="1"/>
    <col min="3375" max="3378" width="9.375" style="1739" customWidth="1"/>
    <col min="3379" max="3379" width="7.875" style="1739"/>
    <col min="3380" max="3380" width="10.375" style="1739" customWidth="1"/>
    <col min="3381" max="3381" width="11" style="1739" customWidth="1"/>
    <col min="3382" max="3382" width="12.5" style="1739" customWidth="1"/>
    <col min="3383" max="3383" width="10.375" style="1739" customWidth="1"/>
    <col min="3384" max="3384" width="11" style="1739" customWidth="1"/>
    <col min="3385" max="3385" width="10.875" style="1739" customWidth="1"/>
    <col min="3386" max="3386" width="11.5" style="1739" customWidth="1"/>
    <col min="3387" max="3393" width="11.875" style="1739" customWidth="1"/>
    <col min="3394" max="3394" width="7.875" style="1739"/>
    <col min="3395" max="3396" width="9.75" style="1739" customWidth="1"/>
    <col min="3397" max="3397" width="7.875" style="1739"/>
    <col min="3398" max="3399" width="10.5" style="1739" customWidth="1"/>
    <col min="3400" max="3400" width="7.875" style="1739"/>
    <col min="3401" max="3402" width="10.5" style="1739" customWidth="1"/>
    <col min="3403" max="3403" width="7.875" style="1739"/>
    <col min="3404" max="3405" width="10.5" style="1739" customWidth="1"/>
    <col min="3406" max="3406" width="7.875" style="1739"/>
    <col min="3407" max="3408" width="10.5" style="1739" customWidth="1"/>
    <col min="3409" max="3584" width="7.875" style="1739"/>
    <col min="3585" max="3585" width="9" style="1739" customWidth="1"/>
    <col min="3586" max="3586" width="13.125" style="1739" customWidth="1"/>
    <col min="3587" max="3587" width="27.75" style="1739" customWidth="1"/>
    <col min="3588" max="3588" width="10.25" style="1739" customWidth="1"/>
    <col min="3589" max="3589" width="15.75" style="1739" customWidth="1"/>
    <col min="3590" max="3590" width="7.875" style="1739" hidden="1" customWidth="1"/>
    <col min="3591" max="3591" width="12.625" style="1739" customWidth="1"/>
    <col min="3592" max="3592" width="10.5" style="1739" customWidth="1"/>
    <col min="3593" max="3593" width="10.125" style="1739" customWidth="1"/>
    <col min="3594" max="3596" width="9.75" style="1739" customWidth="1"/>
    <col min="3597" max="3597" width="12.25" style="1739" customWidth="1"/>
    <col min="3598" max="3599" width="13.875" style="1739" customWidth="1"/>
    <col min="3600" max="3600" width="10.375" style="1739" customWidth="1"/>
    <col min="3601" max="3601" width="10" style="1739" customWidth="1"/>
    <col min="3602" max="3602" width="15.875" style="1739" customWidth="1"/>
    <col min="3603" max="3603" width="11.125" style="1739" customWidth="1"/>
    <col min="3604" max="3604" width="12.875" style="1739" customWidth="1"/>
    <col min="3605" max="3605" width="9.5" style="1739" customWidth="1"/>
    <col min="3606" max="3606" width="18.75" style="1739" customWidth="1"/>
    <col min="3607" max="3607" width="15.875" style="1739" customWidth="1"/>
    <col min="3608" max="3614" width="19.125" style="1739" customWidth="1"/>
    <col min="3615" max="3616" width="15.25" style="1739" customWidth="1"/>
    <col min="3617" max="3617" width="14.25" style="1739" customWidth="1"/>
    <col min="3618" max="3623" width="9.25" style="1739" customWidth="1"/>
    <col min="3624" max="3625" width="14.25" style="1739" customWidth="1"/>
    <col min="3626" max="3627" width="11" style="1739" customWidth="1"/>
    <col min="3628" max="3628" width="11.25" style="1739" customWidth="1"/>
    <col min="3629" max="3629" width="10" style="1739" customWidth="1"/>
    <col min="3630" max="3630" width="9.25" style="1739" customWidth="1"/>
    <col min="3631" max="3634" width="9.375" style="1739" customWidth="1"/>
    <col min="3635" max="3635" width="7.875" style="1739"/>
    <col min="3636" max="3636" width="10.375" style="1739" customWidth="1"/>
    <col min="3637" max="3637" width="11" style="1739" customWidth="1"/>
    <col min="3638" max="3638" width="12.5" style="1739" customWidth="1"/>
    <col min="3639" max="3639" width="10.375" style="1739" customWidth="1"/>
    <col min="3640" max="3640" width="11" style="1739" customWidth="1"/>
    <col min="3641" max="3641" width="10.875" style="1739" customWidth="1"/>
    <col min="3642" max="3642" width="11.5" style="1739" customWidth="1"/>
    <col min="3643" max="3649" width="11.875" style="1739" customWidth="1"/>
    <col min="3650" max="3650" width="7.875" style="1739"/>
    <col min="3651" max="3652" width="9.75" style="1739" customWidth="1"/>
    <col min="3653" max="3653" width="7.875" style="1739"/>
    <col min="3654" max="3655" width="10.5" style="1739" customWidth="1"/>
    <col min="3656" max="3656" width="7.875" style="1739"/>
    <col min="3657" max="3658" width="10.5" style="1739" customWidth="1"/>
    <col min="3659" max="3659" width="7.875" style="1739"/>
    <col min="3660" max="3661" width="10.5" style="1739" customWidth="1"/>
    <col min="3662" max="3662" width="7.875" style="1739"/>
    <col min="3663" max="3664" width="10.5" style="1739" customWidth="1"/>
    <col min="3665" max="3840" width="7.875" style="1739"/>
    <col min="3841" max="3841" width="9" style="1739" customWidth="1"/>
    <col min="3842" max="3842" width="13.125" style="1739" customWidth="1"/>
    <col min="3843" max="3843" width="27.75" style="1739" customWidth="1"/>
    <col min="3844" max="3844" width="10.25" style="1739" customWidth="1"/>
    <col min="3845" max="3845" width="15.75" style="1739" customWidth="1"/>
    <col min="3846" max="3846" width="7.875" style="1739" hidden="1" customWidth="1"/>
    <col min="3847" max="3847" width="12.625" style="1739" customWidth="1"/>
    <col min="3848" max="3848" width="10.5" style="1739" customWidth="1"/>
    <col min="3849" max="3849" width="10.125" style="1739" customWidth="1"/>
    <col min="3850" max="3852" width="9.75" style="1739" customWidth="1"/>
    <col min="3853" max="3853" width="12.25" style="1739" customWidth="1"/>
    <col min="3854" max="3855" width="13.875" style="1739" customWidth="1"/>
    <col min="3856" max="3856" width="10.375" style="1739" customWidth="1"/>
    <col min="3857" max="3857" width="10" style="1739" customWidth="1"/>
    <col min="3858" max="3858" width="15.875" style="1739" customWidth="1"/>
    <col min="3859" max="3859" width="11.125" style="1739" customWidth="1"/>
    <col min="3860" max="3860" width="12.875" style="1739" customWidth="1"/>
    <col min="3861" max="3861" width="9.5" style="1739" customWidth="1"/>
    <col min="3862" max="3862" width="18.75" style="1739" customWidth="1"/>
    <col min="3863" max="3863" width="15.875" style="1739" customWidth="1"/>
    <col min="3864" max="3870" width="19.125" style="1739" customWidth="1"/>
    <col min="3871" max="3872" width="15.25" style="1739" customWidth="1"/>
    <col min="3873" max="3873" width="14.25" style="1739" customWidth="1"/>
    <col min="3874" max="3879" width="9.25" style="1739" customWidth="1"/>
    <col min="3880" max="3881" width="14.25" style="1739" customWidth="1"/>
    <col min="3882" max="3883" width="11" style="1739" customWidth="1"/>
    <col min="3884" max="3884" width="11.25" style="1739" customWidth="1"/>
    <col min="3885" max="3885" width="10" style="1739" customWidth="1"/>
    <col min="3886" max="3886" width="9.25" style="1739" customWidth="1"/>
    <col min="3887" max="3890" width="9.375" style="1739" customWidth="1"/>
    <col min="3891" max="3891" width="7.875" style="1739"/>
    <col min="3892" max="3892" width="10.375" style="1739" customWidth="1"/>
    <col min="3893" max="3893" width="11" style="1739" customWidth="1"/>
    <col min="3894" max="3894" width="12.5" style="1739" customWidth="1"/>
    <col min="3895" max="3895" width="10.375" style="1739" customWidth="1"/>
    <col min="3896" max="3896" width="11" style="1739" customWidth="1"/>
    <col min="3897" max="3897" width="10.875" style="1739" customWidth="1"/>
    <col min="3898" max="3898" width="11.5" style="1739" customWidth="1"/>
    <col min="3899" max="3905" width="11.875" style="1739" customWidth="1"/>
    <col min="3906" max="3906" width="7.875" style="1739"/>
    <col min="3907" max="3908" width="9.75" style="1739" customWidth="1"/>
    <col min="3909" max="3909" width="7.875" style="1739"/>
    <col min="3910" max="3911" width="10.5" style="1739" customWidth="1"/>
    <col min="3912" max="3912" width="7.875" style="1739"/>
    <col min="3913" max="3914" width="10.5" style="1739" customWidth="1"/>
    <col min="3915" max="3915" width="7.875" style="1739"/>
    <col min="3916" max="3917" width="10.5" style="1739" customWidth="1"/>
    <col min="3918" max="3918" width="7.875" style="1739"/>
    <col min="3919" max="3920" width="10.5" style="1739" customWidth="1"/>
    <col min="3921" max="4096" width="7.875" style="1739"/>
    <col min="4097" max="4097" width="9" style="1739" customWidth="1"/>
    <col min="4098" max="4098" width="13.125" style="1739" customWidth="1"/>
    <col min="4099" max="4099" width="27.75" style="1739" customWidth="1"/>
    <col min="4100" max="4100" width="10.25" style="1739" customWidth="1"/>
    <col min="4101" max="4101" width="15.75" style="1739" customWidth="1"/>
    <col min="4102" max="4102" width="7.875" style="1739" hidden="1" customWidth="1"/>
    <col min="4103" max="4103" width="12.625" style="1739" customWidth="1"/>
    <col min="4104" max="4104" width="10.5" style="1739" customWidth="1"/>
    <col min="4105" max="4105" width="10.125" style="1739" customWidth="1"/>
    <col min="4106" max="4108" width="9.75" style="1739" customWidth="1"/>
    <col min="4109" max="4109" width="12.25" style="1739" customWidth="1"/>
    <col min="4110" max="4111" width="13.875" style="1739" customWidth="1"/>
    <col min="4112" max="4112" width="10.375" style="1739" customWidth="1"/>
    <col min="4113" max="4113" width="10" style="1739" customWidth="1"/>
    <col min="4114" max="4114" width="15.875" style="1739" customWidth="1"/>
    <col min="4115" max="4115" width="11.125" style="1739" customWidth="1"/>
    <col min="4116" max="4116" width="12.875" style="1739" customWidth="1"/>
    <col min="4117" max="4117" width="9.5" style="1739" customWidth="1"/>
    <col min="4118" max="4118" width="18.75" style="1739" customWidth="1"/>
    <col min="4119" max="4119" width="15.875" style="1739" customWidth="1"/>
    <col min="4120" max="4126" width="19.125" style="1739" customWidth="1"/>
    <col min="4127" max="4128" width="15.25" style="1739" customWidth="1"/>
    <col min="4129" max="4129" width="14.25" style="1739" customWidth="1"/>
    <col min="4130" max="4135" width="9.25" style="1739" customWidth="1"/>
    <col min="4136" max="4137" width="14.25" style="1739" customWidth="1"/>
    <col min="4138" max="4139" width="11" style="1739" customWidth="1"/>
    <col min="4140" max="4140" width="11.25" style="1739" customWidth="1"/>
    <col min="4141" max="4141" width="10" style="1739" customWidth="1"/>
    <col min="4142" max="4142" width="9.25" style="1739" customWidth="1"/>
    <col min="4143" max="4146" width="9.375" style="1739" customWidth="1"/>
    <col min="4147" max="4147" width="7.875" style="1739"/>
    <col min="4148" max="4148" width="10.375" style="1739" customWidth="1"/>
    <col min="4149" max="4149" width="11" style="1739" customWidth="1"/>
    <col min="4150" max="4150" width="12.5" style="1739" customWidth="1"/>
    <col min="4151" max="4151" width="10.375" style="1739" customWidth="1"/>
    <col min="4152" max="4152" width="11" style="1739" customWidth="1"/>
    <col min="4153" max="4153" width="10.875" style="1739" customWidth="1"/>
    <col min="4154" max="4154" width="11.5" style="1739" customWidth="1"/>
    <col min="4155" max="4161" width="11.875" style="1739" customWidth="1"/>
    <col min="4162" max="4162" width="7.875" style="1739"/>
    <col min="4163" max="4164" width="9.75" style="1739" customWidth="1"/>
    <col min="4165" max="4165" width="7.875" style="1739"/>
    <col min="4166" max="4167" width="10.5" style="1739" customWidth="1"/>
    <col min="4168" max="4168" width="7.875" style="1739"/>
    <col min="4169" max="4170" width="10.5" style="1739" customWidth="1"/>
    <col min="4171" max="4171" width="7.875" style="1739"/>
    <col min="4172" max="4173" width="10.5" style="1739" customWidth="1"/>
    <col min="4174" max="4174" width="7.875" style="1739"/>
    <col min="4175" max="4176" width="10.5" style="1739" customWidth="1"/>
    <col min="4177" max="4352" width="7.875" style="1739"/>
    <col min="4353" max="4353" width="9" style="1739" customWidth="1"/>
    <col min="4354" max="4354" width="13.125" style="1739" customWidth="1"/>
    <col min="4355" max="4355" width="27.75" style="1739" customWidth="1"/>
    <col min="4356" max="4356" width="10.25" style="1739" customWidth="1"/>
    <col min="4357" max="4357" width="15.75" style="1739" customWidth="1"/>
    <col min="4358" max="4358" width="7.875" style="1739" hidden="1" customWidth="1"/>
    <col min="4359" max="4359" width="12.625" style="1739" customWidth="1"/>
    <col min="4360" max="4360" width="10.5" style="1739" customWidth="1"/>
    <col min="4361" max="4361" width="10.125" style="1739" customWidth="1"/>
    <col min="4362" max="4364" width="9.75" style="1739" customWidth="1"/>
    <col min="4365" max="4365" width="12.25" style="1739" customWidth="1"/>
    <col min="4366" max="4367" width="13.875" style="1739" customWidth="1"/>
    <col min="4368" max="4368" width="10.375" style="1739" customWidth="1"/>
    <col min="4369" max="4369" width="10" style="1739" customWidth="1"/>
    <col min="4370" max="4370" width="15.875" style="1739" customWidth="1"/>
    <col min="4371" max="4371" width="11.125" style="1739" customWidth="1"/>
    <col min="4372" max="4372" width="12.875" style="1739" customWidth="1"/>
    <col min="4373" max="4373" width="9.5" style="1739" customWidth="1"/>
    <col min="4374" max="4374" width="18.75" style="1739" customWidth="1"/>
    <col min="4375" max="4375" width="15.875" style="1739" customWidth="1"/>
    <col min="4376" max="4382" width="19.125" style="1739" customWidth="1"/>
    <col min="4383" max="4384" width="15.25" style="1739" customWidth="1"/>
    <col min="4385" max="4385" width="14.25" style="1739" customWidth="1"/>
    <col min="4386" max="4391" width="9.25" style="1739" customWidth="1"/>
    <col min="4392" max="4393" width="14.25" style="1739" customWidth="1"/>
    <col min="4394" max="4395" width="11" style="1739" customWidth="1"/>
    <col min="4396" max="4396" width="11.25" style="1739" customWidth="1"/>
    <col min="4397" max="4397" width="10" style="1739" customWidth="1"/>
    <col min="4398" max="4398" width="9.25" style="1739" customWidth="1"/>
    <col min="4399" max="4402" width="9.375" style="1739" customWidth="1"/>
    <col min="4403" max="4403" width="7.875" style="1739"/>
    <col min="4404" max="4404" width="10.375" style="1739" customWidth="1"/>
    <col min="4405" max="4405" width="11" style="1739" customWidth="1"/>
    <col min="4406" max="4406" width="12.5" style="1739" customWidth="1"/>
    <col min="4407" max="4407" width="10.375" style="1739" customWidth="1"/>
    <col min="4408" max="4408" width="11" style="1739" customWidth="1"/>
    <col min="4409" max="4409" width="10.875" style="1739" customWidth="1"/>
    <col min="4410" max="4410" width="11.5" style="1739" customWidth="1"/>
    <col min="4411" max="4417" width="11.875" style="1739" customWidth="1"/>
    <col min="4418" max="4418" width="7.875" style="1739"/>
    <col min="4419" max="4420" width="9.75" style="1739" customWidth="1"/>
    <col min="4421" max="4421" width="7.875" style="1739"/>
    <col min="4422" max="4423" width="10.5" style="1739" customWidth="1"/>
    <col min="4424" max="4424" width="7.875" style="1739"/>
    <col min="4425" max="4426" width="10.5" style="1739" customWidth="1"/>
    <col min="4427" max="4427" width="7.875" style="1739"/>
    <col min="4428" max="4429" width="10.5" style="1739" customWidth="1"/>
    <col min="4430" max="4430" width="7.875" style="1739"/>
    <col min="4431" max="4432" width="10.5" style="1739" customWidth="1"/>
    <col min="4433" max="4608" width="7.875" style="1739"/>
    <col min="4609" max="4609" width="9" style="1739" customWidth="1"/>
    <col min="4610" max="4610" width="13.125" style="1739" customWidth="1"/>
    <col min="4611" max="4611" width="27.75" style="1739" customWidth="1"/>
    <col min="4612" max="4612" width="10.25" style="1739" customWidth="1"/>
    <col min="4613" max="4613" width="15.75" style="1739" customWidth="1"/>
    <col min="4614" max="4614" width="7.875" style="1739" hidden="1" customWidth="1"/>
    <col min="4615" max="4615" width="12.625" style="1739" customWidth="1"/>
    <col min="4616" max="4616" width="10.5" style="1739" customWidth="1"/>
    <col min="4617" max="4617" width="10.125" style="1739" customWidth="1"/>
    <col min="4618" max="4620" width="9.75" style="1739" customWidth="1"/>
    <col min="4621" max="4621" width="12.25" style="1739" customWidth="1"/>
    <col min="4622" max="4623" width="13.875" style="1739" customWidth="1"/>
    <col min="4624" max="4624" width="10.375" style="1739" customWidth="1"/>
    <col min="4625" max="4625" width="10" style="1739" customWidth="1"/>
    <col min="4626" max="4626" width="15.875" style="1739" customWidth="1"/>
    <col min="4627" max="4627" width="11.125" style="1739" customWidth="1"/>
    <col min="4628" max="4628" width="12.875" style="1739" customWidth="1"/>
    <col min="4629" max="4629" width="9.5" style="1739" customWidth="1"/>
    <col min="4630" max="4630" width="18.75" style="1739" customWidth="1"/>
    <col min="4631" max="4631" width="15.875" style="1739" customWidth="1"/>
    <col min="4632" max="4638" width="19.125" style="1739" customWidth="1"/>
    <col min="4639" max="4640" width="15.25" style="1739" customWidth="1"/>
    <col min="4641" max="4641" width="14.25" style="1739" customWidth="1"/>
    <col min="4642" max="4647" width="9.25" style="1739" customWidth="1"/>
    <col min="4648" max="4649" width="14.25" style="1739" customWidth="1"/>
    <col min="4650" max="4651" width="11" style="1739" customWidth="1"/>
    <col min="4652" max="4652" width="11.25" style="1739" customWidth="1"/>
    <col min="4653" max="4653" width="10" style="1739" customWidth="1"/>
    <col min="4654" max="4654" width="9.25" style="1739" customWidth="1"/>
    <col min="4655" max="4658" width="9.375" style="1739" customWidth="1"/>
    <col min="4659" max="4659" width="7.875" style="1739"/>
    <col min="4660" max="4660" width="10.375" style="1739" customWidth="1"/>
    <col min="4661" max="4661" width="11" style="1739" customWidth="1"/>
    <col min="4662" max="4662" width="12.5" style="1739" customWidth="1"/>
    <col min="4663" max="4663" width="10.375" style="1739" customWidth="1"/>
    <col min="4664" max="4664" width="11" style="1739" customWidth="1"/>
    <col min="4665" max="4665" width="10.875" style="1739" customWidth="1"/>
    <col min="4666" max="4666" width="11.5" style="1739" customWidth="1"/>
    <col min="4667" max="4673" width="11.875" style="1739" customWidth="1"/>
    <col min="4674" max="4674" width="7.875" style="1739"/>
    <col min="4675" max="4676" width="9.75" style="1739" customWidth="1"/>
    <col min="4677" max="4677" width="7.875" style="1739"/>
    <col min="4678" max="4679" width="10.5" style="1739" customWidth="1"/>
    <col min="4680" max="4680" width="7.875" style="1739"/>
    <col min="4681" max="4682" width="10.5" style="1739" customWidth="1"/>
    <col min="4683" max="4683" width="7.875" style="1739"/>
    <col min="4684" max="4685" width="10.5" style="1739" customWidth="1"/>
    <col min="4686" max="4686" width="7.875" style="1739"/>
    <col min="4687" max="4688" width="10.5" style="1739" customWidth="1"/>
    <col min="4689" max="4864" width="7.875" style="1739"/>
    <col min="4865" max="4865" width="9" style="1739" customWidth="1"/>
    <col min="4866" max="4866" width="13.125" style="1739" customWidth="1"/>
    <col min="4867" max="4867" width="27.75" style="1739" customWidth="1"/>
    <col min="4868" max="4868" width="10.25" style="1739" customWidth="1"/>
    <col min="4869" max="4869" width="15.75" style="1739" customWidth="1"/>
    <col min="4870" max="4870" width="7.875" style="1739" hidden="1" customWidth="1"/>
    <col min="4871" max="4871" width="12.625" style="1739" customWidth="1"/>
    <col min="4872" max="4872" width="10.5" style="1739" customWidth="1"/>
    <col min="4873" max="4873" width="10.125" style="1739" customWidth="1"/>
    <col min="4874" max="4876" width="9.75" style="1739" customWidth="1"/>
    <col min="4877" max="4877" width="12.25" style="1739" customWidth="1"/>
    <col min="4878" max="4879" width="13.875" style="1739" customWidth="1"/>
    <col min="4880" max="4880" width="10.375" style="1739" customWidth="1"/>
    <col min="4881" max="4881" width="10" style="1739" customWidth="1"/>
    <col min="4882" max="4882" width="15.875" style="1739" customWidth="1"/>
    <col min="4883" max="4883" width="11.125" style="1739" customWidth="1"/>
    <col min="4884" max="4884" width="12.875" style="1739" customWidth="1"/>
    <col min="4885" max="4885" width="9.5" style="1739" customWidth="1"/>
    <col min="4886" max="4886" width="18.75" style="1739" customWidth="1"/>
    <col min="4887" max="4887" width="15.875" style="1739" customWidth="1"/>
    <col min="4888" max="4894" width="19.125" style="1739" customWidth="1"/>
    <col min="4895" max="4896" width="15.25" style="1739" customWidth="1"/>
    <col min="4897" max="4897" width="14.25" style="1739" customWidth="1"/>
    <col min="4898" max="4903" width="9.25" style="1739" customWidth="1"/>
    <col min="4904" max="4905" width="14.25" style="1739" customWidth="1"/>
    <col min="4906" max="4907" width="11" style="1739" customWidth="1"/>
    <col min="4908" max="4908" width="11.25" style="1739" customWidth="1"/>
    <col min="4909" max="4909" width="10" style="1739" customWidth="1"/>
    <col min="4910" max="4910" width="9.25" style="1739" customWidth="1"/>
    <col min="4911" max="4914" width="9.375" style="1739" customWidth="1"/>
    <col min="4915" max="4915" width="7.875" style="1739"/>
    <col min="4916" max="4916" width="10.375" style="1739" customWidth="1"/>
    <col min="4917" max="4917" width="11" style="1739" customWidth="1"/>
    <col min="4918" max="4918" width="12.5" style="1739" customWidth="1"/>
    <col min="4919" max="4919" width="10.375" style="1739" customWidth="1"/>
    <col min="4920" max="4920" width="11" style="1739" customWidth="1"/>
    <col min="4921" max="4921" width="10.875" style="1739" customWidth="1"/>
    <col min="4922" max="4922" width="11.5" style="1739" customWidth="1"/>
    <col min="4923" max="4929" width="11.875" style="1739" customWidth="1"/>
    <col min="4930" max="4930" width="7.875" style="1739"/>
    <col min="4931" max="4932" width="9.75" style="1739" customWidth="1"/>
    <col min="4933" max="4933" width="7.875" style="1739"/>
    <col min="4934" max="4935" width="10.5" style="1739" customWidth="1"/>
    <col min="4936" max="4936" width="7.875" style="1739"/>
    <col min="4937" max="4938" width="10.5" style="1739" customWidth="1"/>
    <col min="4939" max="4939" width="7.875" style="1739"/>
    <col min="4940" max="4941" width="10.5" style="1739" customWidth="1"/>
    <col min="4942" max="4942" width="7.875" style="1739"/>
    <col min="4943" max="4944" width="10.5" style="1739" customWidth="1"/>
    <col min="4945" max="5120" width="7.875" style="1739"/>
    <col min="5121" max="5121" width="9" style="1739" customWidth="1"/>
    <col min="5122" max="5122" width="13.125" style="1739" customWidth="1"/>
    <col min="5123" max="5123" width="27.75" style="1739" customWidth="1"/>
    <col min="5124" max="5124" width="10.25" style="1739" customWidth="1"/>
    <col min="5125" max="5125" width="15.75" style="1739" customWidth="1"/>
    <col min="5126" max="5126" width="7.875" style="1739" hidden="1" customWidth="1"/>
    <col min="5127" max="5127" width="12.625" style="1739" customWidth="1"/>
    <col min="5128" max="5128" width="10.5" style="1739" customWidth="1"/>
    <col min="5129" max="5129" width="10.125" style="1739" customWidth="1"/>
    <col min="5130" max="5132" width="9.75" style="1739" customWidth="1"/>
    <col min="5133" max="5133" width="12.25" style="1739" customWidth="1"/>
    <col min="5134" max="5135" width="13.875" style="1739" customWidth="1"/>
    <col min="5136" max="5136" width="10.375" style="1739" customWidth="1"/>
    <col min="5137" max="5137" width="10" style="1739" customWidth="1"/>
    <col min="5138" max="5138" width="15.875" style="1739" customWidth="1"/>
    <col min="5139" max="5139" width="11.125" style="1739" customWidth="1"/>
    <col min="5140" max="5140" width="12.875" style="1739" customWidth="1"/>
    <col min="5141" max="5141" width="9.5" style="1739" customWidth="1"/>
    <col min="5142" max="5142" width="18.75" style="1739" customWidth="1"/>
    <col min="5143" max="5143" width="15.875" style="1739" customWidth="1"/>
    <col min="5144" max="5150" width="19.125" style="1739" customWidth="1"/>
    <col min="5151" max="5152" width="15.25" style="1739" customWidth="1"/>
    <col min="5153" max="5153" width="14.25" style="1739" customWidth="1"/>
    <col min="5154" max="5159" width="9.25" style="1739" customWidth="1"/>
    <col min="5160" max="5161" width="14.25" style="1739" customWidth="1"/>
    <col min="5162" max="5163" width="11" style="1739" customWidth="1"/>
    <col min="5164" max="5164" width="11.25" style="1739" customWidth="1"/>
    <col min="5165" max="5165" width="10" style="1739" customWidth="1"/>
    <col min="5166" max="5166" width="9.25" style="1739" customWidth="1"/>
    <col min="5167" max="5170" width="9.375" style="1739" customWidth="1"/>
    <col min="5171" max="5171" width="7.875" style="1739"/>
    <col min="5172" max="5172" width="10.375" style="1739" customWidth="1"/>
    <col min="5173" max="5173" width="11" style="1739" customWidth="1"/>
    <col min="5174" max="5174" width="12.5" style="1739" customWidth="1"/>
    <col min="5175" max="5175" width="10.375" style="1739" customWidth="1"/>
    <col min="5176" max="5176" width="11" style="1739" customWidth="1"/>
    <col min="5177" max="5177" width="10.875" style="1739" customWidth="1"/>
    <col min="5178" max="5178" width="11.5" style="1739" customWidth="1"/>
    <col min="5179" max="5185" width="11.875" style="1739" customWidth="1"/>
    <col min="5186" max="5186" width="7.875" style="1739"/>
    <col min="5187" max="5188" width="9.75" style="1739" customWidth="1"/>
    <col min="5189" max="5189" width="7.875" style="1739"/>
    <col min="5190" max="5191" width="10.5" style="1739" customWidth="1"/>
    <col min="5192" max="5192" width="7.875" style="1739"/>
    <col min="5193" max="5194" width="10.5" style="1739" customWidth="1"/>
    <col min="5195" max="5195" width="7.875" style="1739"/>
    <col min="5196" max="5197" width="10.5" style="1739" customWidth="1"/>
    <col min="5198" max="5198" width="7.875" style="1739"/>
    <col min="5199" max="5200" width="10.5" style="1739" customWidth="1"/>
    <col min="5201" max="5376" width="7.875" style="1739"/>
    <col min="5377" max="5377" width="9" style="1739" customWidth="1"/>
    <col min="5378" max="5378" width="13.125" style="1739" customWidth="1"/>
    <col min="5379" max="5379" width="27.75" style="1739" customWidth="1"/>
    <col min="5380" max="5380" width="10.25" style="1739" customWidth="1"/>
    <col min="5381" max="5381" width="15.75" style="1739" customWidth="1"/>
    <col min="5382" max="5382" width="7.875" style="1739" hidden="1" customWidth="1"/>
    <col min="5383" max="5383" width="12.625" style="1739" customWidth="1"/>
    <col min="5384" max="5384" width="10.5" style="1739" customWidth="1"/>
    <col min="5385" max="5385" width="10.125" style="1739" customWidth="1"/>
    <col min="5386" max="5388" width="9.75" style="1739" customWidth="1"/>
    <col min="5389" max="5389" width="12.25" style="1739" customWidth="1"/>
    <col min="5390" max="5391" width="13.875" style="1739" customWidth="1"/>
    <col min="5392" max="5392" width="10.375" style="1739" customWidth="1"/>
    <col min="5393" max="5393" width="10" style="1739" customWidth="1"/>
    <col min="5394" max="5394" width="15.875" style="1739" customWidth="1"/>
    <col min="5395" max="5395" width="11.125" style="1739" customWidth="1"/>
    <col min="5396" max="5396" width="12.875" style="1739" customWidth="1"/>
    <col min="5397" max="5397" width="9.5" style="1739" customWidth="1"/>
    <col min="5398" max="5398" width="18.75" style="1739" customWidth="1"/>
    <col min="5399" max="5399" width="15.875" style="1739" customWidth="1"/>
    <col min="5400" max="5406" width="19.125" style="1739" customWidth="1"/>
    <col min="5407" max="5408" width="15.25" style="1739" customWidth="1"/>
    <col min="5409" max="5409" width="14.25" style="1739" customWidth="1"/>
    <col min="5410" max="5415" width="9.25" style="1739" customWidth="1"/>
    <col min="5416" max="5417" width="14.25" style="1739" customWidth="1"/>
    <col min="5418" max="5419" width="11" style="1739" customWidth="1"/>
    <col min="5420" max="5420" width="11.25" style="1739" customWidth="1"/>
    <col min="5421" max="5421" width="10" style="1739" customWidth="1"/>
    <col min="5422" max="5422" width="9.25" style="1739" customWidth="1"/>
    <col min="5423" max="5426" width="9.375" style="1739" customWidth="1"/>
    <col min="5427" max="5427" width="7.875" style="1739"/>
    <col min="5428" max="5428" width="10.375" style="1739" customWidth="1"/>
    <col min="5429" max="5429" width="11" style="1739" customWidth="1"/>
    <col min="5430" max="5430" width="12.5" style="1739" customWidth="1"/>
    <col min="5431" max="5431" width="10.375" style="1739" customWidth="1"/>
    <col min="5432" max="5432" width="11" style="1739" customWidth="1"/>
    <col min="5433" max="5433" width="10.875" style="1739" customWidth="1"/>
    <col min="5434" max="5434" width="11.5" style="1739" customWidth="1"/>
    <col min="5435" max="5441" width="11.875" style="1739" customWidth="1"/>
    <col min="5442" max="5442" width="7.875" style="1739"/>
    <col min="5443" max="5444" width="9.75" style="1739" customWidth="1"/>
    <col min="5445" max="5445" width="7.875" style="1739"/>
    <col min="5446" max="5447" width="10.5" style="1739" customWidth="1"/>
    <col min="5448" max="5448" width="7.875" style="1739"/>
    <col min="5449" max="5450" width="10.5" style="1739" customWidth="1"/>
    <col min="5451" max="5451" width="7.875" style="1739"/>
    <col min="5452" max="5453" width="10.5" style="1739" customWidth="1"/>
    <col min="5454" max="5454" width="7.875" style="1739"/>
    <col min="5455" max="5456" width="10.5" style="1739" customWidth="1"/>
    <col min="5457" max="5632" width="7.875" style="1739"/>
    <col min="5633" max="5633" width="9" style="1739" customWidth="1"/>
    <col min="5634" max="5634" width="13.125" style="1739" customWidth="1"/>
    <col min="5635" max="5635" width="27.75" style="1739" customWidth="1"/>
    <col min="5636" max="5636" width="10.25" style="1739" customWidth="1"/>
    <col min="5637" max="5637" width="15.75" style="1739" customWidth="1"/>
    <col min="5638" max="5638" width="7.875" style="1739" hidden="1" customWidth="1"/>
    <col min="5639" max="5639" width="12.625" style="1739" customWidth="1"/>
    <col min="5640" max="5640" width="10.5" style="1739" customWidth="1"/>
    <col min="5641" max="5641" width="10.125" style="1739" customWidth="1"/>
    <col min="5642" max="5644" width="9.75" style="1739" customWidth="1"/>
    <col min="5645" max="5645" width="12.25" style="1739" customWidth="1"/>
    <col min="5646" max="5647" width="13.875" style="1739" customWidth="1"/>
    <col min="5648" max="5648" width="10.375" style="1739" customWidth="1"/>
    <col min="5649" max="5649" width="10" style="1739" customWidth="1"/>
    <col min="5650" max="5650" width="15.875" style="1739" customWidth="1"/>
    <col min="5651" max="5651" width="11.125" style="1739" customWidth="1"/>
    <col min="5652" max="5652" width="12.875" style="1739" customWidth="1"/>
    <col min="5653" max="5653" width="9.5" style="1739" customWidth="1"/>
    <col min="5654" max="5654" width="18.75" style="1739" customWidth="1"/>
    <col min="5655" max="5655" width="15.875" style="1739" customWidth="1"/>
    <col min="5656" max="5662" width="19.125" style="1739" customWidth="1"/>
    <col min="5663" max="5664" width="15.25" style="1739" customWidth="1"/>
    <col min="5665" max="5665" width="14.25" style="1739" customWidth="1"/>
    <col min="5666" max="5671" width="9.25" style="1739" customWidth="1"/>
    <col min="5672" max="5673" width="14.25" style="1739" customWidth="1"/>
    <col min="5674" max="5675" width="11" style="1739" customWidth="1"/>
    <col min="5676" max="5676" width="11.25" style="1739" customWidth="1"/>
    <col min="5677" max="5677" width="10" style="1739" customWidth="1"/>
    <col min="5678" max="5678" width="9.25" style="1739" customWidth="1"/>
    <col min="5679" max="5682" width="9.375" style="1739" customWidth="1"/>
    <col min="5683" max="5683" width="7.875" style="1739"/>
    <col min="5684" max="5684" width="10.375" style="1739" customWidth="1"/>
    <col min="5685" max="5685" width="11" style="1739" customWidth="1"/>
    <col min="5686" max="5686" width="12.5" style="1739" customWidth="1"/>
    <col min="5687" max="5687" width="10.375" style="1739" customWidth="1"/>
    <col min="5688" max="5688" width="11" style="1739" customWidth="1"/>
    <col min="5689" max="5689" width="10.875" style="1739" customWidth="1"/>
    <col min="5690" max="5690" width="11.5" style="1739" customWidth="1"/>
    <col min="5691" max="5697" width="11.875" style="1739" customWidth="1"/>
    <col min="5698" max="5698" width="7.875" style="1739"/>
    <col min="5699" max="5700" width="9.75" style="1739" customWidth="1"/>
    <col min="5701" max="5701" width="7.875" style="1739"/>
    <col min="5702" max="5703" width="10.5" style="1739" customWidth="1"/>
    <col min="5704" max="5704" width="7.875" style="1739"/>
    <col min="5705" max="5706" width="10.5" style="1739" customWidth="1"/>
    <col min="5707" max="5707" width="7.875" style="1739"/>
    <col min="5708" max="5709" width="10.5" style="1739" customWidth="1"/>
    <col min="5710" max="5710" width="7.875" style="1739"/>
    <col min="5711" max="5712" width="10.5" style="1739" customWidth="1"/>
    <col min="5713" max="5888" width="7.875" style="1739"/>
    <col min="5889" max="5889" width="9" style="1739" customWidth="1"/>
    <col min="5890" max="5890" width="13.125" style="1739" customWidth="1"/>
    <col min="5891" max="5891" width="27.75" style="1739" customWidth="1"/>
    <col min="5892" max="5892" width="10.25" style="1739" customWidth="1"/>
    <col min="5893" max="5893" width="15.75" style="1739" customWidth="1"/>
    <col min="5894" max="5894" width="7.875" style="1739" hidden="1" customWidth="1"/>
    <col min="5895" max="5895" width="12.625" style="1739" customWidth="1"/>
    <col min="5896" max="5896" width="10.5" style="1739" customWidth="1"/>
    <col min="5897" max="5897" width="10.125" style="1739" customWidth="1"/>
    <col min="5898" max="5900" width="9.75" style="1739" customWidth="1"/>
    <col min="5901" max="5901" width="12.25" style="1739" customWidth="1"/>
    <col min="5902" max="5903" width="13.875" style="1739" customWidth="1"/>
    <col min="5904" max="5904" width="10.375" style="1739" customWidth="1"/>
    <col min="5905" max="5905" width="10" style="1739" customWidth="1"/>
    <col min="5906" max="5906" width="15.875" style="1739" customWidth="1"/>
    <col min="5907" max="5907" width="11.125" style="1739" customWidth="1"/>
    <col min="5908" max="5908" width="12.875" style="1739" customWidth="1"/>
    <col min="5909" max="5909" width="9.5" style="1739" customWidth="1"/>
    <col min="5910" max="5910" width="18.75" style="1739" customWidth="1"/>
    <col min="5911" max="5911" width="15.875" style="1739" customWidth="1"/>
    <col min="5912" max="5918" width="19.125" style="1739" customWidth="1"/>
    <col min="5919" max="5920" width="15.25" style="1739" customWidth="1"/>
    <col min="5921" max="5921" width="14.25" style="1739" customWidth="1"/>
    <col min="5922" max="5927" width="9.25" style="1739" customWidth="1"/>
    <col min="5928" max="5929" width="14.25" style="1739" customWidth="1"/>
    <col min="5930" max="5931" width="11" style="1739" customWidth="1"/>
    <col min="5932" max="5932" width="11.25" style="1739" customWidth="1"/>
    <col min="5933" max="5933" width="10" style="1739" customWidth="1"/>
    <col min="5934" max="5934" width="9.25" style="1739" customWidth="1"/>
    <col min="5935" max="5938" width="9.375" style="1739" customWidth="1"/>
    <col min="5939" max="5939" width="7.875" style="1739"/>
    <col min="5940" max="5940" width="10.375" style="1739" customWidth="1"/>
    <col min="5941" max="5941" width="11" style="1739" customWidth="1"/>
    <col min="5942" max="5942" width="12.5" style="1739" customWidth="1"/>
    <col min="5943" max="5943" width="10.375" style="1739" customWidth="1"/>
    <col min="5944" max="5944" width="11" style="1739" customWidth="1"/>
    <col min="5945" max="5945" width="10.875" style="1739" customWidth="1"/>
    <col min="5946" max="5946" width="11.5" style="1739" customWidth="1"/>
    <col min="5947" max="5953" width="11.875" style="1739" customWidth="1"/>
    <col min="5954" max="5954" width="7.875" style="1739"/>
    <col min="5955" max="5956" width="9.75" style="1739" customWidth="1"/>
    <col min="5957" max="5957" width="7.875" style="1739"/>
    <col min="5958" max="5959" width="10.5" style="1739" customWidth="1"/>
    <col min="5960" max="5960" width="7.875" style="1739"/>
    <col min="5961" max="5962" width="10.5" style="1739" customWidth="1"/>
    <col min="5963" max="5963" width="7.875" style="1739"/>
    <col min="5964" max="5965" width="10.5" style="1739" customWidth="1"/>
    <col min="5966" max="5966" width="7.875" style="1739"/>
    <col min="5967" max="5968" width="10.5" style="1739" customWidth="1"/>
    <col min="5969" max="6144" width="7.875" style="1739"/>
    <col min="6145" max="6145" width="9" style="1739" customWidth="1"/>
    <col min="6146" max="6146" width="13.125" style="1739" customWidth="1"/>
    <col min="6147" max="6147" width="27.75" style="1739" customWidth="1"/>
    <col min="6148" max="6148" width="10.25" style="1739" customWidth="1"/>
    <col min="6149" max="6149" width="15.75" style="1739" customWidth="1"/>
    <col min="6150" max="6150" width="7.875" style="1739" hidden="1" customWidth="1"/>
    <col min="6151" max="6151" width="12.625" style="1739" customWidth="1"/>
    <col min="6152" max="6152" width="10.5" style="1739" customWidth="1"/>
    <col min="6153" max="6153" width="10.125" style="1739" customWidth="1"/>
    <col min="6154" max="6156" width="9.75" style="1739" customWidth="1"/>
    <col min="6157" max="6157" width="12.25" style="1739" customWidth="1"/>
    <col min="6158" max="6159" width="13.875" style="1739" customWidth="1"/>
    <col min="6160" max="6160" width="10.375" style="1739" customWidth="1"/>
    <col min="6161" max="6161" width="10" style="1739" customWidth="1"/>
    <col min="6162" max="6162" width="15.875" style="1739" customWidth="1"/>
    <col min="6163" max="6163" width="11.125" style="1739" customWidth="1"/>
    <col min="6164" max="6164" width="12.875" style="1739" customWidth="1"/>
    <col min="6165" max="6165" width="9.5" style="1739" customWidth="1"/>
    <col min="6166" max="6166" width="18.75" style="1739" customWidth="1"/>
    <col min="6167" max="6167" width="15.875" style="1739" customWidth="1"/>
    <col min="6168" max="6174" width="19.125" style="1739" customWidth="1"/>
    <col min="6175" max="6176" width="15.25" style="1739" customWidth="1"/>
    <col min="6177" max="6177" width="14.25" style="1739" customWidth="1"/>
    <col min="6178" max="6183" width="9.25" style="1739" customWidth="1"/>
    <col min="6184" max="6185" width="14.25" style="1739" customWidth="1"/>
    <col min="6186" max="6187" width="11" style="1739" customWidth="1"/>
    <col min="6188" max="6188" width="11.25" style="1739" customWidth="1"/>
    <col min="6189" max="6189" width="10" style="1739" customWidth="1"/>
    <col min="6190" max="6190" width="9.25" style="1739" customWidth="1"/>
    <col min="6191" max="6194" width="9.375" style="1739" customWidth="1"/>
    <col min="6195" max="6195" width="7.875" style="1739"/>
    <col min="6196" max="6196" width="10.375" style="1739" customWidth="1"/>
    <col min="6197" max="6197" width="11" style="1739" customWidth="1"/>
    <col min="6198" max="6198" width="12.5" style="1739" customWidth="1"/>
    <col min="6199" max="6199" width="10.375" style="1739" customWidth="1"/>
    <col min="6200" max="6200" width="11" style="1739" customWidth="1"/>
    <col min="6201" max="6201" width="10.875" style="1739" customWidth="1"/>
    <col min="6202" max="6202" width="11.5" style="1739" customWidth="1"/>
    <col min="6203" max="6209" width="11.875" style="1739" customWidth="1"/>
    <col min="6210" max="6210" width="7.875" style="1739"/>
    <col min="6211" max="6212" width="9.75" style="1739" customWidth="1"/>
    <col min="6213" max="6213" width="7.875" style="1739"/>
    <col min="6214" max="6215" width="10.5" style="1739" customWidth="1"/>
    <col min="6216" max="6216" width="7.875" style="1739"/>
    <col min="6217" max="6218" width="10.5" style="1739" customWidth="1"/>
    <col min="6219" max="6219" width="7.875" style="1739"/>
    <col min="6220" max="6221" width="10.5" style="1739" customWidth="1"/>
    <col min="6222" max="6222" width="7.875" style="1739"/>
    <col min="6223" max="6224" width="10.5" style="1739" customWidth="1"/>
    <col min="6225" max="6400" width="7.875" style="1739"/>
    <col min="6401" max="6401" width="9" style="1739" customWidth="1"/>
    <col min="6402" max="6402" width="13.125" style="1739" customWidth="1"/>
    <col min="6403" max="6403" width="27.75" style="1739" customWidth="1"/>
    <col min="6404" max="6404" width="10.25" style="1739" customWidth="1"/>
    <col min="6405" max="6405" width="15.75" style="1739" customWidth="1"/>
    <col min="6406" max="6406" width="7.875" style="1739" hidden="1" customWidth="1"/>
    <col min="6407" max="6407" width="12.625" style="1739" customWidth="1"/>
    <col min="6408" max="6408" width="10.5" style="1739" customWidth="1"/>
    <col min="6409" max="6409" width="10.125" style="1739" customWidth="1"/>
    <col min="6410" max="6412" width="9.75" style="1739" customWidth="1"/>
    <col min="6413" max="6413" width="12.25" style="1739" customWidth="1"/>
    <col min="6414" max="6415" width="13.875" style="1739" customWidth="1"/>
    <col min="6416" max="6416" width="10.375" style="1739" customWidth="1"/>
    <col min="6417" max="6417" width="10" style="1739" customWidth="1"/>
    <col min="6418" max="6418" width="15.875" style="1739" customWidth="1"/>
    <col min="6419" max="6419" width="11.125" style="1739" customWidth="1"/>
    <col min="6420" max="6420" width="12.875" style="1739" customWidth="1"/>
    <col min="6421" max="6421" width="9.5" style="1739" customWidth="1"/>
    <col min="6422" max="6422" width="18.75" style="1739" customWidth="1"/>
    <col min="6423" max="6423" width="15.875" style="1739" customWidth="1"/>
    <col min="6424" max="6430" width="19.125" style="1739" customWidth="1"/>
    <col min="6431" max="6432" width="15.25" style="1739" customWidth="1"/>
    <col min="6433" max="6433" width="14.25" style="1739" customWidth="1"/>
    <col min="6434" max="6439" width="9.25" style="1739" customWidth="1"/>
    <col min="6440" max="6441" width="14.25" style="1739" customWidth="1"/>
    <col min="6442" max="6443" width="11" style="1739" customWidth="1"/>
    <col min="6444" max="6444" width="11.25" style="1739" customWidth="1"/>
    <col min="6445" max="6445" width="10" style="1739" customWidth="1"/>
    <col min="6446" max="6446" width="9.25" style="1739" customWidth="1"/>
    <col min="6447" max="6450" width="9.375" style="1739" customWidth="1"/>
    <col min="6451" max="6451" width="7.875" style="1739"/>
    <col min="6452" max="6452" width="10.375" style="1739" customWidth="1"/>
    <col min="6453" max="6453" width="11" style="1739" customWidth="1"/>
    <col min="6454" max="6454" width="12.5" style="1739" customWidth="1"/>
    <col min="6455" max="6455" width="10.375" style="1739" customWidth="1"/>
    <col min="6456" max="6456" width="11" style="1739" customWidth="1"/>
    <col min="6457" max="6457" width="10.875" style="1739" customWidth="1"/>
    <col min="6458" max="6458" width="11.5" style="1739" customWidth="1"/>
    <col min="6459" max="6465" width="11.875" style="1739" customWidth="1"/>
    <col min="6466" max="6466" width="7.875" style="1739"/>
    <col min="6467" max="6468" width="9.75" style="1739" customWidth="1"/>
    <col min="6469" max="6469" width="7.875" style="1739"/>
    <col min="6470" max="6471" width="10.5" style="1739" customWidth="1"/>
    <col min="6472" max="6472" width="7.875" style="1739"/>
    <col min="6473" max="6474" width="10.5" style="1739" customWidth="1"/>
    <col min="6475" max="6475" width="7.875" style="1739"/>
    <col min="6476" max="6477" width="10.5" style="1739" customWidth="1"/>
    <col min="6478" max="6478" width="7.875" style="1739"/>
    <col min="6479" max="6480" width="10.5" style="1739" customWidth="1"/>
    <col min="6481" max="6656" width="7.875" style="1739"/>
    <col min="6657" max="6657" width="9" style="1739" customWidth="1"/>
    <col min="6658" max="6658" width="13.125" style="1739" customWidth="1"/>
    <col min="6659" max="6659" width="27.75" style="1739" customWidth="1"/>
    <col min="6660" max="6660" width="10.25" style="1739" customWidth="1"/>
    <col min="6661" max="6661" width="15.75" style="1739" customWidth="1"/>
    <col min="6662" max="6662" width="7.875" style="1739" hidden="1" customWidth="1"/>
    <col min="6663" max="6663" width="12.625" style="1739" customWidth="1"/>
    <col min="6664" max="6664" width="10.5" style="1739" customWidth="1"/>
    <col min="6665" max="6665" width="10.125" style="1739" customWidth="1"/>
    <col min="6666" max="6668" width="9.75" style="1739" customWidth="1"/>
    <col min="6669" max="6669" width="12.25" style="1739" customWidth="1"/>
    <col min="6670" max="6671" width="13.875" style="1739" customWidth="1"/>
    <col min="6672" max="6672" width="10.375" style="1739" customWidth="1"/>
    <col min="6673" max="6673" width="10" style="1739" customWidth="1"/>
    <col min="6674" max="6674" width="15.875" style="1739" customWidth="1"/>
    <col min="6675" max="6675" width="11.125" style="1739" customWidth="1"/>
    <col min="6676" max="6676" width="12.875" style="1739" customWidth="1"/>
    <col min="6677" max="6677" width="9.5" style="1739" customWidth="1"/>
    <col min="6678" max="6678" width="18.75" style="1739" customWidth="1"/>
    <col min="6679" max="6679" width="15.875" style="1739" customWidth="1"/>
    <col min="6680" max="6686" width="19.125" style="1739" customWidth="1"/>
    <col min="6687" max="6688" width="15.25" style="1739" customWidth="1"/>
    <col min="6689" max="6689" width="14.25" style="1739" customWidth="1"/>
    <col min="6690" max="6695" width="9.25" style="1739" customWidth="1"/>
    <col min="6696" max="6697" width="14.25" style="1739" customWidth="1"/>
    <col min="6698" max="6699" width="11" style="1739" customWidth="1"/>
    <col min="6700" max="6700" width="11.25" style="1739" customWidth="1"/>
    <col min="6701" max="6701" width="10" style="1739" customWidth="1"/>
    <col min="6702" max="6702" width="9.25" style="1739" customWidth="1"/>
    <col min="6703" max="6706" width="9.375" style="1739" customWidth="1"/>
    <col min="6707" max="6707" width="7.875" style="1739"/>
    <col min="6708" max="6708" width="10.375" style="1739" customWidth="1"/>
    <col min="6709" max="6709" width="11" style="1739" customWidth="1"/>
    <col min="6710" max="6710" width="12.5" style="1739" customWidth="1"/>
    <col min="6711" max="6711" width="10.375" style="1739" customWidth="1"/>
    <col min="6712" max="6712" width="11" style="1739" customWidth="1"/>
    <col min="6713" max="6713" width="10.875" style="1739" customWidth="1"/>
    <col min="6714" max="6714" width="11.5" style="1739" customWidth="1"/>
    <col min="6715" max="6721" width="11.875" style="1739" customWidth="1"/>
    <col min="6722" max="6722" width="7.875" style="1739"/>
    <col min="6723" max="6724" width="9.75" style="1739" customWidth="1"/>
    <col min="6725" max="6725" width="7.875" style="1739"/>
    <col min="6726" max="6727" width="10.5" style="1739" customWidth="1"/>
    <col min="6728" max="6728" width="7.875" style="1739"/>
    <col min="6729" max="6730" width="10.5" style="1739" customWidth="1"/>
    <col min="6731" max="6731" width="7.875" style="1739"/>
    <col min="6732" max="6733" width="10.5" style="1739" customWidth="1"/>
    <col min="6734" max="6734" width="7.875" style="1739"/>
    <col min="6735" max="6736" width="10.5" style="1739" customWidth="1"/>
    <col min="6737" max="6912" width="7.875" style="1739"/>
    <col min="6913" max="6913" width="9" style="1739" customWidth="1"/>
    <col min="6914" max="6914" width="13.125" style="1739" customWidth="1"/>
    <col min="6915" max="6915" width="27.75" style="1739" customWidth="1"/>
    <col min="6916" max="6916" width="10.25" style="1739" customWidth="1"/>
    <col min="6917" max="6917" width="15.75" style="1739" customWidth="1"/>
    <col min="6918" max="6918" width="7.875" style="1739" hidden="1" customWidth="1"/>
    <col min="6919" max="6919" width="12.625" style="1739" customWidth="1"/>
    <col min="6920" max="6920" width="10.5" style="1739" customWidth="1"/>
    <col min="6921" max="6921" width="10.125" style="1739" customWidth="1"/>
    <col min="6922" max="6924" width="9.75" style="1739" customWidth="1"/>
    <col min="6925" max="6925" width="12.25" style="1739" customWidth="1"/>
    <col min="6926" max="6927" width="13.875" style="1739" customWidth="1"/>
    <col min="6928" max="6928" width="10.375" style="1739" customWidth="1"/>
    <col min="6929" max="6929" width="10" style="1739" customWidth="1"/>
    <col min="6930" max="6930" width="15.875" style="1739" customWidth="1"/>
    <col min="6931" max="6931" width="11.125" style="1739" customWidth="1"/>
    <col min="6932" max="6932" width="12.875" style="1739" customWidth="1"/>
    <col min="6933" max="6933" width="9.5" style="1739" customWidth="1"/>
    <col min="6934" max="6934" width="18.75" style="1739" customWidth="1"/>
    <col min="6935" max="6935" width="15.875" style="1739" customWidth="1"/>
    <col min="6936" max="6942" width="19.125" style="1739" customWidth="1"/>
    <col min="6943" max="6944" width="15.25" style="1739" customWidth="1"/>
    <col min="6945" max="6945" width="14.25" style="1739" customWidth="1"/>
    <col min="6946" max="6951" width="9.25" style="1739" customWidth="1"/>
    <col min="6952" max="6953" width="14.25" style="1739" customWidth="1"/>
    <col min="6954" max="6955" width="11" style="1739" customWidth="1"/>
    <col min="6956" max="6956" width="11.25" style="1739" customWidth="1"/>
    <col min="6957" max="6957" width="10" style="1739" customWidth="1"/>
    <col min="6958" max="6958" width="9.25" style="1739" customWidth="1"/>
    <col min="6959" max="6962" width="9.375" style="1739" customWidth="1"/>
    <col min="6963" max="6963" width="7.875" style="1739"/>
    <col min="6964" max="6964" width="10.375" style="1739" customWidth="1"/>
    <col min="6965" max="6965" width="11" style="1739" customWidth="1"/>
    <col min="6966" max="6966" width="12.5" style="1739" customWidth="1"/>
    <col min="6967" max="6967" width="10.375" style="1739" customWidth="1"/>
    <col min="6968" max="6968" width="11" style="1739" customWidth="1"/>
    <col min="6969" max="6969" width="10.875" style="1739" customWidth="1"/>
    <col min="6970" max="6970" width="11.5" style="1739" customWidth="1"/>
    <col min="6971" max="6977" width="11.875" style="1739" customWidth="1"/>
    <col min="6978" max="6978" width="7.875" style="1739"/>
    <col min="6979" max="6980" width="9.75" style="1739" customWidth="1"/>
    <col min="6981" max="6981" width="7.875" style="1739"/>
    <col min="6982" max="6983" width="10.5" style="1739" customWidth="1"/>
    <col min="6984" max="6984" width="7.875" style="1739"/>
    <col min="6985" max="6986" width="10.5" style="1739" customWidth="1"/>
    <col min="6987" max="6987" width="7.875" style="1739"/>
    <col min="6988" max="6989" width="10.5" style="1739" customWidth="1"/>
    <col min="6990" max="6990" width="7.875" style="1739"/>
    <col min="6991" max="6992" width="10.5" style="1739" customWidth="1"/>
    <col min="6993" max="7168" width="7.875" style="1739"/>
    <col min="7169" max="7169" width="9" style="1739" customWidth="1"/>
    <col min="7170" max="7170" width="13.125" style="1739" customWidth="1"/>
    <col min="7171" max="7171" width="27.75" style="1739" customWidth="1"/>
    <col min="7172" max="7172" width="10.25" style="1739" customWidth="1"/>
    <col min="7173" max="7173" width="15.75" style="1739" customWidth="1"/>
    <col min="7174" max="7174" width="7.875" style="1739" hidden="1" customWidth="1"/>
    <col min="7175" max="7175" width="12.625" style="1739" customWidth="1"/>
    <col min="7176" max="7176" width="10.5" style="1739" customWidth="1"/>
    <col min="7177" max="7177" width="10.125" style="1739" customWidth="1"/>
    <col min="7178" max="7180" width="9.75" style="1739" customWidth="1"/>
    <col min="7181" max="7181" width="12.25" style="1739" customWidth="1"/>
    <col min="7182" max="7183" width="13.875" style="1739" customWidth="1"/>
    <col min="7184" max="7184" width="10.375" style="1739" customWidth="1"/>
    <col min="7185" max="7185" width="10" style="1739" customWidth="1"/>
    <col min="7186" max="7186" width="15.875" style="1739" customWidth="1"/>
    <col min="7187" max="7187" width="11.125" style="1739" customWidth="1"/>
    <col min="7188" max="7188" width="12.875" style="1739" customWidth="1"/>
    <col min="7189" max="7189" width="9.5" style="1739" customWidth="1"/>
    <col min="7190" max="7190" width="18.75" style="1739" customWidth="1"/>
    <col min="7191" max="7191" width="15.875" style="1739" customWidth="1"/>
    <col min="7192" max="7198" width="19.125" style="1739" customWidth="1"/>
    <col min="7199" max="7200" width="15.25" style="1739" customWidth="1"/>
    <col min="7201" max="7201" width="14.25" style="1739" customWidth="1"/>
    <col min="7202" max="7207" width="9.25" style="1739" customWidth="1"/>
    <col min="7208" max="7209" width="14.25" style="1739" customWidth="1"/>
    <col min="7210" max="7211" width="11" style="1739" customWidth="1"/>
    <col min="7212" max="7212" width="11.25" style="1739" customWidth="1"/>
    <col min="7213" max="7213" width="10" style="1739" customWidth="1"/>
    <col min="7214" max="7214" width="9.25" style="1739" customWidth="1"/>
    <col min="7215" max="7218" width="9.375" style="1739" customWidth="1"/>
    <col min="7219" max="7219" width="7.875" style="1739"/>
    <col min="7220" max="7220" width="10.375" style="1739" customWidth="1"/>
    <col min="7221" max="7221" width="11" style="1739" customWidth="1"/>
    <col min="7222" max="7222" width="12.5" style="1739" customWidth="1"/>
    <col min="7223" max="7223" width="10.375" style="1739" customWidth="1"/>
    <col min="7224" max="7224" width="11" style="1739" customWidth="1"/>
    <col min="7225" max="7225" width="10.875" style="1739" customWidth="1"/>
    <col min="7226" max="7226" width="11.5" style="1739" customWidth="1"/>
    <col min="7227" max="7233" width="11.875" style="1739" customWidth="1"/>
    <col min="7234" max="7234" width="7.875" style="1739"/>
    <col min="7235" max="7236" width="9.75" style="1739" customWidth="1"/>
    <col min="7237" max="7237" width="7.875" style="1739"/>
    <col min="7238" max="7239" width="10.5" style="1739" customWidth="1"/>
    <col min="7240" max="7240" width="7.875" style="1739"/>
    <col min="7241" max="7242" width="10.5" style="1739" customWidth="1"/>
    <col min="7243" max="7243" width="7.875" style="1739"/>
    <col min="7244" max="7245" width="10.5" style="1739" customWidth="1"/>
    <col min="7246" max="7246" width="7.875" style="1739"/>
    <col min="7247" max="7248" width="10.5" style="1739" customWidth="1"/>
    <col min="7249" max="7424" width="7.875" style="1739"/>
    <col min="7425" max="7425" width="9" style="1739" customWidth="1"/>
    <col min="7426" max="7426" width="13.125" style="1739" customWidth="1"/>
    <col min="7427" max="7427" width="27.75" style="1739" customWidth="1"/>
    <col min="7428" max="7428" width="10.25" style="1739" customWidth="1"/>
    <col min="7429" max="7429" width="15.75" style="1739" customWidth="1"/>
    <col min="7430" max="7430" width="7.875" style="1739" hidden="1" customWidth="1"/>
    <col min="7431" max="7431" width="12.625" style="1739" customWidth="1"/>
    <col min="7432" max="7432" width="10.5" style="1739" customWidth="1"/>
    <col min="7433" max="7433" width="10.125" style="1739" customWidth="1"/>
    <col min="7434" max="7436" width="9.75" style="1739" customWidth="1"/>
    <col min="7437" max="7437" width="12.25" style="1739" customWidth="1"/>
    <col min="7438" max="7439" width="13.875" style="1739" customWidth="1"/>
    <col min="7440" max="7440" width="10.375" style="1739" customWidth="1"/>
    <col min="7441" max="7441" width="10" style="1739" customWidth="1"/>
    <col min="7442" max="7442" width="15.875" style="1739" customWidth="1"/>
    <col min="7443" max="7443" width="11.125" style="1739" customWidth="1"/>
    <col min="7444" max="7444" width="12.875" style="1739" customWidth="1"/>
    <col min="7445" max="7445" width="9.5" style="1739" customWidth="1"/>
    <col min="7446" max="7446" width="18.75" style="1739" customWidth="1"/>
    <col min="7447" max="7447" width="15.875" style="1739" customWidth="1"/>
    <col min="7448" max="7454" width="19.125" style="1739" customWidth="1"/>
    <col min="7455" max="7456" width="15.25" style="1739" customWidth="1"/>
    <col min="7457" max="7457" width="14.25" style="1739" customWidth="1"/>
    <col min="7458" max="7463" width="9.25" style="1739" customWidth="1"/>
    <col min="7464" max="7465" width="14.25" style="1739" customWidth="1"/>
    <col min="7466" max="7467" width="11" style="1739" customWidth="1"/>
    <col min="7468" max="7468" width="11.25" style="1739" customWidth="1"/>
    <col min="7469" max="7469" width="10" style="1739" customWidth="1"/>
    <col min="7470" max="7470" width="9.25" style="1739" customWidth="1"/>
    <col min="7471" max="7474" width="9.375" style="1739" customWidth="1"/>
    <col min="7475" max="7475" width="7.875" style="1739"/>
    <col min="7476" max="7476" width="10.375" style="1739" customWidth="1"/>
    <col min="7477" max="7477" width="11" style="1739" customWidth="1"/>
    <col min="7478" max="7478" width="12.5" style="1739" customWidth="1"/>
    <col min="7479" max="7479" width="10.375" style="1739" customWidth="1"/>
    <col min="7480" max="7480" width="11" style="1739" customWidth="1"/>
    <col min="7481" max="7481" width="10.875" style="1739" customWidth="1"/>
    <col min="7482" max="7482" width="11.5" style="1739" customWidth="1"/>
    <col min="7483" max="7489" width="11.875" style="1739" customWidth="1"/>
    <col min="7490" max="7490" width="7.875" style="1739"/>
    <col min="7491" max="7492" width="9.75" style="1739" customWidth="1"/>
    <col min="7493" max="7493" width="7.875" style="1739"/>
    <col min="7494" max="7495" width="10.5" style="1739" customWidth="1"/>
    <col min="7496" max="7496" width="7.875" style="1739"/>
    <col min="7497" max="7498" width="10.5" style="1739" customWidth="1"/>
    <col min="7499" max="7499" width="7.875" style="1739"/>
    <col min="7500" max="7501" width="10.5" style="1739" customWidth="1"/>
    <col min="7502" max="7502" width="7.875" style="1739"/>
    <col min="7503" max="7504" width="10.5" style="1739" customWidth="1"/>
    <col min="7505" max="7680" width="7.875" style="1739"/>
    <col min="7681" max="7681" width="9" style="1739" customWidth="1"/>
    <col min="7682" max="7682" width="13.125" style="1739" customWidth="1"/>
    <col min="7683" max="7683" width="27.75" style="1739" customWidth="1"/>
    <col min="7684" max="7684" width="10.25" style="1739" customWidth="1"/>
    <col min="7685" max="7685" width="15.75" style="1739" customWidth="1"/>
    <col min="7686" max="7686" width="7.875" style="1739" hidden="1" customWidth="1"/>
    <col min="7687" max="7687" width="12.625" style="1739" customWidth="1"/>
    <col min="7688" max="7688" width="10.5" style="1739" customWidth="1"/>
    <col min="7689" max="7689" width="10.125" style="1739" customWidth="1"/>
    <col min="7690" max="7692" width="9.75" style="1739" customWidth="1"/>
    <col min="7693" max="7693" width="12.25" style="1739" customWidth="1"/>
    <col min="7694" max="7695" width="13.875" style="1739" customWidth="1"/>
    <col min="7696" max="7696" width="10.375" style="1739" customWidth="1"/>
    <col min="7697" max="7697" width="10" style="1739" customWidth="1"/>
    <col min="7698" max="7698" width="15.875" style="1739" customWidth="1"/>
    <col min="7699" max="7699" width="11.125" style="1739" customWidth="1"/>
    <col min="7700" max="7700" width="12.875" style="1739" customWidth="1"/>
    <col min="7701" max="7701" width="9.5" style="1739" customWidth="1"/>
    <col min="7702" max="7702" width="18.75" style="1739" customWidth="1"/>
    <col min="7703" max="7703" width="15.875" style="1739" customWidth="1"/>
    <col min="7704" max="7710" width="19.125" style="1739" customWidth="1"/>
    <col min="7711" max="7712" width="15.25" style="1739" customWidth="1"/>
    <col min="7713" max="7713" width="14.25" style="1739" customWidth="1"/>
    <col min="7714" max="7719" width="9.25" style="1739" customWidth="1"/>
    <col min="7720" max="7721" width="14.25" style="1739" customWidth="1"/>
    <col min="7722" max="7723" width="11" style="1739" customWidth="1"/>
    <col min="7724" max="7724" width="11.25" style="1739" customWidth="1"/>
    <col min="7725" max="7725" width="10" style="1739" customWidth="1"/>
    <col min="7726" max="7726" width="9.25" style="1739" customWidth="1"/>
    <col min="7727" max="7730" width="9.375" style="1739" customWidth="1"/>
    <col min="7731" max="7731" width="7.875" style="1739"/>
    <col min="7732" max="7732" width="10.375" style="1739" customWidth="1"/>
    <col min="7733" max="7733" width="11" style="1739" customWidth="1"/>
    <col min="7734" max="7734" width="12.5" style="1739" customWidth="1"/>
    <col min="7735" max="7735" width="10.375" style="1739" customWidth="1"/>
    <col min="7736" max="7736" width="11" style="1739" customWidth="1"/>
    <col min="7737" max="7737" width="10.875" style="1739" customWidth="1"/>
    <col min="7738" max="7738" width="11.5" style="1739" customWidth="1"/>
    <col min="7739" max="7745" width="11.875" style="1739" customWidth="1"/>
    <col min="7746" max="7746" width="7.875" style="1739"/>
    <col min="7747" max="7748" width="9.75" style="1739" customWidth="1"/>
    <col min="7749" max="7749" width="7.875" style="1739"/>
    <col min="7750" max="7751" width="10.5" style="1739" customWidth="1"/>
    <col min="7752" max="7752" width="7.875" style="1739"/>
    <col min="7753" max="7754" width="10.5" style="1739" customWidth="1"/>
    <col min="7755" max="7755" width="7.875" style="1739"/>
    <col min="7756" max="7757" width="10.5" style="1739" customWidth="1"/>
    <col min="7758" max="7758" width="7.875" style="1739"/>
    <col min="7759" max="7760" width="10.5" style="1739" customWidth="1"/>
    <col min="7761" max="7936" width="7.875" style="1739"/>
    <col min="7937" max="7937" width="9" style="1739" customWidth="1"/>
    <col min="7938" max="7938" width="13.125" style="1739" customWidth="1"/>
    <col min="7939" max="7939" width="27.75" style="1739" customWidth="1"/>
    <col min="7940" max="7940" width="10.25" style="1739" customWidth="1"/>
    <col min="7941" max="7941" width="15.75" style="1739" customWidth="1"/>
    <col min="7942" max="7942" width="7.875" style="1739" hidden="1" customWidth="1"/>
    <col min="7943" max="7943" width="12.625" style="1739" customWidth="1"/>
    <col min="7944" max="7944" width="10.5" style="1739" customWidth="1"/>
    <col min="7945" max="7945" width="10.125" style="1739" customWidth="1"/>
    <col min="7946" max="7948" width="9.75" style="1739" customWidth="1"/>
    <col min="7949" max="7949" width="12.25" style="1739" customWidth="1"/>
    <col min="7950" max="7951" width="13.875" style="1739" customWidth="1"/>
    <col min="7952" max="7952" width="10.375" style="1739" customWidth="1"/>
    <col min="7953" max="7953" width="10" style="1739" customWidth="1"/>
    <col min="7954" max="7954" width="15.875" style="1739" customWidth="1"/>
    <col min="7955" max="7955" width="11.125" style="1739" customWidth="1"/>
    <col min="7956" max="7956" width="12.875" style="1739" customWidth="1"/>
    <col min="7957" max="7957" width="9.5" style="1739" customWidth="1"/>
    <col min="7958" max="7958" width="18.75" style="1739" customWidth="1"/>
    <col min="7959" max="7959" width="15.875" style="1739" customWidth="1"/>
    <col min="7960" max="7966" width="19.125" style="1739" customWidth="1"/>
    <col min="7967" max="7968" width="15.25" style="1739" customWidth="1"/>
    <col min="7969" max="7969" width="14.25" style="1739" customWidth="1"/>
    <col min="7970" max="7975" width="9.25" style="1739" customWidth="1"/>
    <col min="7976" max="7977" width="14.25" style="1739" customWidth="1"/>
    <col min="7978" max="7979" width="11" style="1739" customWidth="1"/>
    <col min="7980" max="7980" width="11.25" style="1739" customWidth="1"/>
    <col min="7981" max="7981" width="10" style="1739" customWidth="1"/>
    <col min="7982" max="7982" width="9.25" style="1739" customWidth="1"/>
    <col min="7983" max="7986" width="9.375" style="1739" customWidth="1"/>
    <col min="7987" max="7987" width="7.875" style="1739"/>
    <col min="7988" max="7988" width="10.375" style="1739" customWidth="1"/>
    <col min="7989" max="7989" width="11" style="1739" customWidth="1"/>
    <col min="7990" max="7990" width="12.5" style="1739" customWidth="1"/>
    <col min="7991" max="7991" width="10.375" style="1739" customWidth="1"/>
    <col min="7992" max="7992" width="11" style="1739" customWidth="1"/>
    <col min="7993" max="7993" width="10.875" style="1739" customWidth="1"/>
    <col min="7994" max="7994" width="11.5" style="1739" customWidth="1"/>
    <col min="7995" max="8001" width="11.875" style="1739" customWidth="1"/>
    <col min="8002" max="8002" width="7.875" style="1739"/>
    <col min="8003" max="8004" width="9.75" style="1739" customWidth="1"/>
    <col min="8005" max="8005" width="7.875" style="1739"/>
    <col min="8006" max="8007" width="10.5" style="1739" customWidth="1"/>
    <col min="8008" max="8008" width="7.875" style="1739"/>
    <col min="8009" max="8010" width="10.5" style="1739" customWidth="1"/>
    <col min="8011" max="8011" width="7.875" style="1739"/>
    <col min="8012" max="8013" width="10.5" style="1739" customWidth="1"/>
    <col min="8014" max="8014" width="7.875" style="1739"/>
    <col min="8015" max="8016" width="10.5" style="1739" customWidth="1"/>
    <col min="8017" max="8192" width="7.875" style="1739"/>
    <col min="8193" max="8193" width="9" style="1739" customWidth="1"/>
    <col min="8194" max="8194" width="13.125" style="1739" customWidth="1"/>
    <col min="8195" max="8195" width="27.75" style="1739" customWidth="1"/>
    <col min="8196" max="8196" width="10.25" style="1739" customWidth="1"/>
    <col min="8197" max="8197" width="15.75" style="1739" customWidth="1"/>
    <col min="8198" max="8198" width="7.875" style="1739" hidden="1" customWidth="1"/>
    <col min="8199" max="8199" width="12.625" style="1739" customWidth="1"/>
    <col min="8200" max="8200" width="10.5" style="1739" customWidth="1"/>
    <col min="8201" max="8201" width="10.125" style="1739" customWidth="1"/>
    <col min="8202" max="8204" width="9.75" style="1739" customWidth="1"/>
    <col min="8205" max="8205" width="12.25" style="1739" customWidth="1"/>
    <col min="8206" max="8207" width="13.875" style="1739" customWidth="1"/>
    <col min="8208" max="8208" width="10.375" style="1739" customWidth="1"/>
    <col min="8209" max="8209" width="10" style="1739" customWidth="1"/>
    <col min="8210" max="8210" width="15.875" style="1739" customWidth="1"/>
    <col min="8211" max="8211" width="11.125" style="1739" customWidth="1"/>
    <col min="8212" max="8212" width="12.875" style="1739" customWidth="1"/>
    <col min="8213" max="8213" width="9.5" style="1739" customWidth="1"/>
    <col min="8214" max="8214" width="18.75" style="1739" customWidth="1"/>
    <col min="8215" max="8215" width="15.875" style="1739" customWidth="1"/>
    <col min="8216" max="8222" width="19.125" style="1739" customWidth="1"/>
    <col min="8223" max="8224" width="15.25" style="1739" customWidth="1"/>
    <col min="8225" max="8225" width="14.25" style="1739" customWidth="1"/>
    <col min="8226" max="8231" width="9.25" style="1739" customWidth="1"/>
    <col min="8232" max="8233" width="14.25" style="1739" customWidth="1"/>
    <col min="8234" max="8235" width="11" style="1739" customWidth="1"/>
    <col min="8236" max="8236" width="11.25" style="1739" customWidth="1"/>
    <col min="8237" max="8237" width="10" style="1739" customWidth="1"/>
    <col min="8238" max="8238" width="9.25" style="1739" customWidth="1"/>
    <col min="8239" max="8242" width="9.375" style="1739" customWidth="1"/>
    <col min="8243" max="8243" width="7.875" style="1739"/>
    <col min="8244" max="8244" width="10.375" style="1739" customWidth="1"/>
    <col min="8245" max="8245" width="11" style="1739" customWidth="1"/>
    <col min="8246" max="8246" width="12.5" style="1739" customWidth="1"/>
    <col min="8247" max="8247" width="10.375" style="1739" customWidth="1"/>
    <col min="8248" max="8248" width="11" style="1739" customWidth="1"/>
    <col min="8249" max="8249" width="10.875" style="1739" customWidth="1"/>
    <col min="8250" max="8250" width="11.5" style="1739" customWidth="1"/>
    <col min="8251" max="8257" width="11.875" style="1739" customWidth="1"/>
    <col min="8258" max="8258" width="7.875" style="1739"/>
    <col min="8259" max="8260" width="9.75" style="1739" customWidth="1"/>
    <col min="8261" max="8261" width="7.875" style="1739"/>
    <col min="8262" max="8263" width="10.5" style="1739" customWidth="1"/>
    <col min="8264" max="8264" width="7.875" style="1739"/>
    <col min="8265" max="8266" width="10.5" style="1739" customWidth="1"/>
    <col min="8267" max="8267" width="7.875" style="1739"/>
    <col min="8268" max="8269" width="10.5" style="1739" customWidth="1"/>
    <col min="8270" max="8270" width="7.875" style="1739"/>
    <col min="8271" max="8272" width="10.5" style="1739" customWidth="1"/>
    <col min="8273" max="8448" width="7.875" style="1739"/>
    <col min="8449" max="8449" width="9" style="1739" customWidth="1"/>
    <col min="8450" max="8450" width="13.125" style="1739" customWidth="1"/>
    <col min="8451" max="8451" width="27.75" style="1739" customWidth="1"/>
    <col min="8452" max="8452" width="10.25" style="1739" customWidth="1"/>
    <col min="8453" max="8453" width="15.75" style="1739" customWidth="1"/>
    <col min="8454" max="8454" width="7.875" style="1739" hidden="1" customWidth="1"/>
    <col min="8455" max="8455" width="12.625" style="1739" customWidth="1"/>
    <col min="8456" max="8456" width="10.5" style="1739" customWidth="1"/>
    <col min="8457" max="8457" width="10.125" style="1739" customWidth="1"/>
    <col min="8458" max="8460" width="9.75" style="1739" customWidth="1"/>
    <col min="8461" max="8461" width="12.25" style="1739" customWidth="1"/>
    <col min="8462" max="8463" width="13.875" style="1739" customWidth="1"/>
    <col min="8464" max="8464" width="10.375" style="1739" customWidth="1"/>
    <col min="8465" max="8465" width="10" style="1739" customWidth="1"/>
    <col min="8466" max="8466" width="15.875" style="1739" customWidth="1"/>
    <col min="8467" max="8467" width="11.125" style="1739" customWidth="1"/>
    <col min="8468" max="8468" width="12.875" style="1739" customWidth="1"/>
    <col min="8469" max="8469" width="9.5" style="1739" customWidth="1"/>
    <col min="8470" max="8470" width="18.75" style="1739" customWidth="1"/>
    <col min="8471" max="8471" width="15.875" style="1739" customWidth="1"/>
    <col min="8472" max="8478" width="19.125" style="1739" customWidth="1"/>
    <col min="8479" max="8480" width="15.25" style="1739" customWidth="1"/>
    <col min="8481" max="8481" width="14.25" style="1739" customWidth="1"/>
    <col min="8482" max="8487" width="9.25" style="1739" customWidth="1"/>
    <col min="8488" max="8489" width="14.25" style="1739" customWidth="1"/>
    <col min="8490" max="8491" width="11" style="1739" customWidth="1"/>
    <col min="8492" max="8492" width="11.25" style="1739" customWidth="1"/>
    <col min="8493" max="8493" width="10" style="1739" customWidth="1"/>
    <col min="8494" max="8494" width="9.25" style="1739" customWidth="1"/>
    <col min="8495" max="8498" width="9.375" style="1739" customWidth="1"/>
    <col min="8499" max="8499" width="7.875" style="1739"/>
    <col min="8500" max="8500" width="10.375" style="1739" customWidth="1"/>
    <col min="8501" max="8501" width="11" style="1739" customWidth="1"/>
    <col min="8502" max="8502" width="12.5" style="1739" customWidth="1"/>
    <col min="8503" max="8503" width="10.375" style="1739" customWidth="1"/>
    <col min="8504" max="8504" width="11" style="1739" customWidth="1"/>
    <col min="8505" max="8505" width="10.875" style="1739" customWidth="1"/>
    <col min="8506" max="8506" width="11.5" style="1739" customWidth="1"/>
    <col min="8507" max="8513" width="11.875" style="1739" customWidth="1"/>
    <col min="8514" max="8514" width="7.875" style="1739"/>
    <col min="8515" max="8516" width="9.75" style="1739" customWidth="1"/>
    <col min="8517" max="8517" width="7.875" style="1739"/>
    <col min="8518" max="8519" width="10.5" style="1739" customWidth="1"/>
    <col min="8520" max="8520" width="7.875" style="1739"/>
    <col min="8521" max="8522" width="10.5" style="1739" customWidth="1"/>
    <col min="8523" max="8523" width="7.875" style="1739"/>
    <col min="8524" max="8525" width="10.5" style="1739" customWidth="1"/>
    <col min="8526" max="8526" width="7.875" style="1739"/>
    <col min="8527" max="8528" width="10.5" style="1739" customWidth="1"/>
    <col min="8529" max="8704" width="7.875" style="1739"/>
    <col min="8705" max="8705" width="9" style="1739" customWidth="1"/>
    <col min="8706" max="8706" width="13.125" style="1739" customWidth="1"/>
    <col min="8707" max="8707" width="27.75" style="1739" customWidth="1"/>
    <col min="8708" max="8708" width="10.25" style="1739" customWidth="1"/>
    <col min="8709" max="8709" width="15.75" style="1739" customWidth="1"/>
    <col min="8710" max="8710" width="7.875" style="1739" hidden="1" customWidth="1"/>
    <col min="8711" max="8711" width="12.625" style="1739" customWidth="1"/>
    <col min="8712" max="8712" width="10.5" style="1739" customWidth="1"/>
    <col min="8713" max="8713" width="10.125" style="1739" customWidth="1"/>
    <col min="8714" max="8716" width="9.75" style="1739" customWidth="1"/>
    <col min="8717" max="8717" width="12.25" style="1739" customWidth="1"/>
    <col min="8718" max="8719" width="13.875" style="1739" customWidth="1"/>
    <col min="8720" max="8720" width="10.375" style="1739" customWidth="1"/>
    <col min="8721" max="8721" width="10" style="1739" customWidth="1"/>
    <col min="8722" max="8722" width="15.875" style="1739" customWidth="1"/>
    <col min="8723" max="8723" width="11.125" style="1739" customWidth="1"/>
    <col min="8724" max="8724" width="12.875" style="1739" customWidth="1"/>
    <col min="8725" max="8725" width="9.5" style="1739" customWidth="1"/>
    <col min="8726" max="8726" width="18.75" style="1739" customWidth="1"/>
    <col min="8727" max="8727" width="15.875" style="1739" customWidth="1"/>
    <col min="8728" max="8734" width="19.125" style="1739" customWidth="1"/>
    <col min="8735" max="8736" width="15.25" style="1739" customWidth="1"/>
    <col min="8737" max="8737" width="14.25" style="1739" customWidth="1"/>
    <col min="8738" max="8743" width="9.25" style="1739" customWidth="1"/>
    <col min="8744" max="8745" width="14.25" style="1739" customWidth="1"/>
    <col min="8746" max="8747" width="11" style="1739" customWidth="1"/>
    <col min="8748" max="8748" width="11.25" style="1739" customWidth="1"/>
    <col min="8749" max="8749" width="10" style="1739" customWidth="1"/>
    <col min="8750" max="8750" width="9.25" style="1739" customWidth="1"/>
    <col min="8751" max="8754" width="9.375" style="1739" customWidth="1"/>
    <col min="8755" max="8755" width="7.875" style="1739"/>
    <col min="8756" max="8756" width="10.375" style="1739" customWidth="1"/>
    <col min="8757" max="8757" width="11" style="1739" customWidth="1"/>
    <col min="8758" max="8758" width="12.5" style="1739" customWidth="1"/>
    <col min="8759" max="8759" width="10.375" style="1739" customWidth="1"/>
    <col min="8760" max="8760" width="11" style="1739" customWidth="1"/>
    <col min="8761" max="8761" width="10.875" style="1739" customWidth="1"/>
    <col min="8762" max="8762" width="11.5" style="1739" customWidth="1"/>
    <col min="8763" max="8769" width="11.875" style="1739" customWidth="1"/>
    <col min="8770" max="8770" width="7.875" style="1739"/>
    <col min="8771" max="8772" width="9.75" style="1739" customWidth="1"/>
    <col min="8773" max="8773" width="7.875" style="1739"/>
    <col min="8774" max="8775" width="10.5" style="1739" customWidth="1"/>
    <col min="8776" max="8776" width="7.875" style="1739"/>
    <col min="8777" max="8778" width="10.5" style="1739" customWidth="1"/>
    <col min="8779" max="8779" width="7.875" style="1739"/>
    <col min="8780" max="8781" width="10.5" style="1739" customWidth="1"/>
    <col min="8782" max="8782" width="7.875" style="1739"/>
    <col min="8783" max="8784" width="10.5" style="1739" customWidth="1"/>
    <col min="8785" max="8960" width="7.875" style="1739"/>
    <col min="8961" max="8961" width="9" style="1739" customWidth="1"/>
    <col min="8962" max="8962" width="13.125" style="1739" customWidth="1"/>
    <col min="8963" max="8963" width="27.75" style="1739" customWidth="1"/>
    <col min="8964" max="8964" width="10.25" style="1739" customWidth="1"/>
    <col min="8965" max="8965" width="15.75" style="1739" customWidth="1"/>
    <col min="8966" max="8966" width="7.875" style="1739" hidden="1" customWidth="1"/>
    <col min="8967" max="8967" width="12.625" style="1739" customWidth="1"/>
    <col min="8968" max="8968" width="10.5" style="1739" customWidth="1"/>
    <col min="8969" max="8969" width="10.125" style="1739" customWidth="1"/>
    <col min="8970" max="8972" width="9.75" style="1739" customWidth="1"/>
    <col min="8973" max="8973" width="12.25" style="1739" customWidth="1"/>
    <col min="8974" max="8975" width="13.875" style="1739" customWidth="1"/>
    <col min="8976" max="8976" width="10.375" style="1739" customWidth="1"/>
    <col min="8977" max="8977" width="10" style="1739" customWidth="1"/>
    <col min="8978" max="8978" width="15.875" style="1739" customWidth="1"/>
    <col min="8979" max="8979" width="11.125" style="1739" customWidth="1"/>
    <col min="8980" max="8980" width="12.875" style="1739" customWidth="1"/>
    <col min="8981" max="8981" width="9.5" style="1739" customWidth="1"/>
    <col min="8982" max="8982" width="18.75" style="1739" customWidth="1"/>
    <col min="8983" max="8983" width="15.875" style="1739" customWidth="1"/>
    <col min="8984" max="8990" width="19.125" style="1739" customWidth="1"/>
    <col min="8991" max="8992" width="15.25" style="1739" customWidth="1"/>
    <col min="8993" max="8993" width="14.25" style="1739" customWidth="1"/>
    <col min="8994" max="8999" width="9.25" style="1739" customWidth="1"/>
    <col min="9000" max="9001" width="14.25" style="1739" customWidth="1"/>
    <col min="9002" max="9003" width="11" style="1739" customWidth="1"/>
    <col min="9004" max="9004" width="11.25" style="1739" customWidth="1"/>
    <col min="9005" max="9005" width="10" style="1739" customWidth="1"/>
    <col min="9006" max="9006" width="9.25" style="1739" customWidth="1"/>
    <col min="9007" max="9010" width="9.375" style="1739" customWidth="1"/>
    <col min="9011" max="9011" width="7.875" style="1739"/>
    <col min="9012" max="9012" width="10.375" style="1739" customWidth="1"/>
    <col min="9013" max="9013" width="11" style="1739" customWidth="1"/>
    <col min="9014" max="9014" width="12.5" style="1739" customWidth="1"/>
    <col min="9015" max="9015" width="10.375" style="1739" customWidth="1"/>
    <col min="9016" max="9016" width="11" style="1739" customWidth="1"/>
    <col min="9017" max="9017" width="10.875" style="1739" customWidth="1"/>
    <col min="9018" max="9018" width="11.5" style="1739" customWidth="1"/>
    <col min="9019" max="9025" width="11.875" style="1739" customWidth="1"/>
    <col min="9026" max="9026" width="7.875" style="1739"/>
    <col min="9027" max="9028" width="9.75" style="1739" customWidth="1"/>
    <col min="9029" max="9029" width="7.875" style="1739"/>
    <col min="9030" max="9031" width="10.5" style="1739" customWidth="1"/>
    <col min="9032" max="9032" width="7.875" style="1739"/>
    <col min="9033" max="9034" width="10.5" style="1739" customWidth="1"/>
    <col min="9035" max="9035" width="7.875" style="1739"/>
    <col min="9036" max="9037" width="10.5" style="1739" customWidth="1"/>
    <col min="9038" max="9038" width="7.875" style="1739"/>
    <col min="9039" max="9040" width="10.5" style="1739" customWidth="1"/>
    <col min="9041" max="9216" width="7.875" style="1739"/>
    <col min="9217" max="9217" width="9" style="1739" customWidth="1"/>
    <col min="9218" max="9218" width="13.125" style="1739" customWidth="1"/>
    <col min="9219" max="9219" width="27.75" style="1739" customWidth="1"/>
    <col min="9220" max="9220" width="10.25" style="1739" customWidth="1"/>
    <col min="9221" max="9221" width="15.75" style="1739" customWidth="1"/>
    <col min="9222" max="9222" width="7.875" style="1739" hidden="1" customWidth="1"/>
    <col min="9223" max="9223" width="12.625" style="1739" customWidth="1"/>
    <col min="9224" max="9224" width="10.5" style="1739" customWidth="1"/>
    <col min="9225" max="9225" width="10.125" style="1739" customWidth="1"/>
    <col min="9226" max="9228" width="9.75" style="1739" customWidth="1"/>
    <col min="9229" max="9229" width="12.25" style="1739" customWidth="1"/>
    <col min="9230" max="9231" width="13.875" style="1739" customWidth="1"/>
    <col min="9232" max="9232" width="10.375" style="1739" customWidth="1"/>
    <col min="9233" max="9233" width="10" style="1739" customWidth="1"/>
    <col min="9234" max="9234" width="15.875" style="1739" customWidth="1"/>
    <col min="9235" max="9235" width="11.125" style="1739" customWidth="1"/>
    <col min="9236" max="9236" width="12.875" style="1739" customWidth="1"/>
    <col min="9237" max="9237" width="9.5" style="1739" customWidth="1"/>
    <col min="9238" max="9238" width="18.75" style="1739" customWidth="1"/>
    <col min="9239" max="9239" width="15.875" style="1739" customWidth="1"/>
    <col min="9240" max="9246" width="19.125" style="1739" customWidth="1"/>
    <col min="9247" max="9248" width="15.25" style="1739" customWidth="1"/>
    <col min="9249" max="9249" width="14.25" style="1739" customWidth="1"/>
    <col min="9250" max="9255" width="9.25" style="1739" customWidth="1"/>
    <col min="9256" max="9257" width="14.25" style="1739" customWidth="1"/>
    <col min="9258" max="9259" width="11" style="1739" customWidth="1"/>
    <col min="9260" max="9260" width="11.25" style="1739" customWidth="1"/>
    <col min="9261" max="9261" width="10" style="1739" customWidth="1"/>
    <col min="9262" max="9262" width="9.25" style="1739" customWidth="1"/>
    <col min="9263" max="9266" width="9.375" style="1739" customWidth="1"/>
    <col min="9267" max="9267" width="7.875" style="1739"/>
    <col min="9268" max="9268" width="10.375" style="1739" customWidth="1"/>
    <col min="9269" max="9269" width="11" style="1739" customWidth="1"/>
    <col min="9270" max="9270" width="12.5" style="1739" customWidth="1"/>
    <col min="9271" max="9271" width="10.375" style="1739" customWidth="1"/>
    <col min="9272" max="9272" width="11" style="1739" customWidth="1"/>
    <col min="9273" max="9273" width="10.875" style="1739" customWidth="1"/>
    <col min="9274" max="9274" width="11.5" style="1739" customWidth="1"/>
    <col min="9275" max="9281" width="11.875" style="1739" customWidth="1"/>
    <col min="9282" max="9282" width="7.875" style="1739"/>
    <col min="9283" max="9284" width="9.75" style="1739" customWidth="1"/>
    <col min="9285" max="9285" width="7.875" style="1739"/>
    <col min="9286" max="9287" width="10.5" style="1739" customWidth="1"/>
    <col min="9288" max="9288" width="7.875" style="1739"/>
    <col min="9289" max="9290" width="10.5" style="1739" customWidth="1"/>
    <col min="9291" max="9291" width="7.875" style="1739"/>
    <col min="9292" max="9293" width="10.5" style="1739" customWidth="1"/>
    <col min="9294" max="9294" width="7.875" style="1739"/>
    <col min="9295" max="9296" width="10.5" style="1739" customWidth="1"/>
    <col min="9297" max="9472" width="7.875" style="1739"/>
    <col min="9473" max="9473" width="9" style="1739" customWidth="1"/>
    <col min="9474" max="9474" width="13.125" style="1739" customWidth="1"/>
    <col min="9475" max="9475" width="27.75" style="1739" customWidth="1"/>
    <col min="9476" max="9476" width="10.25" style="1739" customWidth="1"/>
    <col min="9477" max="9477" width="15.75" style="1739" customWidth="1"/>
    <col min="9478" max="9478" width="7.875" style="1739" hidden="1" customWidth="1"/>
    <col min="9479" max="9479" width="12.625" style="1739" customWidth="1"/>
    <col min="9480" max="9480" width="10.5" style="1739" customWidth="1"/>
    <col min="9481" max="9481" width="10.125" style="1739" customWidth="1"/>
    <col min="9482" max="9484" width="9.75" style="1739" customWidth="1"/>
    <col min="9485" max="9485" width="12.25" style="1739" customWidth="1"/>
    <col min="9486" max="9487" width="13.875" style="1739" customWidth="1"/>
    <col min="9488" max="9488" width="10.375" style="1739" customWidth="1"/>
    <col min="9489" max="9489" width="10" style="1739" customWidth="1"/>
    <col min="9490" max="9490" width="15.875" style="1739" customWidth="1"/>
    <col min="9491" max="9491" width="11.125" style="1739" customWidth="1"/>
    <col min="9492" max="9492" width="12.875" style="1739" customWidth="1"/>
    <col min="9493" max="9493" width="9.5" style="1739" customWidth="1"/>
    <col min="9494" max="9494" width="18.75" style="1739" customWidth="1"/>
    <col min="9495" max="9495" width="15.875" style="1739" customWidth="1"/>
    <col min="9496" max="9502" width="19.125" style="1739" customWidth="1"/>
    <col min="9503" max="9504" width="15.25" style="1739" customWidth="1"/>
    <col min="9505" max="9505" width="14.25" style="1739" customWidth="1"/>
    <col min="9506" max="9511" width="9.25" style="1739" customWidth="1"/>
    <col min="9512" max="9513" width="14.25" style="1739" customWidth="1"/>
    <col min="9514" max="9515" width="11" style="1739" customWidth="1"/>
    <col min="9516" max="9516" width="11.25" style="1739" customWidth="1"/>
    <col min="9517" max="9517" width="10" style="1739" customWidth="1"/>
    <col min="9518" max="9518" width="9.25" style="1739" customWidth="1"/>
    <col min="9519" max="9522" width="9.375" style="1739" customWidth="1"/>
    <col min="9523" max="9523" width="7.875" style="1739"/>
    <col min="9524" max="9524" width="10.375" style="1739" customWidth="1"/>
    <col min="9525" max="9525" width="11" style="1739" customWidth="1"/>
    <col min="9526" max="9526" width="12.5" style="1739" customWidth="1"/>
    <col min="9527" max="9527" width="10.375" style="1739" customWidth="1"/>
    <col min="9528" max="9528" width="11" style="1739" customWidth="1"/>
    <col min="9529" max="9529" width="10.875" style="1739" customWidth="1"/>
    <col min="9530" max="9530" width="11.5" style="1739" customWidth="1"/>
    <col min="9531" max="9537" width="11.875" style="1739" customWidth="1"/>
    <col min="9538" max="9538" width="7.875" style="1739"/>
    <col min="9539" max="9540" width="9.75" style="1739" customWidth="1"/>
    <col min="9541" max="9541" width="7.875" style="1739"/>
    <col min="9542" max="9543" width="10.5" style="1739" customWidth="1"/>
    <col min="9544" max="9544" width="7.875" style="1739"/>
    <col min="9545" max="9546" width="10.5" style="1739" customWidth="1"/>
    <col min="9547" max="9547" width="7.875" style="1739"/>
    <col min="9548" max="9549" width="10.5" style="1739" customWidth="1"/>
    <col min="9550" max="9550" width="7.875" style="1739"/>
    <col min="9551" max="9552" width="10.5" style="1739" customWidth="1"/>
    <col min="9553" max="9728" width="7.875" style="1739"/>
    <col min="9729" max="9729" width="9" style="1739" customWidth="1"/>
    <col min="9730" max="9730" width="13.125" style="1739" customWidth="1"/>
    <col min="9731" max="9731" width="27.75" style="1739" customWidth="1"/>
    <col min="9732" max="9732" width="10.25" style="1739" customWidth="1"/>
    <col min="9733" max="9733" width="15.75" style="1739" customWidth="1"/>
    <col min="9734" max="9734" width="7.875" style="1739" hidden="1" customWidth="1"/>
    <col min="9735" max="9735" width="12.625" style="1739" customWidth="1"/>
    <col min="9736" max="9736" width="10.5" style="1739" customWidth="1"/>
    <col min="9737" max="9737" width="10.125" style="1739" customWidth="1"/>
    <col min="9738" max="9740" width="9.75" style="1739" customWidth="1"/>
    <col min="9741" max="9741" width="12.25" style="1739" customWidth="1"/>
    <col min="9742" max="9743" width="13.875" style="1739" customWidth="1"/>
    <col min="9744" max="9744" width="10.375" style="1739" customWidth="1"/>
    <col min="9745" max="9745" width="10" style="1739" customWidth="1"/>
    <col min="9746" max="9746" width="15.875" style="1739" customWidth="1"/>
    <col min="9747" max="9747" width="11.125" style="1739" customWidth="1"/>
    <col min="9748" max="9748" width="12.875" style="1739" customWidth="1"/>
    <col min="9749" max="9749" width="9.5" style="1739" customWidth="1"/>
    <col min="9750" max="9750" width="18.75" style="1739" customWidth="1"/>
    <col min="9751" max="9751" width="15.875" style="1739" customWidth="1"/>
    <col min="9752" max="9758" width="19.125" style="1739" customWidth="1"/>
    <col min="9759" max="9760" width="15.25" style="1739" customWidth="1"/>
    <col min="9761" max="9761" width="14.25" style="1739" customWidth="1"/>
    <col min="9762" max="9767" width="9.25" style="1739" customWidth="1"/>
    <col min="9768" max="9769" width="14.25" style="1739" customWidth="1"/>
    <col min="9770" max="9771" width="11" style="1739" customWidth="1"/>
    <col min="9772" max="9772" width="11.25" style="1739" customWidth="1"/>
    <col min="9773" max="9773" width="10" style="1739" customWidth="1"/>
    <col min="9774" max="9774" width="9.25" style="1739" customWidth="1"/>
    <col min="9775" max="9778" width="9.375" style="1739" customWidth="1"/>
    <col min="9779" max="9779" width="7.875" style="1739"/>
    <col min="9780" max="9780" width="10.375" style="1739" customWidth="1"/>
    <col min="9781" max="9781" width="11" style="1739" customWidth="1"/>
    <col min="9782" max="9782" width="12.5" style="1739" customWidth="1"/>
    <col min="9783" max="9783" width="10.375" style="1739" customWidth="1"/>
    <col min="9784" max="9784" width="11" style="1739" customWidth="1"/>
    <col min="9785" max="9785" width="10.875" style="1739" customWidth="1"/>
    <col min="9786" max="9786" width="11.5" style="1739" customWidth="1"/>
    <col min="9787" max="9793" width="11.875" style="1739" customWidth="1"/>
    <col min="9794" max="9794" width="7.875" style="1739"/>
    <col min="9795" max="9796" width="9.75" style="1739" customWidth="1"/>
    <col min="9797" max="9797" width="7.875" style="1739"/>
    <col min="9798" max="9799" width="10.5" style="1739" customWidth="1"/>
    <col min="9800" max="9800" width="7.875" style="1739"/>
    <col min="9801" max="9802" width="10.5" style="1739" customWidth="1"/>
    <col min="9803" max="9803" width="7.875" style="1739"/>
    <col min="9804" max="9805" width="10.5" style="1739" customWidth="1"/>
    <col min="9806" max="9806" width="7.875" style="1739"/>
    <col min="9807" max="9808" width="10.5" style="1739" customWidth="1"/>
    <col min="9809" max="9984" width="7.875" style="1739"/>
    <col min="9985" max="9985" width="9" style="1739" customWidth="1"/>
    <col min="9986" max="9986" width="13.125" style="1739" customWidth="1"/>
    <col min="9987" max="9987" width="27.75" style="1739" customWidth="1"/>
    <col min="9988" max="9988" width="10.25" style="1739" customWidth="1"/>
    <col min="9989" max="9989" width="15.75" style="1739" customWidth="1"/>
    <col min="9990" max="9990" width="7.875" style="1739" hidden="1" customWidth="1"/>
    <col min="9991" max="9991" width="12.625" style="1739" customWidth="1"/>
    <col min="9992" max="9992" width="10.5" style="1739" customWidth="1"/>
    <col min="9993" max="9993" width="10.125" style="1739" customWidth="1"/>
    <col min="9994" max="9996" width="9.75" style="1739" customWidth="1"/>
    <col min="9997" max="9997" width="12.25" style="1739" customWidth="1"/>
    <col min="9998" max="9999" width="13.875" style="1739" customWidth="1"/>
    <col min="10000" max="10000" width="10.375" style="1739" customWidth="1"/>
    <col min="10001" max="10001" width="10" style="1739" customWidth="1"/>
    <col min="10002" max="10002" width="15.875" style="1739" customWidth="1"/>
    <col min="10003" max="10003" width="11.125" style="1739" customWidth="1"/>
    <col min="10004" max="10004" width="12.875" style="1739" customWidth="1"/>
    <col min="10005" max="10005" width="9.5" style="1739" customWidth="1"/>
    <col min="10006" max="10006" width="18.75" style="1739" customWidth="1"/>
    <col min="10007" max="10007" width="15.875" style="1739" customWidth="1"/>
    <col min="10008" max="10014" width="19.125" style="1739" customWidth="1"/>
    <col min="10015" max="10016" width="15.25" style="1739" customWidth="1"/>
    <col min="10017" max="10017" width="14.25" style="1739" customWidth="1"/>
    <col min="10018" max="10023" width="9.25" style="1739" customWidth="1"/>
    <col min="10024" max="10025" width="14.25" style="1739" customWidth="1"/>
    <col min="10026" max="10027" width="11" style="1739" customWidth="1"/>
    <col min="10028" max="10028" width="11.25" style="1739" customWidth="1"/>
    <col min="10029" max="10029" width="10" style="1739" customWidth="1"/>
    <col min="10030" max="10030" width="9.25" style="1739" customWidth="1"/>
    <col min="10031" max="10034" width="9.375" style="1739" customWidth="1"/>
    <col min="10035" max="10035" width="7.875" style="1739"/>
    <col min="10036" max="10036" width="10.375" style="1739" customWidth="1"/>
    <col min="10037" max="10037" width="11" style="1739" customWidth="1"/>
    <col min="10038" max="10038" width="12.5" style="1739" customWidth="1"/>
    <col min="10039" max="10039" width="10.375" style="1739" customWidth="1"/>
    <col min="10040" max="10040" width="11" style="1739" customWidth="1"/>
    <col min="10041" max="10041" width="10.875" style="1739" customWidth="1"/>
    <col min="10042" max="10042" width="11.5" style="1739" customWidth="1"/>
    <col min="10043" max="10049" width="11.875" style="1739" customWidth="1"/>
    <col min="10050" max="10050" width="7.875" style="1739"/>
    <col min="10051" max="10052" width="9.75" style="1739" customWidth="1"/>
    <col min="10053" max="10053" width="7.875" style="1739"/>
    <col min="10054" max="10055" width="10.5" style="1739" customWidth="1"/>
    <col min="10056" max="10056" width="7.875" style="1739"/>
    <col min="10057" max="10058" width="10.5" style="1739" customWidth="1"/>
    <col min="10059" max="10059" width="7.875" style="1739"/>
    <col min="10060" max="10061" width="10.5" style="1739" customWidth="1"/>
    <col min="10062" max="10062" width="7.875" style="1739"/>
    <col min="10063" max="10064" width="10.5" style="1739" customWidth="1"/>
    <col min="10065" max="10240" width="7.875" style="1739"/>
    <col min="10241" max="10241" width="9" style="1739" customWidth="1"/>
    <col min="10242" max="10242" width="13.125" style="1739" customWidth="1"/>
    <col min="10243" max="10243" width="27.75" style="1739" customWidth="1"/>
    <col min="10244" max="10244" width="10.25" style="1739" customWidth="1"/>
    <col min="10245" max="10245" width="15.75" style="1739" customWidth="1"/>
    <col min="10246" max="10246" width="7.875" style="1739" hidden="1" customWidth="1"/>
    <col min="10247" max="10247" width="12.625" style="1739" customWidth="1"/>
    <col min="10248" max="10248" width="10.5" style="1739" customWidth="1"/>
    <col min="10249" max="10249" width="10.125" style="1739" customWidth="1"/>
    <col min="10250" max="10252" width="9.75" style="1739" customWidth="1"/>
    <col min="10253" max="10253" width="12.25" style="1739" customWidth="1"/>
    <col min="10254" max="10255" width="13.875" style="1739" customWidth="1"/>
    <col min="10256" max="10256" width="10.375" style="1739" customWidth="1"/>
    <col min="10257" max="10257" width="10" style="1739" customWidth="1"/>
    <col min="10258" max="10258" width="15.875" style="1739" customWidth="1"/>
    <col min="10259" max="10259" width="11.125" style="1739" customWidth="1"/>
    <col min="10260" max="10260" width="12.875" style="1739" customWidth="1"/>
    <col min="10261" max="10261" width="9.5" style="1739" customWidth="1"/>
    <col min="10262" max="10262" width="18.75" style="1739" customWidth="1"/>
    <col min="10263" max="10263" width="15.875" style="1739" customWidth="1"/>
    <col min="10264" max="10270" width="19.125" style="1739" customWidth="1"/>
    <col min="10271" max="10272" width="15.25" style="1739" customWidth="1"/>
    <col min="10273" max="10273" width="14.25" style="1739" customWidth="1"/>
    <col min="10274" max="10279" width="9.25" style="1739" customWidth="1"/>
    <col min="10280" max="10281" width="14.25" style="1739" customWidth="1"/>
    <col min="10282" max="10283" width="11" style="1739" customWidth="1"/>
    <col min="10284" max="10284" width="11.25" style="1739" customWidth="1"/>
    <col min="10285" max="10285" width="10" style="1739" customWidth="1"/>
    <col min="10286" max="10286" width="9.25" style="1739" customWidth="1"/>
    <col min="10287" max="10290" width="9.375" style="1739" customWidth="1"/>
    <col min="10291" max="10291" width="7.875" style="1739"/>
    <col min="10292" max="10292" width="10.375" style="1739" customWidth="1"/>
    <col min="10293" max="10293" width="11" style="1739" customWidth="1"/>
    <col min="10294" max="10294" width="12.5" style="1739" customWidth="1"/>
    <col min="10295" max="10295" width="10.375" style="1739" customWidth="1"/>
    <col min="10296" max="10296" width="11" style="1739" customWidth="1"/>
    <col min="10297" max="10297" width="10.875" style="1739" customWidth="1"/>
    <col min="10298" max="10298" width="11.5" style="1739" customWidth="1"/>
    <col min="10299" max="10305" width="11.875" style="1739" customWidth="1"/>
    <col min="10306" max="10306" width="7.875" style="1739"/>
    <col min="10307" max="10308" width="9.75" style="1739" customWidth="1"/>
    <col min="10309" max="10309" width="7.875" style="1739"/>
    <col min="10310" max="10311" width="10.5" style="1739" customWidth="1"/>
    <col min="10312" max="10312" width="7.875" style="1739"/>
    <col min="10313" max="10314" width="10.5" style="1739" customWidth="1"/>
    <col min="10315" max="10315" width="7.875" style="1739"/>
    <col min="10316" max="10317" width="10.5" style="1739" customWidth="1"/>
    <col min="10318" max="10318" width="7.875" style="1739"/>
    <col min="10319" max="10320" width="10.5" style="1739" customWidth="1"/>
    <col min="10321" max="10496" width="7.875" style="1739"/>
    <col min="10497" max="10497" width="9" style="1739" customWidth="1"/>
    <col min="10498" max="10498" width="13.125" style="1739" customWidth="1"/>
    <col min="10499" max="10499" width="27.75" style="1739" customWidth="1"/>
    <col min="10500" max="10500" width="10.25" style="1739" customWidth="1"/>
    <col min="10501" max="10501" width="15.75" style="1739" customWidth="1"/>
    <col min="10502" max="10502" width="7.875" style="1739" hidden="1" customWidth="1"/>
    <col min="10503" max="10503" width="12.625" style="1739" customWidth="1"/>
    <col min="10504" max="10504" width="10.5" style="1739" customWidth="1"/>
    <col min="10505" max="10505" width="10.125" style="1739" customWidth="1"/>
    <col min="10506" max="10508" width="9.75" style="1739" customWidth="1"/>
    <col min="10509" max="10509" width="12.25" style="1739" customWidth="1"/>
    <col min="10510" max="10511" width="13.875" style="1739" customWidth="1"/>
    <col min="10512" max="10512" width="10.375" style="1739" customWidth="1"/>
    <col min="10513" max="10513" width="10" style="1739" customWidth="1"/>
    <col min="10514" max="10514" width="15.875" style="1739" customWidth="1"/>
    <col min="10515" max="10515" width="11.125" style="1739" customWidth="1"/>
    <col min="10516" max="10516" width="12.875" style="1739" customWidth="1"/>
    <col min="10517" max="10517" width="9.5" style="1739" customWidth="1"/>
    <col min="10518" max="10518" width="18.75" style="1739" customWidth="1"/>
    <col min="10519" max="10519" width="15.875" style="1739" customWidth="1"/>
    <col min="10520" max="10526" width="19.125" style="1739" customWidth="1"/>
    <col min="10527" max="10528" width="15.25" style="1739" customWidth="1"/>
    <col min="10529" max="10529" width="14.25" style="1739" customWidth="1"/>
    <col min="10530" max="10535" width="9.25" style="1739" customWidth="1"/>
    <col min="10536" max="10537" width="14.25" style="1739" customWidth="1"/>
    <col min="10538" max="10539" width="11" style="1739" customWidth="1"/>
    <col min="10540" max="10540" width="11.25" style="1739" customWidth="1"/>
    <col min="10541" max="10541" width="10" style="1739" customWidth="1"/>
    <col min="10542" max="10542" width="9.25" style="1739" customWidth="1"/>
    <col min="10543" max="10546" width="9.375" style="1739" customWidth="1"/>
    <col min="10547" max="10547" width="7.875" style="1739"/>
    <col min="10548" max="10548" width="10.375" style="1739" customWidth="1"/>
    <col min="10549" max="10549" width="11" style="1739" customWidth="1"/>
    <col min="10550" max="10550" width="12.5" style="1739" customWidth="1"/>
    <col min="10551" max="10551" width="10.375" style="1739" customWidth="1"/>
    <col min="10552" max="10552" width="11" style="1739" customWidth="1"/>
    <col min="10553" max="10553" width="10.875" style="1739" customWidth="1"/>
    <col min="10554" max="10554" width="11.5" style="1739" customWidth="1"/>
    <col min="10555" max="10561" width="11.875" style="1739" customWidth="1"/>
    <col min="10562" max="10562" width="7.875" style="1739"/>
    <col min="10563" max="10564" width="9.75" style="1739" customWidth="1"/>
    <col min="10565" max="10565" width="7.875" style="1739"/>
    <col min="10566" max="10567" width="10.5" style="1739" customWidth="1"/>
    <col min="10568" max="10568" width="7.875" style="1739"/>
    <col min="10569" max="10570" width="10.5" style="1739" customWidth="1"/>
    <col min="10571" max="10571" width="7.875" style="1739"/>
    <col min="10572" max="10573" width="10.5" style="1739" customWidth="1"/>
    <col min="10574" max="10574" width="7.875" style="1739"/>
    <col min="10575" max="10576" width="10.5" style="1739" customWidth="1"/>
    <col min="10577" max="10752" width="7.875" style="1739"/>
    <col min="10753" max="10753" width="9" style="1739" customWidth="1"/>
    <col min="10754" max="10754" width="13.125" style="1739" customWidth="1"/>
    <col min="10755" max="10755" width="27.75" style="1739" customWidth="1"/>
    <col min="10756" max="10756" width="10.25" style="1739" customWidth="1"/>
    <col min="10757" max="10757" width="15.75" style="1739" customWidth="1"/>
    <col min="10758" max="10758" width="7.875" style="1739" hidden="1" customWidth="1"/>
    <col min="10759" max="10759" width="12.625" style="1739" customWidth="1"/>
    <col min="10760" max="10760" width="10.5" style="1739" customWidth="1"/>
    <col min="10761" max="10761" width="10.125" style="1739" customWidth="1"/>
    <col min="10762" max="10764" width="9.75" style="1739" customWidth="1"/>
    <col min="10765" max="10765" width="12.25" style="1739" customWidth="1"/>
    <col min="10766" max="10767" width="13.875" style="1739" customWidth="1"/>
    <col min="10768" max="10768" width="10.375" style="1739" customWidth="1"/>
    <col min="10769" max="10769" width="10" style="1739" customWidth="1"/>
    <col min="10770" max="10770" width="15.875" style="1739" customWidth="1"/>
    <col min="10771" max="10771" width="11.125" style="1739" customWidth="1"/>
    <col min="10772" max="10772" width="12.875" style="1739" customWidth="1"/>
    <col min="10773" max="10773" width="9.5" style="1739" customWidth="1"/>
    <col min="10774" max="10774" width="18.75" style="1739" customWidth="1"/>
    <col min="10775" max="10775" width="15.875" style="1739" customWidth="1"/>
    <col min="10776" max="10782" width="19.125" style="1739" customWidth="1"/>
    <col min="10783" max="10784" width="15.25" style="1739" customWidth="1"/>
    <col min="10785" max="10785" width="14.25" style="1739" customWidth="1"/>
    <col min="10786" max="10791" width="9.25" style="1739" customWidth="1"/>
    <col min="10792" max="10793" width="14.25" style="1739" customWidth="1"/>
    <col min="10794" max="10795" width="11" style="1739" customWidth="1"/>
    <col min="10796" max="10796" width="11.25" style="1739" customWidth="1"/>
    <col min="10797" max="10797" width="10" style="1739" customWidth="1"/>
    <col min="10798" max="10798" width="9.25" style="1739" customWidth="1"/>
    <col min="10799" max="10802" width="9.375" style="1739" customWidth="1"/>
    <col min="10803" max="10803" width="7.875" style="1739"/>
    <col min="10804" max="10804" width="10.375" style="1739" customWidth="1"/>
    <col min="10805" max="10805" width="11" style="1739" customWidth="1"/>
    <col min="10806" max="10806" width="12.5" style="1739" customWidth="1"/>
    <col min="10807" max="10807" width="10.375" style="1739" customWidth="1"/>
    <col min="10808" max="10808" width="11" style="1739" customWidth="1"/>
    <col min="10809" max="10809" width="10.875" style="1739" customWidth="1"/>
    <col min="10810" max="10810" width="11.5" style="1739" customWidth="1"/>
    <col min="10811" max="10817" width="11.875" style="1739" customWidth="1"/>
    <col min="10818" max="10818" width="7.875" style="1739"/>
    <col min="10819" max="10820" width="9.75" style="1739" customWidth="1"/>
    <col min="10821" max="10821" width="7.875" style="1739"/>
    <col min="10822" max="10823" width="10.5" style="1739" customWidth="1"/>
    <col min="10824" max="10824" width="7.875" style="1739"/>
    <col min="10825" max="10826" width="10.5" style="1739" customWidth="1"/>
    <col min="10827" max="10827" width="7.875" style="1739"/>
    <col min="10828" max="10829" width="10.5" style="1739" customWidth="1"/>
    <col min="10830" max="10830" width="7.875" style="1739"/>
    <col min="10831" max="10832" width="10.5" style="1739" customWidth="1"/>
    <col min="10833" max="11008" width="7.875" style="1739"/>
    <col min="11009" max="11009" width="9" style="1739" customWidth="1"/>
    <col min="11010" max="11010" width="13.125" style="1739" customWidth="1"/>
    <col min="11011" max="11011" width="27.75" style="1739" customWidth="1"/>
    <col min="11012" max="11012" width="10.25" style="1739" customWidth="1"/>
    <col min="11013" max="11013" width="15.75" style="1739" customWidth="1"/>
    <col min="11014" max="11014" width="7.875" style="1739" hidden="1" customWidth="1"/>
    <col min="11015" max="11015" width="12.625" style="1739" customWidth="1"/>
    <col min="11016" max="11016" width="10.5" style="1739" customWidth="1"/>
    <col min="11017" max="11017" width="10.125" style="1739" customWidth="1"/>
    <col min="11018" max="11020" width="9.75" style="1739" customWidth="1"/>
    <col min="11021" max="11021" width="12.25" style="1739" customWidth="1"/>
    <col min="11022" max="11023" width="13.875" style="1739" customWidth="1"/>
    <col min="11024" max="11024" width="10.375" style="1739" customWidth="1"/>
    <col min="11025" max="11025" width="10" style="1739" customWidth="1"/>
    <col min="11026" max="11026" width="15.875" style="1739" customWidth="1"/>
    <col min="11027" max="11027" width="11.125" style="1739" customWidth="1"/>
    <col min="11028" max="11028" width="12.875" style="1739" customWidth="1"/>
    <col min="11029" max="11029" width="9.5" style="1739" customWidth="1"/>
    <col min="11030" max="11030" width="18.75" style="1739" customWidth="1"/>
    <col min="11031" max="11031" width="15.875" style="1739" customWidth="1"/>
    <col min="11032" max="11038" width="19.125" style="1739" customWidth="1"/>
    <col min="11039" max="11040" width="15.25" style="1739" customWidth="1"/>
    <col min="11041" max="11041" width="14.25" style="1739" customWidth="1"/>
    <col min="11042" max="11047" width="9.25" style="1739" customWidth="1"/>
    <col min="11048" max="11049" width="14.25" style="1739" customWidth="1"/>
    <col min="11050" max="11051" width="11" style="1739" customWidth="1"/>
    <col min="11052" max="11052" width="11.25" style="1739" customWidth="1"/>
    <col min="11053" max="11053" width="10" style="1739" customWidth="1"/>
    <col min="11054" max="11054" width="9.25" style="1739" customWidth="1"/>
    <col min="11055" max="11058" width="9.375" style="1739" customWidth="1"/>
    <col min="11059" max="11059" width="7.875" style="1739"/>
    <col min="11060" max="11060" width="10.375" style="1739" customWidth="1"/>
    <col min="11061" max="11061" width="11" style="1739" customWidth="1"/>
    <col min="11062" max="11062" width="12.5" style="1739" customWidth="1"/>
    <col min="11063" max="11063" width="10.375" style="1739" customWidth="1"/>
    <col min="11064" max="11064" width="11" style="1739" customWidth="1"/>
    <col min="11065" max="11065" width="10.875" style="1739" customWidth="1"/>
    <col min="11066" max="11066" width="11.5" style="1739" customWidth="1"/>
    <col min="11067" max="11073" width="11.875" style="1739" customWidth="1"/>
    <col min="11074" max="11074" width="7.875" style="1739"/>
    <col min="11075" max="11076" width="9.75" style="1739" customWidth="1"/>
    <col min="11077" max="11077" width="7.875" style="1739"/>
    <col min="11078" max="11079" width="10.5" style="1739" customWidth="1"/>
    <col min="11080" max="11080" width="7.875" style="1739"/>
    <col min="11081" max="11082" width="10.5" style="1739" customWidth="1"/>
    <col min="11083" max="11083" width="7.875" style="1739"/>
    <col min="11084" max="11085" width="10.5" style="1739" customWidth="1"/>
    <col min="11086" max="11086" width="7.875" style="1739"/>
    <col min="11087" max="11088" width="10.5" style="1739" customWidth="1"/>
    <col min="11089" max="11264" width="7.875" style="1739"/>
    <col min="11265" max="11265" width="9" style="1739" customWidth="1"/>
    <col min="11266" max="11266" width="13.125" style="1739" customWidth="1"/>
    <col min="11267" max="11267" width="27.75" style="1739" customWidth="1"/>
    <col min="11268" max="11268" width="10.25" style="1739" customWidth="1"/>
    <col min="11269" max="11269" width="15.75" style="1739" customWidth="1"/>
    <col min="11270" max="11270" width="7.875" style="1739" hidden="1" customWidth="1"/>
    <col min="11271" max="11271" width="12.625" style="1739" customWidth="1"/>
    <col min="11272" max="11272" width="10.5" style="1739" customWidth="1"/>
    <col min="11273" max="11273" width="10.125" style="1739" customWidth="1"/>
    <col min="11274" max="11276" width="9.75" style="1739" customWidth="1"/>
    <col min="11277" max="11277" width="12.25" style="1739" customWidth="1"/>
    <col min="11278" max="11279" width="13.875" style="1739" customWidth="1"/>
    <col min="11280" max="11280" width="10.375" style="1739" customWidth="1"/>
    <col min="11281" max="11281" width="10" style="1739" customWidth="1"/>
    <col min="11282" max="11282" width="15.875" style="1739" customWidth="1"/>
    <col min="11283" max="11283" width="11.125" style="1739" customWidth="1"/>
    <col min="11284" max="11284" width="12.875" style="1739" customWidth="1"/>
    <col min="11285" max="11285" width="9.5" style="1739" customWidth="1"/>
    <col min="11286" max="11286" width="18.75" style="1739" customWidth="1"/>
    <col min="11287" max="11287" width="15.875" style="1739" customWidth="1"/>
    <col min="11288" max="11294" width="19.125" style="1739" customWidth="1"/>
    <col min="11295" max="11296" width="15.25" style="1739" customWidth="1"/>
    <col min="11297" max="11297" width="14.25" style="1739" customWidth="1"/>
    <col min="11298" max="11303" width="9.25" style="1739" customWidth="1"/>
    <col min="11304" max="11305" width="14.25" style="1739" customWidth="1"/>
    <col min="11306" max="11307" width="11" style="1739" customWidth="1"/>
    <col min="11308" max="11308" width="11.25" style="1739" customWidth="1"/>
    <col min="11309" max="11309" width="10" style="1739" customWidth="1"/>
    <col min="11310" max="11310" width="9.25" style="1739" customWidth="1"/>
    <col min="11311" max="11314" width="9.375" style="1739" customWidth="1"/>
    <col min="11315" max="11315" width="7.875" style="1739"/>
    <col min="11316" max="11316" width="10.375" style="1739" customWidth="1"/>
    <col min="11317" max="11317" width="11" style="1739" customWidth="1"/>
    <col min="11318" max="11318" width="12.5" style="1739" customWidth="1"/>
    <col min="11319" max="11319" width="10.375" style="1739" customWidth="1"/>
    <col min="11320" max="11320" width="11" style="1739" customWidth="1"/>
    <col min="11321" max="11321" width="10.875" style="1739" customWidth="1"/>
    <col min="11322" max="11322" width="11.5" style="1739" customWidth="1"/>
    <col min="11323" max="11329" width="11.875" style="1739" customWidth="1"/>
    <col min="11330" max="11330" width="7.875" style="1739"/>
    <col min="11331" max="11332" width="9.75" style="1739" customWidth="1"/>
    <col min="11333" max="11333" width="7.875" style="1739"/>
    <col min="11334" max="11335" width="10.5" style="1739" customWidth="1"/>
    <col min="11336" max="11336" width="7.875" style="1739"/>
    <col min="11337" max="11338" width="10.5" style="1739" customWidth="1"/>
    <col min="11339" max="11339" width="7.875" style="1739"/>
    <col min="11340" max="11341" width="10.5" style="1739" customWidth="1"/>
    <col min="11342" max="11342" width="7.875" style="1739"/>
    <col min="11343" max="11344" width="10.5" style="1739" customWidth="1"/>
    <col min="11345" max="11520" width="7.875" style="1739"/>
    <col min="11521" max="11521" width="9" style="1739" customWidth="1"/>
    <col min="11522" max="11522" width="13.125" style="1739" customWidth="1"/>
    <col min="11523" max="11523" width="27.75" style="1739" customWidth="1"/>
    <col min="11524" max="11524" width="10.25" style="1739" customWidth="1"/>
    <col min="11525" max="11525" width="15.75" style="1739" customWidth="1"/>
    <col min="11526" max="11526" width="7.875" style="1739" hidden="1" customWidth="1"/>
    <col min="11527" max="11527" width="12.625" style="1739" customWidth="1"/>
    <col min="11528" max="11528" width="10.5" style="1739" customWidth="1"/>
    <col min="11529" max="11529" width="10.125" style="1739" customWidth="1"/>
    <col min="11530" max="11532" width="9.75" style="1739" customWidth="1"/>
    <col min="11533" max="11533" width="12.25" style="1739" customWidth="1"/>
    <col min="11534" max="11535" width="13.875" style="1739" customWidth="1"/>
    <col min="11536" max="11536" width="10.375" style="1739" customWidth="1"/>
    <col min="11537" max="11537" width="10" style="1739" customWidth="1"/>
    <col min="11538" max="11538" width="15.875" style="1739" customWidth="1"/>
    <col min="11539" max="11539" width="11.125" style="1739" customWidth="1"/>
    <col min="11540" max="11540" width="12.875" style="1739" customWidth="1"/>
    <col min="11541" max="11541" width="9.5" style="1739" customWidth="1"/>
    <col min="11542" max="11542" width="18.75" style="1739" customWidth="1"/>
    <col min="11543" max="11543" width="15.875" style="1739" customWidth="1"/>
    <col min="11544" max="11550" width="19.125" style="1739" customWidth="1"/>
    <col min="11551" max="11552" width="15.25" style="1739" customWidth="1"/>
    <col min="11553" max="11553" width="14.25" style="1739" customWidth="1"/>
    <col min="11554" max="11559" width="9.25" style="1739" customWidth="1"/>
    <col min="11560" max="11561" width="14.25" style="1739" customWidth="1"/>
    <col min="11562" max="11563" width="11" style="1739" customWidth="1"/>
    <col min="11564" max="11564" width="11.25" style="1739" customWidth="1"/>
    <col min="11565" max="11565" width="10" style="1739" customWidth="1"/>
    <col min="11566" max="11566" width="9.25" style="1739" customWidth="1"/>
    <col min="11567" max="11570" width="9.375" style="1739" customWidth="1"/>
    <col min="11571" max="11571" width="7.875" style="1739"/>
    <col min="11572" max="11572" width="10.375" style="1739" customWidth="1"/>
    <col min="11573" max="11573" width="11" style="1739" customWidth="1"/>
    <col min="11574" max="11574" width="12.5" style="1739" customWidth="1"/>
    <col min="11575" max="11575" width="10.375" style="1739" customWidth="1"/>
    <col min="11576" max="11576" width="11" style="1739" customWidth="1"/>
    <col min="11577" max="11577" width="10.875" style="1739" customWidth="1"/>
    <col min="11578" max="11578" width="11.5" style="1739" customWidth="1"/>
    <col min="11579" max="11585" width="11.875" style="1739" customWidth="1"/>
    <col min="11586" max="11586" width="7.875" style="1739"/>
    <col min="11587" max="11588" width="9.75" style="1739" customWidth="1"/>
    <col min="11589" max="11589" width="7.875" style="1739"/>
    <col min="11590" max="11591" width="10.5" style="1739" customWidth="1"/>
    <col min="11592" max="11592" width="7.875" style="1739"/>
    <col min="11593" max="11594" width="10.5" style="1739" customWidth="1"/>
    <col min="11595" max="11595" width="7.875" style="1739"/>
    <col min="11596" max="11597" width="10.5" style="1739" customWidth="1"/>
    <col min="11598" max="11598" width="7.875" style="1739"/>
    <col min="11599" max="11600" width="10.5" style="1739" customWidth="1"/>
    <col min="11601" max="11776" width="7.875" style="1739"/>
    <col min="11777" max="11777" width="9" style="1739" customWidth="1"/>
    <col min="11778" max="11778" width="13.125" style="1739" customWidth="1"/>
    <col min="11779" max="11779" width="27.75" style="1739" customWidth="1"/>
    <col min="11780" max="11780" width="10.25" style="1739" customWidth="1"/>
    <col min="11781" max="11781" width="15.75" style="1739" customWidth="1"/>
    <col min="11782" max="11782" width="7.875" style="1739" hidden="1" customWidth="1"/>
    <col min="11783" max="11783" width="12.625" style="1739" customWidth="1"/>
    <col min="11784" max="11784" width="10.5" style="1739" customWidth="1"/>
    <col min="11785" max="11785" width="10.125" style="1739" customWidth="1"/>
    <col min="11786" max="11788" width="9.75" style="1739" customWidth="1"/>
    <col min="11789" max="11789" width="12.25" style="1739" customWidth="1"/>
    <col min="11790" max="11791" width="13.875" style="1739" customWidth="1"/>
    <col min="11792" max="11792" width="10.375" style="1739" customWidth="1"/>
    <col min="11793" max="11793" width="10" style="1739" customWidth="1"/>
    <col min="11794" max="11794" width="15.875" style="1739" customWidth="1"/>
    <col min="11795" max="11795" width="11.125" style="1739" customWidth="1"/>
    <col min="11796" max="11796" width="12.875" style="1739" customWidth="1"/>
    <col min="11797" max="11797" width="9.5" style="1739" customWidth="1"/>
    <col min="11798" max="11798" width="18.75" style="1739" customWidth="1"/>
    <col min="11799" max="11799" width="15.875" style="1739" customWidth="1"/>
    <col min="11800" max="11806" width="19.125" style="1739" customWidth="1"/>
    <col min="11807" max="11808" width="15.25" style="1739" customWidth="1"/>
    <col min="11809" max="11809" width="14.25" style="1739" customWidth="1"/>
    <col min="11810" max="11815" width="9.25" style="1739" customWidth="1"/>
    <col min="11816" max="11817" width="14.25" style="1739" customWidth="1"/>
    <col min="11818" max="11819" width="11" style="1739" customWidth="1"/>
    <col min="11820" max="11820" width="11.25" style="1739" customWidth="1"/>
    <col min="11821" max="11821" width="10" style="1739" customWidth="1"/>
    <col min="11822" max="11822" width="9.25" style="1739" customWidth="1"/>
    <col min="11823" max="11826" width="9.375" style="1739" customWidth="1"/>
    <col min="11827" max="11827" width="7.875" style="1739"/>
    <col min="11828" max="11828" width="10.375" style="1739" customWidth="1"/>
    <col min="11829" max="11829" width="11" style="1739" customWidth="1"/>
    <col min="11830" max="11830" width="12.5" style="1739" customWidth="1"/>
    <col min="11831" max="11831" width="10.375" style="1739" customWidth="1"/>
    <col min="11832" max="11832" width="11" style="1739" customWidth="1"/>
    <col min="11833" max="11833" width="10.875" style="1739" customWidth="1"/>
    <col min="11834" max="11834" width="11.5" style="1739" customWidth="1"/>
    <col min="11835" max="11841" width="11.875" style="1739" customWidth="1"/>
    <col min="11842" max="11842" width="7.875" style="1739"/>
    <col min="11843" max="11844" width="9.75" style="1739" customWidth="1"/>
    <col min="11845" max="11845" width="7.875" style="1739"/>
    <col min="11846" max="11847" width="10.5" style="1739" customWidth="1"/>
    <col min="11848" max="11848" width="7.875" style="1739"/>
    <col min="11849" max="11850" width="10.5" style="1739" customWidth="1"/>
    <col min="11851" max="11851" width="7.875" style="1739"/>
    <col min="11852" max="11853" width="10.5" style="1739" customWidth="1"/>
    <col min="11854" max="11854" width="7.875" style="1739"/>
    <col min="11855" max="11856" width="10.5" style="1739" customWidth="1"/>
    <col min="11857" max="12032" width="7.875" style="1739"/>
    <col min="12033" max="12033" width="9" style="1739" customWidth="1"/>
    <col min="12034" max="12034" width="13.125" style="1739" customWidth="1"/>
    <col min="12035" max="12035" width="27.75" style="1739" customWidth="1"/>
    <col min="12036" max="12036" width="10.25" style="1739" customWidth="1"/>
    <col min="12037" max="12037" width="15.75" style="1739" customWidth="1"/>
    <col min="12038" max="12038" width="7.875" style="1739" hidden="1" customWidth="1"/>
    <col min="12039" max="12039" width="12.625" style="1739" customWidth="1"/>
    <col min="12040" max="12040" width="10.5" style="1739" customWidth="1"/>
    <col min="12041" max="12041" width="10.125" style="1739" customWidth="1"/>
    <col min="12042" max="12044" width="9.75" style="1739" customWidth="1"/>
    <col min="12045" max="12045" width="12.25" style="1739" customWidth="1"/>
    <col min="12046" max="12047" width="13.875" style="1739" customWidth="1"/>
    <col min="12048" max="12048" width="10.375" style="1739" customWidth="1"/>
    <col min="12049" max="12049" width="10" style="1739" customWidth="1"/>
    <col min="12050" max="12050" width="15.875" style="1739" customWidth="1"/>
    <col min="12051" max="12051" width="11.125" style="1739" customWidth="1"/>
    <col min="12052" max="12052" width="12.875" style="1739" customWidth="1"/>
    <col min="12053" max="12053" width="9.5" style="1739" customWidth="1"/>
    <col min="12054" max="12054" width="18.75" style="1739" customWidth="1"/>
    <col min="12055" max="12055" width="15.875" style="1739" customWidth="1"/>
    <col min="12056" max="12062" width="19.125" style="1739" customWidth="1"/>
    <col min="12063" max="12064" width="15.25" style="1739" customWidth="1"/>
    <col min="12065" max="12065" width="14.25" style="1739" customWidth="1"/>
    <col min="12066" max="12071" width="9.25" style="1739" customWidth="1"/>
    <col min="12072" max="12073" width="14.25" style="1739" customWidth="1"/>
    <col min="12074" max="12075" width="11" style="1739" customWidth="1"/>
    <col min="12076" max="12076" width="11.25" style="1739" customWidth="1"/>
    <col min="12077" max="12077" width="10" style="1739" customWidth="1"/>
    <col min="12078" max="12078" width="9.25" style="1739" customWidth="1"/>
    <col min="12079" max="12082" width="9.375" style="1739" customWidth="1"/>
    <col min="12083" max="12083" width="7.875" style="1739"/>
    <col min="12084" max="12084" width="10.375" style="1739" customWidth="1"/>
    <col min="12085" max="12085" width="11" style="1739" customWidth="1"/>
    <col min="12086" max="12086" width="12.5" style="1739" customWidth="1"/>
    <col min="12087" max="12087" width="10.375" style="1739" customWidth="1"/>
    <col min="12088" max="12088" width="11" style="1739" customWidth="1"/>
    <col min="12089" max="12089" width="10.875" style="1739" customWidth="1"/>
    <col min="12090" max="12090" width="11.5" style="1739" customWidth="1"/>
    <col min="12091" max="12097" width="11.875" style="1739" customWidth="1"/>
    <col min="12098" max="12098" width="7.875" style="1739"/>
    <col min="12099" max="12100" width="9.75" style="1739" customWidth="1"/>
    <col min="12101" max="12101" width="7.875" style="1739"/>
    <col min="12102" max="12103" width="10.5" style="1739" customWidth="1"/>
    <col min="12104" max="12104" width="7.875" style="1739"/>
    <col min="12105" max="12106" width="10.5" style="1739" customWidth="1"/>
    <col min="12107" max="12107" width="7.875" style="1739"/>
    <col min="12108" max="12109" width="10.5" style="1739" customWidth="1"/>
    <col min="12110" max="12110" width="7.875" style="1739"/>
    <col min="12111" max="12112" width="10.5" style="1739" customWidth="1"/>
    <col min="12113" max="12288" width="7.875" style="1739"/>
    <col min="12289" max="12289" width="9" style="1739" customWidth="1"/>
    <col min="12290" max="12290" width="13.125" style="1739" customWidth="1"/>
    <col min="12291" max="12291" width="27.75" style="1739" customWidth="1"/>
    <col min="12292" max="12292" width="10.25" style="1739" customWidth="1"/>
    <col min="12293" max="12293" width="15.75" style="1739" customWidth="1"/>
    <col min="12294" max="12294" width="7.875" style="1739" hidden="1" customWidth="1"/>
    <col min="12295" max="12295" width="12.625" style="1739" customWidth="1"/>
    <col min="12296" max="12296" width="10.5" style="1739" customWidth="1"/>
    <col min="12297" max="12297" width="10.125" style="1739" customWidth="1"/>
    <col min="12298" max="12300" width="9.75" style="1739" customWidth="1"/>
    <col min="12301" max="12301" width="12.25" style="1739" customWidth="1"/>
    <col min="12302" max="12303" width="13.875" style="1739" customWidth="1"/>
    <col min="12304" max="12304" width="10.375" style="1739" customWidth="1"/>
    <col min="12305" max="12305" width="10" style="1739" customWidth="1"/>
    <col min="12306" max="12306" width="15.875" style="1739" customWidth="1"/>
    <col min="12307" max="12307" width="11.125" style="1739" customWidth="1"/>
    <col min="12308" max="12308" width="12.875" style="1739" customWidth="1"/>
    <col min="12309" max="12309" width="9.5" style="1739" customWidth="1"/>
    <col min="12310" max="12310" width="18.75" style="1739" customWidth="1"/>
    <col min="12311" max="12311" width="15.875" style="1739" customWidth="1"/>
    <col min="12312" max="12318" width="19.125" style="1739" customWidth="1"/>
    <col min="12319" max="12320" width="15.25" style="1739" customWidth="1"/>
    <col min="12321" max="12321" width="14.25" style="1739" customWidth="1"/>
    <col min="12322" max="12327" width="9.25" style="1739" customWidth="1"/>
    <col min="12328" max="12329" width="14.25" style="1739" customWidth="1"/>
    <col min="12330" max="12331" width="11" style="1739" customWidth="1"/>
    <col min="12332" max="12332" width="11.25" style="1739" customWidth="1"/>
    <col min="12333" max="12333" width="10" style="1739" customWidth="1"/>
    <col min="12334" max="12334" width="9.25" style="1739" customWidth="1"/>
    <col min="12335" max="12338" width="9.375" style="1739" customWidth="1"/>
    <col min="12339" max="12339" width="7.875" style="1739"/>
    <col min="12340" max="12340" width="10.375" style="1739" customWidth="1"/>
    <col min="12341" max="12341" width="11" style="1739" customWidth="1"/>
    <col min="12342" max="12342" width="12.5" style="1739" customWidth="1"/>
    <col min="12343" max="12343" width="10.375" style="1739" customWidth="1"/>
    <col min="12344" max="12344" width="11" style="1739" customWidth="1"/>
    <col min="12345" max="12345" width="10.875" style="1739" customWidth="1"/>
    <col min="12346" max="12346" width="11.5" style="1739" customWidth="1"/>
    <col min="12347" max="12353" width="11.875" style="1739" customWidth="1"/>
    <col min="12354" max="12354" width="7.875" style="1739"/>
    <col min="12355" max="12356" width="9.75" style="1739" customWidth="1"/>
    <col min="12357" max="12357" width="7.875" style="1739"/>
    <col min="12358" max="12359" width="10.5" style="1739" customWidth="1"/>
    <col min="12360" max="12360" width="7.875" style="1739"/>
    <col min="12361" max="12362" width="10.5" style="1739" customWidth="1"/>
    <col min="12363" max="12363" width="7.875" style="1739"/>
    <col min="12364" max="12365" width="10.5" style="1739" customWidth="1"/>
    <col min="12366" max="12366" width="7.875" style="1739"/>
    <col min="12367" max="12368" width="10.5" style="1739" customWidth="1"/>
    <col min="12369" max="12544" width="7.875" style="1739"/>
    <col min="12545" max="12545" width="9" style="1739" customWidth="1"/>
    <col min="12546" max="12546" width="13.125" style="1739" customWidth="1"/>
    <col min="12547" max="12547" width="27.75" style="1739" customWidth="1"/>
    <col min="12548" max="12548" width="10.25" style="1739" customWidth="1"/>
    <col min="12549" max="12549" width="15.75" style="1739" customWidth="1"/>
    <col min="12550" max="12550" width="7.875" style="1739" hidden="1" customWidth="1"/>
    <col min="12551" max="12551" width="12.625" style="1739" customWidth="1"/>
    <col min="12552" max="12552" width="10.5" style="1739" customWidth="1"/>
    <col min="12553" max="12553" width="10.125" style="1739" customWidth="1"/>
    <col min="12554" max="12556" width="9.75" style="1739" customWidth="1"/>
    <col min="12557" max="12557" width="12.25" style="1739" customWidth="1"/>
    <col min="12558" max="12559" width="13.875" style="1739" customWidth="1"/>
    <col min="12560" max="12560" width="10.375" style="1739" customWidth="1"/>
    <col min="12561" max="12561" width="10" style="1739" customWidth="1"/>
    <col min="12562" max="12562" width="15.875" style="1739" customWidth="1"/>
    <col min="12563" max="12563" width="11.125" style="1739" customWidth="1"/>
    <col min="12564" max="12564" width="12.875" style="1739" customWidth="1"/>
    <col min="12565" max="12565" width="9.5" style="1739" customWidth="1"/>
    <col min="12566" max="12566" width="18.75" style="1739" customWidth="1"/>
    <col min="12567" max="12567" width="15.875" style="1739" customWidth="1"/>
    <col min="12568" max="12574" width="19.125" style="1739" customWidth="1"/>
    <col min="12575" max="12576" width="15.25" style="1739" customWidth="1"/>
    <col min="12577" max="12577" width="14.25" style="1739" customWidth="1"/>
    <col min="12578" max="12583" width="9.25" style="1739" customWidth="1"/>
    <col min="12584" max="12585" width="14.25" style="1739" customWidth="1"/>
    <col min="12586" max="12587" width="11" style="1739" customWidth="1"/>
    <col min="12588" max="12588" width="11.25" style="1739" customWidth="1"/>
    <col min="12589" max="12589" width="10" style="1739" customWidth="1"/>
    <col min="12590" max="12590" width="9.25" style="1739" customWidth="1"/>
    <col min="12591" max="12594" width="9.375" style="1739" customWidth="1"/>
    <col min="12595" max="12595" width="7.875" style="1739"/>
    <col min="12596" max="12596" width="10.375" style="1739" customWidth="1"/>
    <col min="12597" max="12597" width="11" style="1739" customWidth="1"/>
    <col min="12598" max="12598" width="12.5" style="1739" customWidth="1"/>
    <col min="12599" max="12599" width="10.375" style="1739" customWidth="1"/>
    <col min="12600" max="12600" width="11" style="1739" customWidth="1"/>
    <col min="12601" max="12601" width="10.875" style="1739" customWidth="1"/>
    <col min="12602" max="12602" width="11.5" style="1739" customWidth="1"/>
    <col min="12603" max="12609" width="11.875" style="1739" customWidth="1"/>
    <col min="12610" max="12610" width="7.875" style="1739"/>
    <col min="12611" max="12612" width="9.75" style="1739" customWidth="1"/>
    <col min="12613" max="12613" width="7.875" style="1739"/>
    <col min="12614" max="12615" width="10.5" style="1739" customWidth="1"/>
    <col min="12616" max="12616" width="7.875" style="1739"/>
    <col min="12617" max="12618" width="10.5" style="1739" customWidth="1"/>
    <col min="12619" max="12619" width="7.875" style="1739"/>
    <col min="12620" max="12621" width="10.5" style="1739" customWidth="1"/>
    <col min="12622" max="12622" width="7.875" style="1739"/>
    <col min="12623" max="12624" width="10.5" style="1739" customWidth="1"/>
    <col min="12625" max="12800" width="7.875" style="1739"/>
    <col min="12801" max="12801" width="9" style="1739" customWidth="1"/>
    <col min="12802" max="12802" width="13.125" style="1739" customWidth="1"/>
    <col min="12803" max="12803" width="27.75" style="1739" customWidth="1"/>
    <col min="12804" max="12804" width="10.25" style="1739" customWidth="1"/>
    <col min="12805" max="12805" width="15.75" style="1739" customWidth="1"/>
    <col min="12806" max="12806" width="7.875" style="1739" hidden="1" customWidth="1"/>
    <col min="12807" max="12807" width="12.625" style="1739" customWidth="1"/>
    <col min="12808" max="12808" width="10.5" style="1739" customWidth="1"/>
    <col min="12809" max="12809" width="10.125" style="1739" customWidth="1"/>
    <col min="12810" max="12812" width="9.75" style="1739" customWidth="1"/>
    <col min="12813" max="12813" width="12.25" style="1739" customWidth="1"/>
    <col min="12814" max="12815" width="13.875" style="1739" customWidth="1"/>
    <col min="12816" max="12816" width="10.375" style="1739" customWidth="1"/>
    <col min="12817" max="12817" width="10" style="1739" customWidth="1"/>
    <col min="12818" max="12818" width="15.875" style="1739" customWidth="1"/>
    <col min="12819" max="12819" width="11.125" style="1739" customWidth="1"/>
    <col min="12820" max="12820" width="12.875" style="1739" customWidth="1"/>
    <col min="12821" max="12821" width="9.5" style="1739" customWidth="1"/>
    <col min="12822" max="12822" width="18.75" style="1739" customWidth="1"/>
    <col min="12823" max="12823" width="15.875" style="1739" customWidth="1"/>
    <col min="12824" max="12830" width="19.125" style="1739" customWidth="1"/>
    <col min="12831" max="12832" width="15.25" style="1739" customWidth="1"/>
    <col min="12833" max="12833" width="14.25" style="1739" customWidth="1"/>
    <col min="12834" max="12839" width="9.25" style="1739" customWidth="1"/>
    <col min="12840" max="12841" width="14.25" style="1739" customWidth="1"/>
    <col min="12842" max="12843" width="11" style="1739" customWidth="1"/>
    <col min="12844" max="12844" width="11.25" style="1739" customWidth="1"/>
    <col min="12845" max="12845" width="10" style="1739" customWidth="1"/>
    <col min="12846" max="12846" width="9.25" style="1739" customWidth="1"/>
    <col min="12847" max="12850" width="9.375" style="1739" customWidth="1"/>
    <col min="12851" max="12851" width="7.875" style="1739"/>
    <col min="12852" max="12852" width="10.375" style="1739" customWidth="1"/>
    <col min="12853" max="12853" width="11" style="1739" customWidth="1"/>
    <col min="12854" max="12854" width="12.5" style="1739" customWidth="1"/>
    <col min="12855" max="12855" width="10.375" style="1739" customWidth="1"/>
    <col min="12856" max="12856" width="11" style="1739" customWidth="1"/>
    <col min="12857" max="12857" width="10.875" style="1739" customWidth="1"/>
    <col min="12858" max="12858" width="11.5" style="1739" customWidth="1"/>
    <col min="12859" max="12865" width="11.875" style="1739" customWidth="1"/>
    <col min="12866" max="12866" width="7.875" style="1739"/>
    <col min="12867" max="12868" width="9.75" style="1739" customWidth="1"/>
    <col min="12869" max="12869" width="7.875" style="1739"/>
    <col min="12870" max="12871" width="10.5" style="1739" customWidth="1"/>
    <col min="12872" max="12872" width="7.875" style="1739"/>
    <col min="12873" max="12874" width="10.5" style="1739" customWidth="1"/>
    <col min="12875" max="12875" width="7.875" style="1739"/>
    <col min="12876" max="12877" width="10.5" style="1739" customWidth="1"/>
    <col min="12878" max="12878" width="7.875" style="1739"/>
    <col min="12879" max="12880" width="10.5" style="1739" customWidth="1"/>
    <col min="12881" max="13056" width="7.875" style="1739"/>
    <col min="13057" max="13057" width="9" style="1739" customWidth="1"/>
    <col min="13058" max="13058" width="13.125" style="1739" customWidth="1"/>
    <col min="13059" max="13059" width="27.75" style="1739" customWidth="1"/>
    <col min="13060" max="13060" width="10.25" style="1739" customWidth="1"/>
    <col min="13061" max="13061" width="15.75" style="1739" customWidth="1"/>
    <col min="13062" max="13062" width="7.875" style="1739" hidden="1" customWidth="1"/>
    <col min="13063" max="13063" width="12.625" style="1739" customWidth="1"/>
    <col min="13064" max="13064" width="10.5" style="1739" customWidth="1"/>
    <col min="13065" max="13065" width="10.125" style="1739" customWidth="1"/>
    <col min="13066" max="13068" width="9.75" style="1739" customWidth="1"/>
    <col min="13069" max="13069" width="12.25" style="1739" customWidth="1"/>
    <col min="13070" max="13071" width="13.875" style="1739" customWidth="1"/>
    <col min="13072" max="13072" width="10.375" style="1739" customWidth="1"/>
    <col min="13073" max="13073" width="10" style="1739" customWidth="1"/>
    <col min="13074" max="13074" width="15.875" style="1739" customWidth="1"/>
    <col min="13075" max="13075" width="11.125" style="1739" customWidth="1"/>
    <col min="13076" max="13076" width="12.875" style="1739" customWidth="1"/>
    <col min="13077" max="13077" width="9.5" style="1739" customWidth="1"/>
    <col min="13078" max="13078" width="18.75" style="1739" customWidth="1"/>
    <col min="13079" max="13079" width="15.875" style="1739" customWidth="1"/>
    <col min="13080" max="13086" width="19.125" style="1739" customWidth="1"/>
    <col min="13087" max="13088" width="15.25" style="1739" customWidth="1"/>
    <col min="13089" max="13089" width="14.25" style="1739" customWidth="1"/>
    <col min="13090" max="13095" width="9.25" style="1739" customWidth="1"/>
    <col min="13096" max="13097" width="14.25" style="1739" customWidth="1"/>
    <col min="13098" max="13099" width="11" style="1739" customWidth="1"/>
    <col min="13100" max="13100" width="11.25" style="1739" customWidth="1"/>
    <col min="13101" max="13101" width="10" style="1739" customWidth="1"/>
    <col min="13102" max="13102" width="9.25" style="1739" customWidth="1"/>
    <col min="13103" max="13106" width="9.375" style="1739" customWidth="1"/>
    <col min="13107" max="13107" width="7.875" style="1739"/>
    <col min="13108" max="13108" width="10.375" style="1739" customWidth="1"/>
    <col min="13109" max="13109" width="11" style="1739" customWidth="1"/>
    <col min="13110" max="13110" width="12.5" style="1739" customWidth="1"/>
    <col min="13111" max="13111" width="10.375" style="1739" customWidth="1"/>
    <col min="13112" max="13112" width="11" style="1739" customWidth="1"/>
    <col min="13113" max="13113" width="10.875" style="1739" customWidth="1"/>
    <col min="13114" max="13114" width="11.5" style="1739" customWidth="1"/>
    <col min="13115" max="13121" width="11.875" style="1739" customWidth="1"/>
    <col min="13122" max="13122" width="7.875" style="1739"/>
    <col min="13123" max="13124" width="9.75" style="1739" customWidth="1"/>
    <col min="13125" max="13125" width="7.875" style="1739"/>
    <col min="13126" max="13127" width="10.5" style="1739" customWidth="1"/>
    <col min="13128" max="13128" width="7.875" style="1739"/>
    <col min="13129" max="13130" width="10.5" style="1739" customWidth="1"/>
    <col min="13131" max="13131" width="7.875" style="1739"/>
    <col min="13132" max="13133" width="10.5" style="1739" customWidth="1"/>
    <col min="13134" max="13134" width="7.875" style="1739"/>
    <col min="13135" max="13136" width="10.5" style="1739" customWidth="1"/>
    <col min="13137" max="13312" width="7.875" style="1739"/>
    <col min="13313" max="13313" width="9" style="1739" customWidth="1"/>
    <col min="13314" max="13314" width="13.125" style="1739" customWidth="1"/>
    <col min="13315" max="13315" width="27.75" style="1739" customWidth="1"/>
    <col min="13316" max="13316" width="10.25" style="1739" customWidth="1"/>
    <col min="13317" max="13317" width="15.75" style="1739" customWidth="1"/>
    <col min="13318" max="13318" width="7.875" style="1739" hidden="1" customWidth="1"/>
    <col min="13319" max="13319" width="12.625" style="1739" customWidth="1"/>
    <col min="13320" max="13320" width="10.5" style="1739" customWidth="1"/>
    <col min="13321" max="13321" width="10.125" style="1739" customWidth="1"/>
    <col min="13322" max="13324" width="9.75" style="1739" customWidth="1"/>
    <col min="13325" max="13325" width="12.25" style="1739" customWidth="1"/>
    <col min="13326" max="13327" width="13.875" style="1739" customWidth="1"/>
    <col min="13328" max="13328" width="10.375" style="1739" customWidth="1"/>
    <col min="13329" max="13329" width="10" style="1739" customWidth="1"/>
    <col min="13330" max="13330" width="15.875" style="1739" customWidth="1"/>
    <col min="13331" max="13331" width="11.125" style="1739" customWidth="1"/>
    <col min="13332" max="13332" width="12.875" style="1739" customWidth="1"/>
    <col min="13333" max="13333" width="9.5" style="1739" customWidth="1"/>
    <col min="13334" max="13334" width="18.75" style="1739" customWidth="1"/>
    <col min="13335" max="13335" width="15.875" style="1739" customWidth="1"/>
    <col min="13336" max="13342" width="19.125" style="1739" customWidth="1"/>
    <col min="13343" max="13344" width="15.25" style="1739" customWidth="1"/>
    <col min="13345" max="13345" width="14.25" style="1739" customWidth="1"/>
    <col min="13346" max="13351" width="9.25" style="1739" customWidth="1"/>
    <col min="13352" max="13353" width="14.25" style="1739" customWidth="1"/>
    <col min="13354" max="13355" width="11" style="1739" customWidth="1"/>
    <col min="13356" max="13356" width="11.25" style="1739" customWidth="1"/>
    <col min="13357" max="13357" width="10" style="1739" customWidth="1"/>
    <col min="13358" max="13358" width="9.25" style="1739" customWidth="1"/>
    <col min="13359" max="13362" width="9.375" style="1739" customWidth="1"/>
    <col min="13363" max="13363" width="7.875" style="1739"/>
    <col min="13364" max="13364" width="10.375" style="1739" customWidth="1"/>
    <col min="13365" max="13365" width="11" style="1739" customWidth="1"/>
    <col min="13366" max="13366" width="12.5" style="1739" customWidth="1"/>
    <col min="13367" max="13367" width="10.375" style="1739" customWidth="1"/>
    <col min="13368" max="13368" width="11" style="1739" customWidth="1"/>
    <col min="13369" max="13369" width="10.875" style="1739" customWidth="1"/>
    <col min="13370" max="13370" width="11.5" style="1739" customWidth="1"/>
    <col min="13371" max="13377" width="11.875" style="1739" customWidth="1"/>
    <col min="13378" max="13378" width="7.875" style="1739"/>
    <col min="13379" max="13380" width="9.75" style="1739" customWidth="1"/>
    <col min="13381" max="13381" width="7.875" style="1739"/>
    <col min="13382" max="13383" width="10.5" style="1739" customWidth="1"/>
    <col min="13384" max="13384" width="7.875" style="1739"/>
    <col min="13385" max="13386" width="10.5" style="1739" customWidth="1"/>
    <col min="13387" max="13387" width="7.875" style="1739"/>
    <col min="13388" max="13389" width="10.5" style="1739" customWidth="1"/>
    <col min="13390" max="13390" width="7.875" style="1739"/>
    <col min="13391" max="13392" width="10.5" style="1739" customWidth="1"/>
    <col min="13393" max="13568" width="7.875" style="1739"/>
    <col min="13569" max="13569" width="9" style="1739" customWidth="1"/>
    <col min="13570" max="13570" width="13.125" style="1739" customWidth="1"/>
    <col min="13571" max="13571" width="27.75" style="1739" customWidth="1"/>
    <col min="13572" max="13572" width="10.25" style="1739" customWidth="1"/>
    <col min="13573" max="13573" width="15.75" style="1739" customWidth="1"/>
    <col min="13574" max="13574" width="7.875" style="1739" hidden="1" customWidth="1"/>
    <col min="13575" max="13575" width="12.625" style="1739" customWidth="1"/>
    <col min="13576" max="13576" width="10.5" style="1739" customWidth="1"/>
    <col min="13577" max="13577" width="10.125" style="1739" customWidth="1"/>
    <col min="13578" max="13580" width="9.75" style="1739" customWidth="1"/>
    <col min="13581" max="13581" width="12.25" style="1739" customWidth="1"/>
    <col min="13582" max="13583" width="13.875" style="1739" customWidth="1"/>
    <col min="13584" max="13584" width="10.375" style="1739" customWidth="1"/>
    <col min="13585" max="13585" width="10" style="1739" customWidth="1"/>
    <col min="13586" max="13586" width="15.875" style="1739" customWidth="1"/>
    <col min="13587" max="13587" width="11.125" style="1739" customWidth="1"/>
    <col min="13588" max="13588" width="12.875" style="1739" customWidth="1"/>
    <col min="13589" max="13589" width="9.5" style="1739" customWidth="1"/>
    <col min="13590" max="13590" width="18.75" style="1739" customWidth="1"/>
    <col min="13591" max="13591" width="15.875" style="1739" customWidth="1"/>
    <col min="13592" max="13598" width="19.125" style="1739" customWidth="1"/>
    <col min="13599" max="13600" width="15.25" style="1739" customWidth="1"/>
    <col min="13601" max="13601" width="14.25" style="1739" customWidth="1"/>
    <col min="13602" max="13607" width="9.25" style="1739" customWidth="1"/>
    <col min="13608" max="13609" width="14.25" style="1739" customWidth="1"/>
    <col min="13610" max="13611" width="11" style="1739" customWidth="1"/>
    <col min="13612" max="13612" width="11.25" style="1739" customWidth="1"/>
    <col min="13613" max="13613" width="10" style="1739" customWidth="1"/>
    <col min="13614" max="13614" width="9.25" style="1739" customWidth="1"/>
    <col min="13615" max="13618" width="9.375" style="1739" customWidth="1"/>
    <col min="13619" max="13619" width="7.875" style="1739"/>
    <col min="13620" max="13620" width="10.375" style="1739" customWidth="1"/>
    <col min="13621" max="13621" width="11" style="1739" customWidth="1"/>
    <col min="13622" max="13622" width="12.5" style="1739" customWidth="1"/>
    <col min="13623" max="13623" width="10.375" style="1739" customWidth="1"/>
    <col min="13624" max="13624" width="11" style="1739" customWidth="1"/>
    <col min="13625" max="13625" width="10.875" style="1739" customWidth="1"/>
    <col min="13626" max="13626" width="11.5" style="1739" customWidth="1"/>
    <col min="13627" max="13633" width="11.875" style="1739" customWidth="1"/>
    <col min="13634" max="13634" width="7.875" style="1739"/>
    <col min="13635" max="13636" width="9.75" style="1739" customWidth="1"/>
    <col min="13637" max="13637" width="7.875" style="1739"/>
    <col min="13638" max="13639" width="10.5" style="1739" customWidth="1"/>
    <col min="13640" max="13640" width="7.875" style="1739"/>
    <col min="13641" max="13642" width="10.5" style="1739" customWidth="1"/>
    <col min="13643" max="13643" width="7.875" style="1739"/>
    <col min="13644" max="13645" width="10.5" style="1739" customWidth="1"/>
    <col min="13646" max="13646" width="7.875" style="1739"/>
    <col min="13647" max="13648" width="10.5" style="1739" customWidth="1"/>
    <col min="13649" max="13824" width="7.875" style="1739"/>
    <col min="13825" max="13825" width="9" style="1739" customWidth="1"/>
    <col min="13826" max="13826" width="13.125" style="1739" customWidth="1"/>
    <col min="13827" max="13827" width="27.75" style="1739" customWidth="1"/>
    <col min="13828" max="13828" width="10.25" style="1739" customWidth="1"/>
    <col min="13829" max="13829" width="15.75" style="1739" customWidth="1"/>
    <col min="13830" max="13830" width="7.875" style="1739" hidden="1" customWidth="1"/>
    <col min="13831" max="13831" width="12.625" style="1739" customWidth="1"/>
    <col min="13832" max="13832" width="10.5" style="1739" customWidth="1"/>
    <col min="13833" max="13833" width="10.125" style="1739" customWidth="1"/>
    <col min="13834" max="13836" width="9.75" style="1739" customWidth="1"/>
    <col min="13837" max="13837" width="12.25" style="1739" customWidth="1"/>
    <col min="13838" max="13839" width="13.875" style="1739" customWidth="1"/>
    <col min="13840" max="13840" width="10.375" style="1739" customWidth="1"/>
    <col min="13841" max="13841" width="10" style="1739" customWidth="1"/>
    <col min="13842" max="13842" width="15.875" style="1739" customWidth="1"/>
    <col min="13843" max="13843" width="11.125" style="1739" customWidth="1"/>
    <col min="13844" max="13844" width="12.875" style="1739" customWidth="1"/>
    <col min="13845" max="13845" width="9.5" style="1739" customWidth="1"/>
    <col min="13846" max="13846" width="18.75" style="1739" customWidth="1"/>
    <col min="13847" max="13847" width="15.875" style="1739" customWidth="1"/>
    <col min="13848" max="13854" width="19.125" style="1739" customWidth="1"/>
    <col min="13855" max="13856" width="15.25" style="1739" customWidth="1"/>
    <col min="13857" max="13857" width="14.25" style="1739" customWidth="1"/>
    <col min="13858" max="13863" width="9.25" style="1739" customWidth="1"/>
    <col min="13864" max="13865" width="14.25" style="1739" customWidth="1"/>
    <col min="13866" max="13867" width="11" style="1739" customWidth="1"/>
    <col min="13868" max="13868" width="11.25" style="1739" customWidth="1"/>
    <col min="13869" max="13869" width="10" style="1739" customWidth="1"/>
    <col min="13870" max="13870" width="9.25" style="1739" customWidth="1"/>
    <col min="13871" max="13874" width="9.375" style="1739" customWidth="1"/>
    <col min="13875" max="13875" width="7.875" style="1739"/>
    <col min="13876" max="13876" width="10.375" style="1739" customWidth="1"/>
    <col min="13877" max="13877" width="11" style="1739" customWidth="1"/>
    <col min="13878" max="13878" width="12.5" style="1739" customWidth="1"/>
    <col min="13879" max="13879" width="10.375" style="1739" customWidth="1"/>
    <col min="13880" max="13880" width="11" style="1739" customWidth="1"/>
    <col min="13881" max="13881" width="10.875" style="1739" customWidth="1"/>
    <col min="13882" max="13882" width="11.5" style="1739" customWidth="1"/>
    <col min="13883" max="13889" width="11.875" style="1739" customWidth="1"/>
    <col min="13890" max="13890" width="7.875" style="1739"/>
    <col min="13891" max="13892" width="9.75" style="1739" customWidth="1"/>
    <col min="13893" max="13893" width="7.875" style="1739"/>
    <col min="13894" max="13895" width="10.5" style="1739" customWidth="1"/>
    <col min="13896" max="13896" width="7.875" style="1739"/>
    <col min="13897" max="13898" width="10.5" style="1739" customWidth="1"/>
    <col min="13899" max="13899" width="7.875" style="1739"/>
    <col min="13900" max="13901" width="10.5" style="1739" customWidth="1"/>
    <col min="13902" max="13902" width="7.875" style="1739"/>
    <col min="13903" max="13904" width="10.5" style="1739" customWidth="1"/>
    <col min="13905" max="14080" width="7.875" style="1739"/>
    <col min="14081" max="14081" width="9" style="1739" customWidth="1"/>
    <col min="14082" max="14082" width="13.125" style="1739" customWidth="1"/>
    <col min="14083" max="14083" width="27.75" style="1739" customWidth="1"/>
    <col min="14084" max="14084" width="10.25" style="1739" customWidth="1"/>
    <col min="14085" max="14085" width="15.75" style="1739" customWidth="1"/>
    <col min="14086" max="14086" width="7.875" style="1739" hidden="1" customWidth="1"/>
    <col min="14087" max="14087" width="12.625" style="1739" customWidth="1"/>
    <col min="14088" max="14088" width="10.5" style="1739" customWidth="1"/>
    <col min="14089" max="14089" width="10.125" style="1739" customWidth="1"/>
    <col min="14090" max="14092" width="9.75" style="1739" customWidth="1"/>
    <col min="14093" max="14093" width="12.25" style="1739" customWidth="1"/>
    <col min="14094" max="14095" width="13.875" style="1739" customWidth="1"/>
    <col min="14096" max="14096" width="10.375" style="1739" customWidth="1"/>
    <col min="14097" max="14097" width="10" style="1739" customWidth="1"/>
    <col min="14098" max="14098" width="15.875" style="1739" customWidth="1"/>
    <col min="14099" max="14099" width="11.125" style="1739" customWidth="1"/>
    <col min="14100" max="14100" width="12.875" style="1739" customWidth="1"/>
    <col min="14101" max="14101" width="9.5" style="1739" customWidth="1"/>
    <col min="14102" max="14102" width="18.75" style="1739" customWidth="1"/>
    <col min="14103" max="14103" width="15.875" style="1739" customWidth="1"/>
    <col min="14104" max="14110" width="19.125" style="1739" customWidth="1"/>
    <col min="14111" max="14112" width="15.25" style="1739" customWidth="1"/>
    <col min="14113" max="14113" width="14.25" style="1739" customWidth="1"/>
    <col min="14114" max="14119" width="9.25" style="1739" customWidth="1"/>
    <col min="14120" max="14121" width="14.25" style="1739" customWidth="1"/>
    <col min="14122" max="14123" width="11" style="1739" customWidth="1"/>
    <col min="14124" max="14124" width="11.25" style="1739" customWidth="1"/>
    <col min="14125" max="14125" width="10" style="1739" customWidth="1"/>
    <col min="14126" max="14126" width="9.25" style="1739" customWidth="1"/>
    <col min="14127" max="14130" width="9.375" style="1739" customWidth="1"/>
    <col min="14131" max="14131" width="7.875" style="1739"/>
    <col min="14132" max="14132" width="10.375" style="1739" customWidth="1"/>
    <col min="14133" max="14133" width="11" style="1739" customWidth="1"/>
    <col min="14134" max="14134" width="12.5" style="1739" customWidth="1"/>
    <col min="14135" max="14135" width="10.375" style="1739" customWidth="1"/>
    <col min="14136" max="14136" width="11" style="1739" customWidth="1"/>
    <col min="14137" max="14137" width="10.875" style="1739" customWidth="1"/>
    <col min="14138" max="14138" width="11.5" style="1739" customWidth="1"/>
    <col min="14139" max="14145" width="11.875" style="1739" customWidth="1"/>
    <col min="14146" max="14146" width="7.875" style="1739"/>
    <col min="14147" max="14148" width="9.75" style="1739" customWidth="1"/>
    <col min="14149" max="14149" width="7.875" style="1739"/>
    <col min="14150" max="14151" width="10.5" style="1739" customWidth="1"/>
    <col min="14152" max="14152" width="7.875" style="1739"/>
    <col min="14153" max="14154" width="10.5" style="1739" customWidth="1"/>
    <col min="14155" max="14155" width="7.875" style="1739"/>
    <col min="14156" max="14157" width="10.5" style="1739" customWidth="1"/>
    <col min="14158" max="14158" width="7.875" style="1739"/>
    <col min="14159" max="14160" width="10.5" style="1739" customWidth="1"/>
    <col min="14161" max="14336" width="7.875" style="1739"/>
    <col min="14337" max="14337" width="9" style="1739" customWidth="1"/>
    <col min="14338" max="14338" width="13.125" style="1739" customWidth="1"/>
    <col min="14339" max="14339" width="27.75" style="1739" customWidth="1"/>
    <col min="14340" max="14340" width="10.25" style="1739" customWidth="1"/>
    <col min="14341" max="14341" width="15.75" style="1739" customWidth="1"/>
    <col min="14342" max="14342" width="7.875" style="1739" hidden="1" customWidth="1"/>
    <col min="14343" max="14343" width="12.625" style="1739" customWidth="1"/>
    <col min="14344" max="14344" width="10.5" style="1739" customWidth="1"/>
    <col min="14345" max="14345" width="10.125" style="1739" customWidth="1"/>
    <col min="14346" max="14348" width="9.75" style="1739" customWidth="1"/>
    <col min="14349" max="14349" width="12.25" style="1739" customWidth="1"/>
    <col min="14350" max="14351" width="13.875" style="1739" customWidth="1"/>
    <col min="14352" max="14352" width="10.375" style="1739" customWidth="1"/>
    <col min="14353" max="14353" width="10" style="1739" customWidth="1"/>
    <col min="14354" max="14354" width="15.875" style="1739" customWidth="1"/>
    <col min="14355" max="14355" width="11.125" style="1739" customWidth="1"/>
    <col min="14356" max="14356" width="12.875" style="1739" customWidth="1"/>
    <col min="14357" max="14357" width="9.5" style="1739" customWidth="1"/>
    <col min="14358" max="14358" width="18.75" style="1739" customWidth="1"/>
    <col min="14359" max="14359" width="15.875" style="1739" customWidth="1"/>
    <col min="14360" max="14366" width="19.125" style="1739" customWidth="1"/>
    <col min="14367" max="14368" width="15.25" style="1739" customWidth="1"/>
    <col min="14369" max="14369" width="14.25" style="1739" customWidth="1"/>
    <col min="14370" max="14375" width="9.25" style="1739" customWidth="1"/>
    <col min="14376" max="14377" width="14.25" style="1739" customWidth="1"/>
    <col min="14378" max="14379" width="11" style="1739" customWidth="1"/>
    <col min="14380" max="14380" width="11.25" style="1739" customWidth="1"/>
    <col min="14381" max="14381" width="10" style="1739" customWidth="1"/>
    <col min="14382" max="14382" width="9.25" style="1739" customWidth="1"/>
    <col min="14383" max="14386" width="9.375" style="1739" customWidth="1"/>
    <col min="14387" max="14387" width="7.875" style="1739"/>
    <col min="14388" max="14388" width="10.375" style="1739" customWidth="1"/>
    <col min="14389" max="14389" width="11" style="1739" customWidth="1"/>
    <col min="14390" max="14390" width="12.5" style="1739" customWidth="1"/>
    <col min="14391" max="14391" width="10.375" style="1739" customWidth="1"/>
    <col min="14392" max="14392" width="11" style="1739" customWidth="1"/>
    <col min="14393" max="14393" width="10.875" style="1739" customWidth="1"/>
    <col min="14394" max="14394" width="11.5" style="1739" customWidth="1"/>
    <col min="14395" max="14401" width="11.875" style="1739" customWidth="1"/>
    <col min="14402" max="14402" width="7.875" style="1739"/>
    <col min="14403" max="14404" width="9.75" style="1739" customWidth="1"/>
    <col min="14405" max="14405" width="7.875" style="1739"/>
    <col min="14406" max="14407" width="10.5" style="1739" customWidth="1"/>
    <col min="14408" max="14408" width="7.875" style="1739"/>
    <col min="14409" max="14410" width="10.5" style="1739" customWidth="1"/>
    <col min="14411" max="14411" width="7.875" style="1739"/>
    <col min="14412" max="14413" width="10.5" style="1739" customWidth="1"/>
    <col min="14414" max="14414" width="7.875" style="1739"/>
    <col min="14415" max="14416" width="10.5" style="1739" customWidth="1"/>
    <col min="14417" max="14592" width="7.875" style="1739"/>
    <col min="14593" max="14593" width="9" style="1739" customWidth="1"/>
    <col min="14594" max="14594" width="13.125" style="1739" customWidth="1"/>
    <col min="14595" max="14595" width="27.75" style="1739" customWidth="1"/>
    <col min="14596" max="14596" width="10.25" style="1739" customWidth="1"/>
    <col min="14597" max="14597" width="15.75" style="1739" customWidth="1"/>
    <col min="14598" max="14598" width="7.875" style="1739" hidden="1" customWidth="1"/>
    <col min="14599" max="14599" width="12.625" style="1739" customWidth="1"/>
    <col min="14600" max="14600" width="10.5" style="1739" customWidth="1"/>
    <col min="14601" max="14601" width="10.125" style="1739" customWidth="1"/>
    <col min="14602" max="14604" width="9.75" style="1739" customWidth="1"/>
    <col min="14605" max="14605" width="12.25" style="1739" customWidth="1"/>
    <col min="14606" max="14607" width="13.875" style="1739" customWidth="1"/>
    <col min="14608" max="14608" width="10.375" style="1739" customWidth="1"/>
    <col min="14609" max="14609" width="10" style="1739" customWidth="1"/>
    <col min="14610" max="14610" width="15.875" style="1739" customWidth="1"/>
    <col min="14611" max="14611" width="11.125" style="1739" customWidth="1"/>
    <col min="14612" max="14612" width="12.875" style="1739" customWidth="1"/>
    <col min="14613" max="14613" width="9.5" style="1739" customWidth="1"/>
    <col min="14614" max="14614" width="18.75" style="1739" customWidth="1"/>
    <col min="14615" max="14615" width="15.875" style="1739" customWidth="1"/>
    <col min="14616" max="14622" width="19.125" style="1739" customWidth="1"/>
    <col min="14623" max="14624" width="15.25" style="1739" customWidth="1"/>
    <col min="14625" max="14625" width="14.25" style="1739" customWidth="1"/>
    <col min="14626" max="14631" width="9.25" style="1739" customWidth="1"/>
    <col min="14632" max="14633" width="14.25" style="1739" customWidth="1"/>
    <col min="14634" max="14635" width="11" style="1739" customWidth="1"/>
    <col min="14636" max="14636" width="11.25" style="1739" customWidth="1"/>
    <col min="14637" max="14637" width="10" style="1739" customWidth="1"/>
    <col min="14638" max="14638" width="9.25" style="1739" customWidth="1"/>
    <col min="14639" max="14642" width="9.375" style="1739" customWidth="1"/>
    <col min="14643" max="14643" width="7.875" style="1739"/>
    <col min="14644" max="14644" width="10.375" style="1739" customWidth="1"/>
    <col min="14645" max="14645" width="11" style="1739" customWidth="1"/>
    <col min="14646" max="14646" width="12.5" style="1739" customWidth="1"/>
    <col min="14647" max="14647" width="10.375" style="1739" customWidth="1"/>
    <col min="14648" max="14648" width="11" style="1739" customWidth="1"/>
    <col min="14649" max="14649" width="10.875" style="1739" customWidth="1"/>
    <col min="14650" max="14650" width="11.5" style="1739" customWidth="1"/>
    <col min="14651" max="14657" width="11.875" style="1739" customWidth="1"/>
    <col min="14658" max="14658" width="7.875" style="1739"/>
    <col min="14659" max="14660" width="9.75" style="1739" customWidth="1"/>
    <col min="14661" max="14661" width="7.875" style="1739"/>
    <col min="14662" max="14663" width="10.5" style="1739" customWidth="1"/>
    <col min="14664" max="14664" width="7.875" style="1739"/>
    <col min="14665" max="14666" width="10.5" style="1739" customWidth="1"/>
    <col min="14667" max="14667" width="7.875" style="1739"/>
    <col min="14668" max="14669" width="10.5" style="1739" customWidth="1"/>
    <col min="14670" max="14670" width="7.875" style="1739"/>
    <col min="14671" max="14672" width="10.5" style="1739" customWidth="1"/>
    <col min="14673" max="14848" width="7.875" style="1739"/>
    <col min="14849" max="14849" width="9" style="1739" customWidth="1"/>
    <col min="14850" max="14850" width="13.125" style="1739" customWidth="1"/>
    <col min="14851" max="14851" width="27.75" style="1739" customWidth="1"/>
    <col min="14852" max="14852" width="10.25" style="1739" customWidth="1"/>
    <col min="14853" max="14853" width="15.75" style="1739" customWidth="1"/>
    <col min="14854" max="14854" width="7.875" style="1739" hidden="1" customWidth="1"/>
    <col min="14855" max="14855" width="12.625" style="1739" customWidth="1"/>
    <col min="14856" max="14856" width="10.5" style="1739" customWidth="1"/>
    <col min="14857" max="14857" width="10.125" style="1739" customWidth="1"/>
    <col min="14858" max="14860" width="9.75" style="1739" customWidth="1"/>
    <col min="14861" max="14861" width="12.25" style="1739" customWidth="1"/>
    <col min="14862" max="14863" width="13.875" style="1739" customWidth="1"/>
    <col min="14864" max="14864" width="10.375" style="1739" customWidth="1"/>
    <col min="14865" max="14865" width="10" style="1739" customWidth="1"/>
    <col min="14866" max="14866" width="15.875" style="1739" customWidth="1"/>
    <col min="14867" max="14867" width="11.125" style="1739" customWidth="1"/>
    <col min="14868" max="14868" width="12.875" style="1739" customWidth="1"/>
    <col min="14869" max="14869" width="9.5" style="1739" customWidth="1"/>
    <col min="14870" max="14870" width="18.75" style="1739" customWidth="1"/>
    <col min="14871" max="14871" width="15.875" style="1739" customWidth="1"/>
    <col min="14872" max="14878" width="19.125" style="1739" customWidth="1"/>
    <col min="14879" max="14880" width="15.25" style="1739" customWidth="1"/>
    <col min="14881" max="14881" width="14.25" style="1739" customWidth="1"/>
    <col min="14882" max="14887" width="9.25" style="1739" customWidth="1"/>
    <col min="14888" max="14889" width="14.25" style="1739" customWidth="1"/>
    <col min="14890" max="14891" width="11" style="1739" customWidth="1"/>
    <col min="14892" max="14892" width="11.25" style="1739" customWidth="1"/>
    <col min="14893" max="14893" width="10" style="1739" customWidth="1"/>
    <col min="14894" max="14894" width="9.25" style="1739" customWidth="1"/>
    <col min="14895" max="14898" width="9.375" style="1739" customWidth="1"/>
    <col min="14899" max="14899" width="7.875" style="1739"/>
    <col min="14900" max="14900" width="10.375" style="1739" customWidth="1"/>
    <col min="14901" max="14901" width="11" style="1739" customWidth="1"/>
    <col min="14902" max="14902" width="12.5" style="1739" customWidth="1"/>
    <col min="14903" max="14903" width="10.375" style="1739" customWidth="1"/>
    <col min="14904" max="14904" width="11" style="1739" customWidth="1"/>
    <col min="14905" max="14905" width="10.875" style="1739" customWidth="1"/>
    <col min="14906" max="14906" width="11.5" style="1739" customWidth="1"/>
    <col min="14907" max="14913" width="11.875" style="1739" customWidth="1"/>
    <col min="14914" max="14914" width="7.875" style="1739"/>
    <col min="14915" max="14916" width="9.75" style="1739" customWidth="1"/>
    <col min="14917" max="14917" width="7.875" style="1739"/>
    <col min="14918" max="14919" width="10.5" style="1739" customWidth="1"/>
    <col min="14920" max="14920" width="7.875" style="1739"/>
    <col min="14921" max="14922" width="10.5" style="1739" customWidth="1"/>
    <col min="14923" max="14923" width="7.875" style="1739"/>
    <col min="14924" max="14925" width="10.5" style="1739" customWidth="1"/>
    <col min="14926" max="14926" width="7.875" style="1739"/>
    <col min="14927" max="14928" width="10.5" style="1739" customWidth="1"/>
    <col min="14929" max="15104" width="7.875" style="1739"/>
    <col min="15105" max="15105" width="9" style="1739" customWidth="1"/>
    <col min="15106" max="15106" width="13.125" style="1739" customWidth="1"/>
    <col min="15107" max="15107" width="27.75" style="1739" customWidth="1"/>
    <col min="15108" max="15108" width="10.25" style="1739" customWidth="1"/>
    <col min="15109" max="15109" width="15.75" style="1739" customWidth="1"/>
    <col min="15110" max="15110" width="7.875" style="1739" hidden="1" customWidth="1"/>
    <col min="15111" max="15111" width="12.625" style="1739" customWidth="1"/>
    <col min="15112" max="15112" width="10.5" style="1739" customWidth="1"/>
    <col min="15113" max="15113" width="10.125" style="1739" customWidth="1"/>
    <col min="15114" max="15116" width="9.75" style="1739" customWidth="1"/>
    <col min="15117" max="15117" width="12.25" style="1739" customWidth="1"/>
    <col min="15118" max="15119" width="13.875" style="1739" customWidth="1"/>
    <col min="15120" max="15120" width="10.375" style="1739" customWidth="1"/>
    <col min="15121" max="15121" width="10" style="1739" customWidth="1"/>
    <col min="15122" max="15122" width="15.875" style="1739" customWidth="1"/>
    <col min="15123" max="15123" width="11.125" style="1739" customWidth="1"/>
    <col min="15124" max="15124" width="12.875" style="1739" customWidth="1"/>
    <col min="15125" max="15125" width="9.5" style="1739" customWidth="1"/>
    <col min="15126" max="15126" width="18.75" style="1739" customWidth="1"/>
    <col min="15127" max="15127" width="15.875" style="1739" customWidth="1"/>
    <col min="15128" max="15134" width="19.125" style="1739" customWidth="1"/>
    <col min="15135" max="15136" width="15.25" style="1739" customWidth="1"/>
    <col min="15137" max="15137" width="14.25" style="1739" customWidth="1"/>
    <col min="15138" max="15143" width="9.25" style="1739" customWidth="1"/>
    <col min="15144" max="15145" width="14.25" style="1739" customWidth="1"/>
    <col min="15146" max="15147" width="11" style="1739" customWidth="1"/>
    <col min="15148" max="15148" width="11.25" style="1739" customWidth="1"/>
    <col min="15149" max="15149" width="10" style="1739" customWidth="1"/>
    <col min="15150" max="15150" width="9.25" style="1739" customWidth="1"/>
    <col min="15151" max="15154" width="9.375" style="1739" customWidth="1"/>
    <col min="15155" max="15155" width="7.875" style="1739"/>
    <col min="15156" max="15156" width="10.375" style="1739" customWidth="1"/>
    <col min="15157" max="15157" width="11" style="1739" customWidth="1"/>
    <col min="15158" max="15158" width="12.5" style="1739" customWidth="1"/>
    <col min="15159" max="15159" width="10.375" style="1739" customWidth="1"/>
    <col min="15160" max="15160" width="11" style="1739" customWidth="1"/>
    <col min="15161" max="15161" width="10.875" style="1739" customWidth="1"/>
    <col min="15162" max="15162" width="11.5" style="1739" customWidth="1"/>
    <col min="15163" max="15169" width="11.875" style="1739" customWidth="1"/>
    <col min="15170" max="15170" width="7.875" style="1739"/>
    <col min="15171" max="15172" width="9.75" style="1739" customWidth="1"/>
    <col min="15173" max="15173" width="7.875" style="1739"/>
    <col min="15174" max="15175" width="10.5" style="1739" customWidth="1"/>
    <col min="15176" max="15176" width="7.875" style="1739"/>
    <col min="15177" max="15178" width="10.5" style="1739" customWidth="1"/>
    <col min="15179" max="15179" width="7.875" style="1739"/>
    <col min="15180" max="15181" width="10.5" style="1739" customWidth="1"/>
    <col min="15182" max="15182" width="7.875" style="1739"/>
    <col min="15183" max="15184" width="10.5" style="1739" customWidth="1"/>
    <col min="15185" max="15360" width="7.875" style="1739"/>
    <col min="15361" max="15361" width="9" style="1739" customWidth="1"/>
    <col min="15362" max="15362" width="13.125" style="1739" customWidth="1"/>
    <col min="15363" max="15363" width="27.75" style="1739" customWidth="1"/>
    <col min="15364" max="15364" width="10.25" style="1739" customWidth="1"/>
    <col min="15365" max="15365" width="15.75" style="1739" customWidth="1"/>
    <col min="15366" max="15366" width="7.875" style="1739" hidden="1" customWidth="1"/>
    <col min="15367" max="15367" width="12.625" style="1739" customWidth="1"/>
    <col min="15368" max="15368" width="10.5" style="1739" customWidth="1"/>
    <col min="15369" max="15369" width="10.125" style="1739" customWidth="1"/>
    <col min="15370" max="15372" width="9.75" style="1739" customWidth="1"/>
    <col min="15373" max="15373" width="12.25" style="1739" customWidth="1"/>
    <col min="15374" max="15375" width="13.875" style="1739" customWidth="1"/>
    <col min="15376" max="15376" width="10.375" style="1739" customWidth="1"/>
    <col min="15377" max="15377" width="10" style="1739" customWidth="1"/>
    <col min="15378" max="15378" width="15.875" style="1739" customWidth="1"/>
    <col min="15379" max="15379" width="11.125" style="1739" customWidth="1"/>
    <col min="15380" max="15380" width="12.875" style="1739" customWidth="1"/>
    <col min="15381" max="15381" width="9.5" style="1739" customWidth="1"/>
    <col min="15382" max="15382" width="18.75" style="1739" customWidth="1"/>
    <col min="15383" max="15383" width="15.875" style="1739" customWidth="1"/>
    <col min="15384" max="15390" width="19.125" style="1739" customWidth="1"/>
    <col min="15391" max="15392" width="15.25" style="1739" customWidth="1"/>
    <col min="15393" max="15393" width="14.25" style="1739" customWidth="1"/>
    <col min="15394" max="15399" width="9.25" style="1739" customWidth="1"/>
    <col min="15400" max="15401" width="14.25" style="1739" customWidth="1"/>
    <col min="15402" max="15403" width="11" style="1739" customWidth="1"/>
    <col min="15404" max="15404" width="11.25" style="1739" customWidth="1"/>
    <col min="15405" max="15405" width="10" style="1739" customWidth="1"/>
    <col min="15406" max="15406" width="9.25" style="1739" customWidth="1"/>
    <col min="15407" max="15410" width="9.375" style="1739" customWidth="1"/>
    <col min="15411" max="15411" width="7.875" style="1739"/>
    <col min="15412" max="15412" width="10.375" style="1739" customWidth="1"/>
    <col min="15413" max="15413" width="11" style="1739" customWidth="1"/>
    <col min="15414" max="15414" width="12.5" style="1739" customWidth="1"/>
    <col min="15415" max="15415" width="10.375" style="1739" customWidth="1"/>
    <col min="15416" max="15416" width="11" style="1739" customWidth="1"/>
    <col min="15417" max="15417" width="10.875" style="1739" customWidth="1"/>
    <col min="15418" max="15418" width="11.5" style="1739" customWidth="1"/>
    <col min="15419" max="15425" width="11.875" style="1739" customWidth="1"/>
    <col min="15426" max="15426" width="7.875" style="1739"/>
    <col min="15427" max="15428" width="9.75" style="1739" customWidth="1"/>
    <col min="15429" max="15429" width="7.875" style="1739"/>
    <col min="15430" max="15431" width="10.5" style="1739" customWidth="1"/>
    <col min="15432" max="15432" width="7.875" style="1739"/>
    <col min="15433" max="15434" width="10.5" style="1739" customWidth="1"/>
    <col min="15435" max="15435" width="7.875" style="1739"/>
    <col min="15436" max="15437" width="10.5" style="1739" customWidth="1"/>
    <col min="15438" max="15438" width="7.875" style="1739"/>
    <col min="15439" max="15440" width="10.5" style="1739" customWidth="1"/>
    <col min="15441" max="15616" width="7.875" style="1739"/>
    <col min="15617" max="15617" width="9" style="1739" customWidth="1"/>
    <col min="15618" max="15618" width="13.125" style="1739" customWidth="1"/>
    <col min="15619" max="15619" width="27.75" style="1739" customWidth="1"/>
    <col min="15620" max="15620" width="10.25" style="1739" customWidth="1"/>
    <col min="15621" max="15621" width="15.75" style="1739" customWidth="1"/>
    <col min="15622" max="15622" width="7.875" style="1739" hidden="1" customWidth="1"/>
    <col min="15623" max="15623" width="12.625" style="1739" customWidth="1"/>
    <col min="15624" max="15624" width="10.5" style="1739" customWidth="1"/>
    <col min="15625" max="15625" width="10.125" style="1739" customWidth="1"/>
    <col min="15626" max="15628" width="9.75" style="1739" customWidth="1"/>
    <col min="15629" max="15629" width="12.25" style="1739" customWidth="1"/>
    <col min="15630" max="15631" width="13.875" style="1739" customWidth="1"/>
    <col min="15632" max="15632" width="10.375" style="1739" customWidth="1"/>
    <col min="15633" max="15633" width="10" style="1739" customWidth="1"/>
    <col min="15634" max="15634" width="15.875" style="1739" customWidth="1"/>
    <col min="15635" max="15635" width="11.125" style="1739" customWidth="1"/>
    <col min="15636" max="15636" width="12.875" style="1739" customWidth="1"/>
    <col min="15637" max="15637" width="9.5" style="1739" customWidth="1"/>
    <col min="15638" max="15638" width="18.75" style="1739" customWidth="1"/>
    <col min="15639" max="15639" width="15.875" style="1739" customWidth="1"/>
    <col min="15640" max="15646" width="19.125" style="1739" customWidth="1"/>
    <col min="15647" max="15648" width="15.25" style="1739" customWidth="1"/>
    <col min="15649" max="15649" width="14.25" style="1739" customWidth="1"/>
    <col min="15650" max="15655" width="9.25" style="1739" customWidth="1"/>
    <col min="15656" max="15657" width="14.25" style="1739" customWidth="1"/>
    <col min="15658" max="15659" width="11" style="1739" customWidth="1"/>
    <col min="15660" max="15660" width="11.25" style="1739" customWidth="1"/>
    <col min="15661" max="15661" width="10" style="1739" customWidth="1"/>
    <col min="15662" max="15662" width="9.25" style="1739" customWidth="1"/>
    <col min="15663" max="15666" width="9.375" style="1739" customWidth="1"/>
    <col min="15667" max="15667" width="7.875" style="1739"/>
    <col min="15668" max="15668" width="10.375" style="1739" customWidth="1"/>
    <col min="15669" max="15669" width="11" style="1739" customWidth="1"/>
    <col min="15670" max="15670" width="12.5" style="1739" customWidth="1"/>
    <col min="15671" max="15671" width="10.375" style="1739" customWidth="1"/>
    <col min="15672" max="15672" width="11" style="1739" customWidth="1"/>
    <col min="15673" max="15673" width="10.875" style="1739" customWidth="1"/>
    <col min="15674" max="15674" width="11.5" style="1739" customWidth="1"/>
    <col min="15675" max="15681" width="11.875" style="1739" customWidth="1"/>
    <col min="15682" max="15682" width="7.875" style="1739"/>
    <col min="15683" max="15684" width="9.75" style="1739" customWidth="1"/>
    <col min="15685" max="15685" width="7.875" style="1739"/>
    <col min="15686" max="15687" width="10.5" style="1739" customWidth="1"/>
    <col min="15688" max="15688" width="7.875" style="1739"/>
    <col min="15689" max="15690" width="10.5" style="1739" customWidth="1"/>
    <col min="15691" max="15691" width="7.875" style="1739"/>
    <col min="15692" max="15693" width="10.5" style="1739" customWidth="1"/>
    <col min="15694" max="15694" width="7.875" style="1739"/>
    <col min="15695" max="15696" width="10.5" style="1739" customWidth="1"/>
    <col min="15697" max="15872" width="7.875" style="1739"/>
    <col min="15873" max="15873" width="9" style="1739" customWidth="1"/>
    <col min="15874" max="15874" width="13.125" style="1739" customWidth="1"/>
    <col min="15875" max="15875" width="27.75" style="1739" customWidth="1"/>
    <col min="15876" max="15876" width="10.25" style="1739" customWidth="1"/>
    <col min="15877" max="15877" width="15.75" style="1739" customWidth="1"/>
    <col min="15878" max="15878" width="7.875" style="1739" hidden="1" customWidth="1"/>
    <col min="15879" max="15879" width="12.625" style="1739" customWidth="1"/>
    <col min="15880" max="15880" width="10.5" style="1739" customWidth="1"/>
    <col min="15881" max="15881" width="10.125" style="1739" customWidth="1"/>
    <col min="15882" max="15884" width="9.75" style="1739" customWidth="1"/>
    <col min="15885" max="15885" width="12.25" style="1739" customWidth="1"/>
    <col min="15886" max="15887" width="13.875" style="1739" customWidth="1"/>
    <col min="15888" max="15888" width="10.375" style="1739" customWidth="1"/>
    <col min="15889" max="15889" width="10" style="1739" customWidth="1"/>
    <col min="15890" max="15890" width="15.875" style="1739" customWidth="1"/>
    <col min="15891" max="15891" width="11.125" style="1739" customWidth="1"/>
    <col min="15892" max="15892" width="12.875" style="1739" customWidth="1"/>
    <col min="15893" max="15893" width="9.5" style="1739" customWidth="1"/>
    <col min="15894" max="15894" width="18.75" style="1739" customWidth="1"/>
    <col min="15895" max="15895" width="15.875" style="1739" customWidth="1"/>
    <col min="15896" max="15902" width="19.125" style="1739" customWidth="1"/>
    <col min="15903" max="15904" width="15.25" style="1739" customWidth="1"/>
    <col min="15905" max="15905" width="14.25" style="1739" customWidth="1"/>
    <col min="15906" max="15911" width="9.25" style="1739" customWidth="1"/>
    <col min="15912" max="15913" width="14.25" style="1739" customWidth="1"/>
    <col min="15914" max="15915" width="11" style="1739" customWidth="1"/>
    <col min="15916" max="15916" width="11.25" style="1739" customWidth="1"/>
    <col min="15917" max="15917" width="10" style="1739" customWidth="1"/>
    <col min="15918" max="15918" width="9.25" style="1739" customWidth="1"/>
    <col min="15919" max="15922" width="9.375" style="1739" customWidth="1"/>
    <col min="15923" max="15923" width="7.875" style="1739"/>
    <col min="15924" max="15924" width="10.375" style="1739" customWidth="1"/>
    <col min="15925" max="15925" width="11" style="1739" customWidth="1"/>
    <col min="15926" max="15926" width="12.5" style="1739" customWidth="1"/>
    <col min="15927" max="15927" width="10.375" style="1739" customWidth="1"/>
    <col min="15928" max="15928" width="11" style="1739" customWidth="1"/>
    <col min="15929" max="15929" width="10.875" style="1739" customWidth="1"/>
    <col min="15930" max="15930" width="11.5" style="1739" customWidth="1"/>
    <col min="15931" max="15937" width="11.875" style="1739" customWidth="1"/>
    <col min="15938" max="15938" width="7.875" style="1739"/>
    <col min="15939" max="15940" width="9.75" style="1739" customWidth="1"/>
    <col min="15941" max="15941" width="7.875" style="1739"/>
    <col min="15942" max="15943" width="10.5" style="1739" customWidth="1"/>
    <col min="15944" max="15944" width="7.875" style="1739"/>
    <col min="15945" max="15946" width="10.5" style="1739" customWidth="1"/>
    <col min="15947" max="15947" width="7.875" style="1739"/>
    <col min="15948" max="15949" width="10.5" style="1739" customWidth="1"/>
    <col min="15950" max="15950" width="7.875" style="1739"/>
    <col min="15951" max="15952" width="10.5" style="1739" customWidth="1"/>
    <col min="15953" max="16128" width="7.875" style="1739"/>
    <col min="16129" max="16129" width="9" style="1739" customWidth="1"/>
    <col min="16130" max="16130" width="13.125" style="1739" customWidth="1"/>
    <col min="16131" max="16131" width="27.75" style="1739" customWidth="1"/>
    <col min="16132" max="16132" width="10.25" style="1739" customWidth="1"/>
    <col min="16133" max="16133" width="15.75" style="1739" customWidth="1"/>
    <col min="16134" max="16134" width="7.875" style="1739" hidden="1" customWidth="1"/>
    <col min="16135" max="16135" width="12.625" style="1739" customWidth="1"/>
    <col min="16136" max="16136" width="10.5" style="1739" customWidth="1"/>
    <col min="16137" max="16137" width="10.125" style="1739" customWidth="1"/>
    <col min="16138" max="16140" width="9.75" style="1739" customWidth="1"/>
    <col min="16141" max="16141" width="12.25" style="1739" customWidth="1"/>
    <col min="16142" max="16143" width="13.875" style="1739" customWidth="1"/>
    <col min="16144" max="16144" width="10.375" style="1739" customWidth="1"/>
    <col min="16145" max="16145" width="10" style="1739" customWidth="1"/>
    <col min="16146" max="16146" width="15.875" style="1739" customWidth="1"/>
    <col min="16147" max="16147" width="11.125" style="1739" customWidth="1"/>
    <col min="16148" max="16148" width="12.875" style="1739" customWidth="1"/>
    <col min="16149" max="16149" width="9.5" style="1739" customWidth="1"/>
    <col min="16150" max="16150" width="18.75" style="1739" customWidth="1"/>
    <col min="16151" max="16151" width="15.875" style="1739" customWidth="1"/>
    <col min="16152" max="16158" width="19.125" style="1739" customWidth="1"/>
    <col min="16159" max="16160" width="15.25" style="1739" customWidth="1"/>
    <col min="16161" max="16161" width="14.25" style="1739" customWidth="1"/>
    <col min="16162" max="16167" width="9.25" style="1739" customWidth="1"/>
    <col min="16168" max="16169" width="14.25" style="1739" customWidth="1"/>
    <col min="16170" max="16171" width="11" style="1739" customWidth="1"/>
    <col min="16172" max="16172" width="11.25" style="1739" customWidth="1"/>
    <col min="16173" max="16173" width="10" style="1739" customWidth="1"/>
    <col min="16174" max="16174" width="9.25" style="1739" customWidth="1"/>
    <col min="16175" max="16178" width="9.375" style="1739" customWidth="1"/>
    <col min="16179" max="16179" width="7.875" style="1739"/>
    <col min="16180" max="16180" width="10.375" style="1739" customWidth="1"/>
    <col min="16181" max="16181" width="11" style="1739" customWidth="1"/>
    <col min="16182" max="16182" width="12.5" style="1739" customWidth="1"/>
    <col min="16183" max="16183" width="10.375" style="1739" customWidth="1"/>
    <col min="16184" max="16184" width="11" style="1739" customWidth="1"/>
    <col min="16185" max="16185" width="10.875" style="1739" customWidth="1"/>
    <col min="16186" max="16186" width="11.5" style="1739" customWidth="1"/>
    <col min="16187" max="16193" width="11.875" style="1739" customWidth="1"/>
    <col min="16194" max="16194" width="7.875" style="1739"/>
    <col min="16195" max="16196" width="9.75" style="1739" customWidth="1"/>
    <col min="16197" max="16197" width="7.875" style="1739"/>
    <col min="16198" max="16199" width="10.5" style="1739" customWidth="1"/>
    <col min="16200" max="16200" width="7.875" style="1739"/>
    <col min="16201" max="16202" width="10.5" style="1739" customWidth="1"/>
    <col min="16203" max="16203" width="7.875" style="1739"/>
    <col min="16204" max="16205" width="10.5" style="1739" customWidth="1"/>
    <col min="16206" max="16206" width="7.875" style="1739"/>
    <col min="16207" max="16208" width="10.5" style="1739" customWidth="1"/>
    <col min="16209" max="16384" width="7.875" style="1739"/>
  </cols>
  <sheetData>
    <row r="1" spans="1:80" s="1738" customFormat="1" ht="30" customHeight="1">
      <c r="A1" s="3499"/>
      <c r="B1" s="3500"/>
      <c r="C1" s="3501"/>
      <c r="D1" s="3501"/>
      <c r="E1" s="3501"/>
      <c r="F1" s="3501"/>
      <c r="G1" s="3499"/>
      <c r="H1" s="3502"/>
      <c r="I1" s="3502"/>
      <c r="J1" s="3502"/>
      <c r="K1" s="3502"/>
      <c r="L1" s="3502"/>
      <c r="M1" s="3502"/>
      <c r="N1" s="3502"/>
      <c r="O1" s="3503"/>
      <c r="P1" s="3502"/>
      <c r="Q1" s="3502"/>
      <c r="R1" s="3502"/>
      <c r="S1" s="3502"/>
      <c r="T1" s="3502"/>
      <c r="U1" s="3502"/>
      <c r="V1" s="3499"/>
      <c r="W1" s="3499"/>
      <c r="X1" s="3504"/>
      <c r="Y1" s="1778"/>
      <c r="Z1" s="1778"/>
      <c r="AA1" s="1778"/>
      <c r="AB1" s="1778"/>
      <c r="AC1" s="1778"/>
      <c r="AD1" s="1778"/>
      <c r="AE1" s="1778"/>
      <c r="AF1" s="1778"/>
      <c r="AG1" s="3505" t="s">
        <v>1591</v>
      </c>
      <c r="AH1" s="3506"/>
      <c r="AI1" s="3506"/>
      <c r="AJ1" s="3506"/>
      <c r="AK1" s="3506"/>
      <c r="AL1" s="3506"/>
      <c r="AM1" s="3507"/>
      <c r="AN1" s="1748"/>
      <c r="AO1" s="1748"/>
      <c r="AP1" s="1800"/>
      <c r="AQ1" s="1801"/>
      <c r="AR1" s="3508" t="s">
        <v>1592</v>
      </c>
      <c r="AS1" s="3508"/>
      <c r="AT1" s="3508"/>
      <c r="AU1" s="3508"/>
      <c r="AV1" s="3508"/>
      <c r="AW1" s="3508"/>
      <c r="AX1" s="3508"/>
      <c r="AZ1" s="1813"/>
      <c r="BA1" s="3509" t="s">
        <v>1593</v>
      </c>
      <c r="BB1" s="3509"/>
      <c r="BC1" s="3509"/>
      <c r="BD1" s="3509"/>
      <c r="BE1" s="3509"/>
      <c r="BG1" s="3520" t="s">
        <v>1594</v>
      </c>
      <c r="BH1" s="3520"/>
      <c r="BI1" s="3520"/>
      <c r="BJ1" s="3520"/>
      <c r="BK1" s="3520"/>
      <c r="BL1" s="3520"/>
      <c r="BM1" s="3520"/>
      <c r="BO1" s="3498" t="s">
        <v>1595</v>
      </c>
      <c r="BP1" s="3498"/>
      <c r="BQ1" s="1821"/>
      <c r="BR1" s="3498" t="s">
        <v>1596</v>
      </c>
      <c r="BS1" s="3498"/>
      <c r="BU1" s="3498" t="s">
        <v>1597</v>
      </c>
      <c r="BV1" s="3498"/>
      <c r="BX1" s="3498" t="s">
        <v>1598</v>
      </c>
      <c r="BY1" s="3498"/>
      <c r="CA1" s="3498" t="s">
        <v>1599</v>
      </c>
      <c r="CB1" s="3498"/>
    </row>
    <row r="2" spans="1:80" s="1738" customFormat="1" ht="30" customHeight="1">
      <c r="A2" s="3510"/>
      <c r="B2" s="3511"/>
      <c r="C2" s="3510"/>
      <c r="D2" s="3510"/>
      <c r="E2" s="3510"/>
      <c r="F2" s="3510"/>
      <c r="G2" s="3510"/>
      <c r="H2" s="3512" t="s">
        <v>1600</v>
      </c>
      <c r="I2" s="3513"/>
      <c r="J2" s="3514"/>
      <c r="K2" s="3514"/>
      <c r="L2" s="3514"/>
      <c r="M2" s="3514"/>
      <c r="N2" s="3514"/>
      <c r="O2" s="3515"/>
      <c r="P2" s="3514"/>
      <c r="Q2" s="3514"/>
      <c r="R2" s="3514"/>
      <c r="S2" s="3514"/>
      <c r="T2" s="3516"/>
      <c r="U2" s="3517"/>
      <c r="V2" s="3518"/>
      <c r="W2" s="3518"/>
      <c r="X2" s="3519"/>
      <c r="Y2" s="1779"/>
      <c r="Z2" s="1779"/>
      <c r="AA2" s="1779"/>
      <c r="AB2" s="1779"/>
      <c r="AC2" s="1779"/>
      <c r="AD2" s="1779"/>
      <c r="AE2" s="1779"/>
      <c r="AF2" s="1779"/>
      <c r="AG2" s="1791" t="s">
        <v>1601</v>
      </c>
      <c r="AH2" s="1750" t="s">
        <v>1602</v>
      </c>
      <c r="AI2" s="1750" t="s">
        <v>1603</v>
      </c>
      <c r="AJ2" s="1750" t="s">
        <v>1604</v>
      </c>
      <c r="AK2" s="1750" t="s">
        <v>1605</v>
      </c>
      <c r="AL2" s="1750" t="s">
        <v>1606</v>
      </c>
      <c r="AM2" s="1754" t="s">
        <v>1607</v>
      </c>
      <c r="AN2" s="1792"/>
      <c r="AO2" s="1792"/>
      <c r="AP2" s="1802"/>
      <c r="AQ2" s="1802"/>
      <c r="AR2" s="1803">
        <v>2025</v>
      </c>
      <c r="AS2" s="1803">
        <f>AR2+1</f>
        <v>2026</v>
      </c>
      <c r="AT2" s="1803">
        <f t="shared" ref="AT2:AX2" si="0">AS2+1</f>
        <v>2027</v>
      </c>
      <c r="AU2" s="1803">
        <f t="shared" si="0"/>
        <v>2028</v>
      </c>
      <c r="AV2" s="1803">
        <f t="shared" si="0"/>
        <v>2029</v>
      </c>
      <c r="AW2" s="1803">
        <f t="shared" si="0"/>
        <v>2030</v>
      </c>
      <c r="AX2" s="1803">
        <f t="shared" si="0"/>
        <v>2031</v>
      </c>
      <c r="AZ2" s="1813"/>
      <c r="BA2" s="1815">
        <v>45658</v>
      </c>
      <c r="BB2" s="1815">
        <v>46022</v>
      </c>
      <c r="BC2" s="1814"/>
      <c r="BD2" s="1814"/>
      <c r="BE2" s="1814"/>
      <c r="BG2" s="3521"/>
      <c r="BH2" s="3521"/>
      <c r="BI2" s="3521"/>
      <c r="BJ2" s="3521"/>
      <c r="BK2" s="3521"/>
      <c r="BL2" s="3521"/>
      <c r="BM2" s="3521"/>
      <c r="BO2" s="3498"/>
      <c r="BP2" s="3498"/>
      <c r="BQ2" s="1821"/>
      <c r="BR2" s="3498"/>
      <c r="BS2" s="3498"/>
      <c r="BU2" s="3498"/>
      <c r="BV2" s="3498"/>
      <c r="BX2" s="3498"/>
      <c r="BY2" s="3498"/>
      <c r="CA2" s="3498"/>
      <c r="CB2" s="3498"/>
    </row>
    <row r="3" spans="1:80" s="1738" customFormat="1" ht="29.25" customHeight="1">
      <c r="A3" s="1750" t="s">
        <v>732</v>
      </c>
      <c r="B3" s="1751" t="s">
        <v>1608</v>
      </c>
      <c r="C3" s="1752" t="s">
        <v>1609</v>
      </c>
      <c r="D3" s="1752" t="s">
        <v>1610</v>
      </c>
      <c r="E3" s="1752" t="s">
        <v>1611</v>
      </c>
      <c r="F3" s="1753" t="s">
        <v>1612</v>
      </c>
      <c r="G3" s="1754" t="s">
        <v>1613</v>
      </c>
      <c r="H3" s="1755" t="s">
        <v>1614</v>
      </c>
      <c r="I3" s="1768" t="s">
        <v>1615</v>
      </c>
      <c r="J3" s="1769" t="s">
        <v>1616</v>
      </c>
      <c r="K3" s="1769" t="s">
        <v>1617</v>
      </c>
      <c r="L3" s="1770" t="s">
        <v>1618</v>
      </c>
      <c r="M3" s="1770" t="s">
        <v>1619</v>
      </c>
      <c r="N3" s="1771" t="s">
        <v>1620</v>
      </c>
      <c r="O3" s="1771" t="s">
        <v>1621</v>
      </c>
      <c r="P3" s="1772" t="s">
        <v>1622</v>
      </c>
      <c r="Q3" s="1771" t="s">
        <v>1623</v>
      </c>
      <c r="R3" s="1771" t="s">
        <v>1624</v>
      </c>
      <c r="S3" s="1771" t="s">
        <v>1625</v>
      </c>
      <c r="T3" s="1771" t="s">
        <v>1626</v>
      </c>
      <c r="U3" s="1780" t="s">
        <v>1627</v>
      </c>
      <c r="V3" s="1781" t="s">
        <v>1628</v>
      </c>
      <c r="W3" s="1781" t="s">
        <v>1629</v>
      </c>
      <c r="X3" s="1782" t="s">
        <v>1630</v>
      </c>
      <c r="Y3" s="1782" t="s">
        <v>1631</v>
      </c>
      <c r="Z3" s="1788">
        <v>2024</v>
      </c>
      <c r="AA3" s="1788">
        <v>2025</v>
      </c>
      <c r="AB3" s="1788">
        <v>2026</v>
      </c>
      <c r="AC3" s="1788">
        <v>2027</v>
      </c>
      <c r="AD3" s="1788">
        <v>2028</v>
      </c>
      <c r="AE3" s="1788">
        <v>2029</v>
      </c>
      <c r="AF3" s="1788">
        <v>2030</v>
      </c>
      <c r="AG3" s="1793" t="s">
        <v>1632</v>
      </c>
      <c r="AH3" s="1752" t="s">
        <v>1633</v>
      </c>
      <c r="AI3" s="1752" t="s">
        <v>1634</v>
      </c>
      <c r="AJ3" s="1752" t="s">
        <v>1635</v>
      </c>
      <c r="AK3" s="1752" t="s">
        <v>1636</v>
      </c>
      <c r="AL3" s="1752" t="s">
        <v>1637</v>
      </c>
      <c r="AM3" s="1753" t="s">
        <v>1638</v>
      </c>
      <c r="AN3" s="1749" t="s">
        <v>1639</v>
      </c>
      <c r="AO3" s="1749" t="s">
        <v>1640</v>
      </c>
      <c r="AP3" s="1804" t="s">
        <v>1641</v>
      </c>
      <c r="AQ3" s="1805" t="s">
        <v>1642</v>
      </c>
      <c r="AR3" s="1806" t="s">
        <v>1632</v>
      </c>
      <c r="AS3" s="1807" t="s">
        <v>1633</v>
      </c>
      <c r="AT3" s="1807" t="s">
        <v>1634</v>
      </c>
      <c r="AU3" s="1807" t="s">
        <v>1635</v>
      </c>
      <c r="AV3" s="1807" t="s">
        <v>1636</v>
      </c>
      <c r="AW3" s="1807" t="s">
        <v>1637</v>
      </c>
      <c r="AX3" s="1807" t="s">
        <v>1638</v>
      </c>
      <c r="AZ3" s="1813" t="s">
        <v>1643</v>
      </c>
      <c r="BA3" s="1816" t="s">
        <v>1644</v>
      </c>
      <c r="BB3" s="1816" t="s">
        <v>1645</v>
      </c>
      <c r="BC3" s="1816" t="s">
        <v>1644</v>
      </c>
      <c r="BD3" s="1816" t="s">
        <v>1646</v>
      </c>
      <c r="BE3" s="1816" t="s">
        <v>1647</v>
      </c>
      <c r="BG3" s="1819" t="s">
        <v>1648</v>
      </c>
      <c r="BH3" s="1819" t="s">
        <v>1649</v>
      </c>
      <c r="BI3" s="1819" t="s">
        <v>1650</v>
      </c>
      <c r="BJ3" s="1819" t="s">
        <v>1651</v>
      </c>
      <c r="BK3" s="1819" t="s">
        <v>1652</v>
      </c>
      <c r="BL3" s="1819" t="s">
        <v>1653</v>
      </c>
      <c r="BM3" s="1819" t="s">
        <v>1654</v>
      </c>
      <c r="BO3" s="1738" t="s">
        <v>1655</v>
      </c>
      <c r="BP3" s="1738" t="s">
        <v>1656</v>
      </c>
      <c r="BR3" s="1738" t="s">
        <v>1655</v>
      </c>
      <c r="BS3" s="1738" t="s">
        <v>1656</v>
      </c>
      <c r="BU3" s="1738" t="s">
        <v>1655</v>
      </c>
      <c r="BV3" s="1738" t="s">
        <v>1656</v>
      </c>
      <c r="BX3" s="1738" t="s">
        <v>1655</v>
      </c>
      <c r="BY3" s="1738" t="s">
        <v>1656</v>
      </c>
      <c r="CA3" s="1738" t="s">
        <v>1655</v>
      </c>
      <c r="CB3" s="1738" t="s">
        <v>1656</v>
      </c>
    </row>
    <row r="4" spans="1:80" ht="30" customHeight="1">
      <c r="A4" s="1756" t="s">
        <v>1657</v>
      </c>
      <c r="B4" s="1757" t="s">
        <v>1657</v>
      </c>
      <c r="C4" s="1756" t="s">
        <v>1658</v>
      </c>
      <c r="D4" s="1756" t="s">
        <v>1659</v>
      </c>
      <c r="E4" s="1758" t="s">
        <v>1660</v>
      </c>
      <c r="F4" s="1759"/>
      <c r="G4" s="1760" t="s">
        <v>1661</v>
      </c>
      <c r="H4" s="1761">
        <v>45080.13</v>
      </c>
      <c r="I4" s="1761" t="s">
        <v>1659</v>
      </c>
      <c r="J4" s="1773">
        <v>44256</v>
      </c>
      <c r="K4" s="1773">
        <v>48885</v>
      </c>
      <c r="L4" s="1764">
        <f t="shared" ref="L4:L67" si="1">DATEDIF(J4,K4,"M")+1</f>
        <v>153</v>
      </c>
      <c r="M4" s="1774">
        <f>O4+R4+T4</f>
        <v>5732772.7542000003</v>
      </c>
      <c r="N4" s="1775">
        <f>O4/H4</f>
        <v>107.82850537476268</v>
      </c>
      <c r="O4" s="1760">
        <v>4860923.04</v>
      </c>
      <c r="P4" s="1776">
        <v>4.3999999999999997E-2</v>
      </c>
      <c r="Q4" s="1783">
        <f t="shared" ref="Q4:Q67" si="2">R4/H4</f>
        <v>19.340000000000003</v>
      </c>
      <c r="R4" s="1784">
        <v>871849.71420000005</v>
      </c>
      <c r="S4" s="1777">
        <f t="shared" ref="S4:S67" si="3">T4/H4</f>
        <v>0</v>
      </c>
      <c r="T4" s="1777">
        <v>0</v>
      </c>
      <c r="U4" s="1777"/>
      <c r="V4" s="1785">
        <v>39402561.907241702</v>
      </c>
      <c r="W4" s="1785">
        <f t="shared" ref="W4:W67" si="4">V4/H4</f>
        <v>874.05608429349479</v>
      </c>
      <c r="X4" s="1786">
        <f t="shared" ref="X4:X11" si="5">(N4+Q4)*H4/V4</f>
        <v>0.14549238619802504</v>
      </c>
      <c r="Y4" s="1789">
        <f>VLOOKUP(E4,[11]核心假设及结论!$C$25:$E$45,3,0)</f>
        <v>0.08</v>
      </c>
      <c r="Z4" s="1790">
        <f t="shared" ref="Z4:AF40" si="6">AG4*$H4</f>
        <v>4860923.040000014</v>
      </c>
      <c r="AA4" s="1790">
        <f t="shared" si="6"/>
        <v>4958204.1699999869</v>
      </c>
      <c r="AB4" s="1790">
        <f t="shared" si="6"/>
        <v>5057367.9399999827</v>
      </c>
      <c r="AC4" s="1790">
        <f t="shared" si="6"/>
        <v>5158515.5600000173</v>
      </c>
      <c r="AD4" s="1790">
        <f t="shared" si="6"/>
        <v>5261619.3800000213</v>
      </c>
      <c r="AE4" s="1790">
        <f t="shared" si="6"/>
        <v>5366919.629999985</v>
      </c>
      <c r="AF4" s="1790">
        <f t="shared" si="6"/>
        <v>5474257.7000000086</v>
      </c>
      <c r="AG4" s="1794">
        <v>107.828505374763</v>
      </c>
      <c r="AH4" s="1794">
        <v>109.986465655711</v>
      </c>
      <c r="AI4" s="1794">
        <v>112.18618801676</v>
      </c>
      <c r="AJ4" s="1794">
        <v>114.429917571223</v>
      </c>
      <c r="AK4" s="1794">
        <v>116.71704096683</v>
      </c>
      <c r="AL4" s="1794">
        <v>119.05288715893199</v>
      </c>
      <c r="AM4" s="1794">
        <v>121.433937745965</v>
      </c>
      <c r="AN4" s="1795"/>
      <c r="AO4" s="1795"/>
      <c r="AP4" s="1808">
        <f>IFERROR(X4/Y4,1.25)</f>
        <v>1.8186548274753129</v>
      </c>
      <c r="AQ4" s="1808">
        <v>1</v>
      </c>
      <c r="AR4" s="1809">
        <f>IF(K4&lt;=BA4,AQ4*AG4,AG4)</f>
        <v>107.828505374763</v>
      </c>
      <c r="AS4" s="1809">
        <f>AH4*(AS$2&lt;=YEAR($K4))+AR4*$AQ4*(AS$2=YEAR($K4)+1)+INDEX([11]核心假设及结论!$E$17:$E$21,MATCH($D4,[11]核心假设及结论!$B$17:$B$21,0))*(AS$2&gt;YEAR($K4)+1)*AR4</f>
        <v>109.986465655711</v>
      </c>
      <c r="AT4" s="1809">
        <f>AI4*(AT$2&lt;=YEAR($K4))+AS4*$AQ4*(AT$2=YEAR($K4)+1)+INDEX([11]核心假设及结论!$E$17:$E$21,MATCH($D4,[11]核心假设及结论!$B$17:$B$21,0))*(AT$2&gt;YEAR($K4)+1)*AS4</f>
        <v>112.18618801676</v>
      </c>
      <c r="AU4" s="1809">
        <f>AJ4*(AU$2&lt;=YEAR($K4))+AT4*$AQ4*(AU$2=YEAR($K4)+1)+INDEX([11]核心假设及结论!$E$17:$E$21,MATCH($D4,[11]核心假设及结论!$B$17:$B$21,0))*(AU$2&gt;YEAR($K4)+1)*AT4</f>
        <v>114.429917571223</v>
      </c>
      <c r="AV4" s="1809">
        <f>AK4*(AV$2&lt;=YEAR($K4))+AU4*$AQ4*(AV$2=YEAR($K4)+1)+INDEX([11]核心假设及结论!$E$17:$E$21,MATCH($D4,[11]核心假设及结论!$B$17:$B$21,0))*(AV$2&gt;YEAR($K4)+1)*AU4</f>
        <v>116.71704096683</v>
      </c>
      <c r="AW4" s="1809">
        <f>AL4*(AW$2&lt;=YEAR($K4))+AV4*$AQ4*(AW$2=YEAR($K4)+1)+INDEX([11]核心假设及结论!$E$17:$E$21,MATCH($D4,[11]核心假设及结论!$B$17:$B$21,0))*(AW$2&gt;YEAR($K4)+1)*AV4</f>
        <v>119.05288715893199</v>
      </c>
      <c r="AX4" s="1809">
        <f>AM4*(AX$2&lt;=YEAR($K4))+AW4*$AQ4*(AX$2=YEAR($K4)+1)+INDEX([11]核心假设及结论!$E$17:$E$21,MATCH($D4,[11]核心假设及结论!$B$17:$B$21,0))*(AX$2&gt;YEAR($K4)+1)*AW4</f>
        <v>121.433937745965</v>
      </c>
      <c r="AZ4" s="1746">
        <f t="shared" ref="AZ4:AZ67" si="7">K4</f>
        <v>48885</v>
      </c>
      <c r="BA4" s="1817">
        <f t="shared" ref="BA4:BA67" si="8">$BA$2</f>
        <v>45658</v>
      </c>
      <c r="BB4" s="1817">
        <f t="shared" ref="BB4:BB67" si="9">DATE(YEAR(BA4),MONTH(AZ4),DAY(AZ4))</f>
        <v>45963</v>
      </c>
      <c r="BC4" s="1817">
        <f t="shared" ref="BC4:BC67" si="10">$BB$2</f>
        <v>46022</v>
      </c>
      <c r="BD4" s="1818">
        <f t="shared" ref="BD4:BD67" si="11">BB4-BA4+1</f>
        <v>306</v>
      </c>
      <c r="BE4" s="1818">
        <f t="shared" ref="BE4:BE67" si="12">365-BD4</f>
        <v>59</v>
      </c>
      <c r="BG4" s="1777">
        <f t="shared" ref="BG4:BG11" si="13">(AR4*$BD4*$H4*12/365+BE4*AS4*$H4*12/365)/10000</f>
        <v>5851.9775219835728</v>
      </c>
      <c r="BH4" s="1777">
        <f t="shared" ref="BH4:BM11" si="14">(AS4*$BD4*$H4*12/365+$BE4*AT4*$H4*12/365)/10000</f>
        <v>5969.0800585643674</v>
      </c>
      <c r="BI4" s="1777">
        <f t="shared" si="14"/>
        <v>6088.4613951123147</v>
      </c>
      <c r="BJ4" s="1777">
        <f t="shared" si="14"/>
        <v>6210.2179883178305</v>
      </c>
      <c r="BK4" s="1777">
        <f t="shared" si="14"/>
        <v>6334.3686195616629</v>
      </c>
      <c r="BL4" s="1777">
        <f t="shared" si="14"/>
        <v>6461.1242008109457</v>
      </c>
      <c r="BM4" s="1777">
        <f t="shared" si="14"/>
        <v>5507.2532258630226</v>
      </c>
      <c r="BO4" s="1739">
        <f t="shared" ref="BO4:BO67" si="15">YEAR(K4)</f>
        <v>2033</v>
      </c>
      <c r="BP4" s="1742">
        <f>_xlfn.IFNA(INDEX($AR4:$AX4,MATCH(BO4,$AR$2:$AX$2,0))*12/365*[11]核心假设及结论!$C$70*$H4,0)</f>
        <v>0</v>
      </c>
      <c r="BR4" s="1739">
        <f>BO4+ROUND($L4/12,0)</f>
        <v>2046</v>
      </c>
      <c r="BS4" s="1742">
        <f>_xlfn.IFNA(INDEX($AR4:$AX4,MATCH(BR4,$AR$2:$AX$2,0))*12/365*[11]核心假设及结论!$C$70*$H4,0)</f>
        <v>0</v>
      </c>
      <c r="BU4" s="1739">
        <f>BR4+ROUND($L4/12,0)</f>
        <v>2059</v>
      </c>
      <c r="BV4" s="1742">
        <f>_xlfn.IFNA(INDEX($AR4:$AX4,MATCH(BU4,$AR$2:$AX$2,0))*12/365*[11]核心假设及结论!$C$70*$H4,0)</f>
        <v>0</v>
      </c>
      <c r="BX4" s="1739">
        <f>BU4+ROUND($L4/12,0)</f>
        <v>2072</v>
      </c>
      <c r="BY4" s="1742">
        <f>_xlfn.IFNA(INDEX($AR4:$AX4,MATCH(BX4,$AR$2:$AX$2,0))*12/365*[11]核心假设及结论!$C$70*$H4,0)</f>
        <v>0</v>
      </c>
      <c r="CA4" s="1739">
        <f>BX4+ROUND($L4/12,0)</f>
        <v>2085</v>
      </c>
      <c r="CB4" s="1742">
        <f>_xlfn.IFNA(INDEX($AR4:$AX4,MATCH(CA4,$AR$2:$AX$2,0))*12/365*[11]核心假设及结论!$C$70*$H4,0)</f>
        <v>0</v>
      </c>
    </row>
    <row r="5" spans="1:80" ht="30" customHeight="1">
      <c r="A5" s="1756" t="s">
        <v>1662</v>
      </c>
      <c r="B5" s="1757" t="s">
        <v>1663</v>
      </c>
      <c r="C5" s="1756" t="s">
        <v>1664</v>
      </c>
      <c r="D5" s="1756" t="s">
        <v>1659</v>
      </c>
      <c r="E5" s="1758" t="s">
        <v>1665</v>
      </c>
      <c r="F5" s="1759"/>
      <c r="G5" s="1760" t="s">
        <v>1661</v>
      </c>
      <c r="H5" s="1761">
        <v>9982</v>
      </c>
      <c r="I5" s="1761" t="s">
        <v>1659</v>
      </c>
      <c r="J5" s="1773">
        <v>44089</v>
      </c>
      <c r="K5" s="1773">
        <v>49190</v>
      </c>
      <c r="L5" s="1764">
        <f t="shared" si="1"/>
        <v>168</v>
      </c>
      <c r="M5" s="1774">
        <f t="shared" ref="M5:M68" si="16">O5+R5+T5</f>
        <v>932245.98</v>
      </c>
      <c r="N5" s="1775">
        <f t="shared" ref="N5:N68" si="17">O5/H5</f>
        <v>71.61999999999999</v>
      </c>
      <c r="O5" s="1760">
        <v>714910.84</v>
      </c>
      <c r="P5" s="1776">
        <v>3.2000000000000001E-2</v>
      </c>
      <c r="Q5" s="1783">
        <f t="shared" si="2"/>
        <v>20.270000000000003</v>
      </c>
      <c r="R5" s="1784">
        <v>202335.14</v>
      </c>
      <c r="S5" s="1777">
        <f t="shared" si="3"/>
        <v>1.5027048687637747</v>
      </c>
      <c r="T5" s="1777">
        <v>15000</v>
      </c>
      <c r="U5" s="1777"/>
      <c r="V5" s="1785">
        <v>6130672.2857638001</v>
      </c>
      <c r="W5" s="1785">
        <f t="shared" si="4"/>
        <v>614.17273950749347</v>
      </c>
      <c r="X5" s="1786">
        <f t="shared" si="5"/>
        <v>0.14961588831455916</v>
      </c>
      <c r="Y5" s="1789">
        <f>VLOOKUP(E5,[11]核心假设及结论!$C$25:$E$45,3,0)</f>
        <v>0.09</v>
      </c>
      <c r="Z5" s="1790">
        <f t="shared" si="6"/>
        <v>714910.84000000008</v>
      </c>
      <c r="AA5" s="1790">
        <f t="shared" si="6"/>
        <v>729185.1</v>
      </c>
      <c r="AB5" s="1790">
        <f t="shared" si="6"/>
        <v>743758.82000000007</v>
      </c>
      <c r="AC5" s="1790">
        <f t="shared" si="6"/>
        <v>758632</v>
      </c>
      <c r="AD5" s="1790">
        <f t="shared" si="6"/>
        <v>773804.64</v>
      </c>
      <c r="AE5" s="1790">
        <f t="shared" si="6"/>
        <v>789276.73999999987</v>
      </c>
      <c r="AF5" s="1790">
        <f t="shared" si="6"/>
        <v>805048.3</v>
      </c>
      <c r="AG5" s="1794">
        <v>71.62</v>
      </c>
      <c r="AH5" s="1794">
        <v>73.05</v>
      </c>
      <c r="AI5" s="1794">
        <v>74.510000000000005</v>
      </c>
      <c r="AJ5" s="1794">
        <v>76</v>
      </c>
      <c r="AK5" s="1794">
        <v>77.52</v>
      </c>
      <c r="AL5" s="1794">
        <v>79.069999999999993</v>
      </c>
      <c r="AM5" s="1794">
        <v>80.650000000000006</v>
      </c>
      <c r="AN5" s="1795"/>
      <c r="AO5" s="1795"/>
      <c r="AP5" s="1808">
        <f t="shared" ref="AP5:AP68" si="18">IFERROR(X5/Y5,1.25)</f>
        <v>1.6623987590506575</v>
      </c>
      <c r="AQ5" s="1808">
        <v>1</v>
      </c>
      <c r="AR5" s="1809">
        <f t="shared" ref="AR5:AR68" si="19">IF(K5&lt;=BA5,AQ5*AG5,AG5)</f>
        <v>71.62</v>
      </c>
      <c r="AS5" s="1809">
        <f>AH5*(AS$2&lt;=YEAR($K5))+AR5*$AQ5*(AS$2=YEAR($K5)+1)+INDEX([11]核心假设及结论!$E$17:$E$21,MATCH($D5,[11]核心假设及结论!$B$17:$B$21,0))*(AS$2&gt;YEAR($K5)+1)*AR5</f>
        <v>73.05</v>
      </c>
      <c r="AT5" s="1809">
        <f>AI5*(AT$2&lt;=YEAR($K5))+AS5*$AQ5*(AT$2=YEAR($K5)+1)+INDEX([11]核心假设及结论!$E$17:$E$21,MATCH($D5,[11]核心假设及结论!$B$17:$B$21,0))*(AT$2&gt;YEAR($K5)+1)*AS5</f>
        <v>74.510000000000005</v>
      </c>
      <c r="AU5" s="1809">
        <f>AJ5*(AU$2&lt;=YEAR($K5))+AT5*$AQ5*(AU$2=YEAR($K5)+1)+INDEX([11]核心假设及结论!$E$17:$E$21,MATCH($D5,[11]核心假设及结论!$B$17:$B$21,0))*(AU$2&gt;YEAR($K5)+1)*AT5</f>
        <v>76</v>
      </c>
      <c r="AV5" s="1809">
        <f>AK5*(AV$2&lt;=YEAR($K5))+AU5*$AQ5*(AV$2=YEAR($K5)+1)+INDEX([11]核心假设及结论!$E$17:$E$21,MATCH($D5,[11]核心假设及结论!$B$17:$B$21,0))*(AV$2&gt;YEAR($K5)+1)*AU5</f>
        <v>77.52</v>
      </c>
      <c r="AW5" s="1809">
        <f>AL5*(AW$2&lt;=YEAR($K5))+AV5*$AQ5*(AW$2=YEAR($K5)+1)+INDEX([11]核心假设及结论!$E$17:$E$21,MATCH($D5,[11]核心假设及结论!$B$17:$B$21,0))*(AW$2&gt;YEAR($K5)+1)*AV5</f>
        <v>79.069999999999993</v>
      </c>
      <c r="AX5" s="1809">
        <f>AM5*(AX$2&lt;=YEAR($K5))+AW5*$AQ5*(AX$2=YEAR($K5)+1)+INDEX([11]核心假设及结论!$E$17:$E$21,MATCH($D5,[11]核心假设及结论!$B$17:$B$21,0))*(AX$2&gt;YEAR($K5)+1)*AW5</f>
        <v>80.650000000000006</v>
      </c>
      <c r="AZ5" s="1746">
        <f t="shared" si="7"/>
        <v>49190</v>
      </c>
      <c r="BA5" s="1817">
        <f t="shared" si="8"/>
        <v>45658</v>
      </c>
      <c r="BB5" s="1817">
        <f t="shared" si="9"/>
        <v>45903</v>
      </c>
      <c r="BC5" s="1817">
        <f t="shared" si="10"/>
        <v>46022</v>
      </c>
      <c r="BD5" s="1818">
        <f t="shared" si="11"/>
        <v>246</v>
      </c>
      <c r="BE5" s="1818">
        <f t="shared" si="12"/>
        <v>119</v>
      </c>
      <c r="BG5" s="1777">
        <f t="shared" si="13"/>
        <v>863.47756780273994</v>
      </c>
      <c r="BH5" s="1777">
        <f t="shared" si="14"/>
        <v>880.72383839999998</v>
      </c>
      <c r="BI5" s="1777">
        <f t="shared" si="14"/>
        <v>898.32946099726041</v>
      </c>
      <c r="BJ5" s="1777">
        <f t="shared" si="14"/>
        <v>916.29443559452056</v>
      </c>
      <c r="BK5" s="1777">
        <f t="shared" si="14"/>
        <v>934.61876219178089</v>
      </c>
      <c r="BL5" s="1777">
        <f t="shared" si="14"/>
        <v>953.30244078904093</v>
      </c>
      <c r="BM5" s="1777">
        <f t="shared" si="14"/>
        <v>651.09659769863026</v>
      </c>
      <c r="BO5" s="1739">
        <f t="shared" si="15"/>
        <v>2034</v>
      </c>
      <c r="BP5" s="1742">
        <f>_xlfn.IFNA(INDEX($AR5:$AX5,MATCH(BO5,$AR$2:$AX$2,0))*12/365*[11]核心假设及结论!$C$70*$H5,0)</f>
        <v>0</v>
      </c>
      <c r="BR5" s="1739">
        <f t="shared" ref="BR5:BR68" si="20">BO5+ROUND($L5/12,0)</f>
        <v>2048</v>
      </c>
      <c r="BS5" s="1742">
        <f>_xlfn.IFNA(INDEX($AR5:$AX5,MATCH(BR5,$AR$2:$AX$2,0))*12/365*[11]核心假设及结论!$C$70*$H5,0)</f>
        <v>0</v>
      </c>
      <c r="BU5" s="1739">
        <f t="shared" ref="BU5:BU68" si="21">BR5+ROUND($L5/12,0)</f>
        <v>2062</v>
      </c>
      <c r="BV5" s="1742">
        <f>_xlfn.IFNA(INDEX($AR5:$AX5,MATCH(BU5,$AR$2:$AX$2,0))*12/365*[11]核心假设及结论!$C$70*$H5,0)</f>
        <v>0</v>
      </c>
      <c r="BX5" s="1739">
        <f t="shared" ref="BX5:BX68" si="22">BU5+ROUND($L5/12,0)</f>
        <v>2076</v>
      </c>
      <c r="BY5" s="1742">
        <f>_xlfn.IFNA(INDEX($AR5:$AX5,MATCH(BX5,$AR$2:$AX$2,0))*12/365*[11]核心假设及结论!$C$70*$H5,0)</f>
        <v>0</v>
      </c>
      <c r="CA5" s="1739">
        <f t="shared" ref="CA5:CA68" si="23">BX5+ROUND($L5/12,0)</f>
        <v>2090</v>
      </c>
      <c r="CB5" s="1742">
        <f>_xlfn.IFNA(INDEX($AR5:$AX5,MATCH(CA5,$AR$2:$AX$2,0))*12/365*[11]核心假设及结论!$C$70*$H5,0)</f>
        <v>0</v>
      </c>
    </row>
    <row r="6" spans="1:80" ht="30" customHeight="1">
      <c r="A6" s="1756" t="s">
        <v>1666</v>
      </c>
      <c r="B6" s="1757" t="s">
        <v>1667</v>
      </c>
      <c r="C6" s="1756" t="s">
        <v>1668</v>
      </c>
      <c r="D6" s="1756" t="s">
        <v>1659</v>
      </c>
      <c r="E6" s="1758" t="s">
        <v>1669</v>
      </c>
      <c r="F6" s="1762"/>
      <c r="G6" s="1760" t="s">
        <v>1661</v>
      </c>
      <c r="H6" s="1761">
        <v>8148</v>
      </c>
      <c r="I6" s="1761" t="s">
        <v>1659</v>
      </c>
      <c r="J6" s="1773">
        <v>41941</v>
      </c>
      <c r="K6" s="1773">
        <v>47419</v>
      </c>
      <c r="L6" s="1764">
        <f t="shared" si="1"/>
        <v>180</v>
      </c>
      <c r="M6" s="1774">
        <f t="shared" si="16"/>
        <v>1073854.6400000001</v>
      </c>
      <c r="N6" s="1775">
        <f t="shared" si="17"/>
        <v>99.87</v>
      </c>
      <c r="O6" s="1760">
        <v>813740.76</v>
      </c>
      <c r="P6" s="1776">
        <v>3.5000000000000003E-2</v>
      </c>
      <c r="Q6" s="1783">
        <f t="shared" si="2"/>
        <v>31.310000000000002</v>
      </c>
      <c r="R6" s="1784">
        <v>255113.88</v>
      </c>
      <c r="S6" s="1777">
        <f t="shared" si="3"/>
        <v>0.61364752086401575</v>
      </c>
      <c r="T6" s="1784">
        <v>5000</v>
      </c>
      <c r="U6" s="1777"/>
      <c r="V6" s="1785">
        <v>11147799.8691667</v>
      </c>
      <c r="W6" s="1785">
        <f t="shared" si="4"/>
        <v>1368.1639505604689</v>
      </c>
      <c r="X6" s="1786">
        <f t="shared" si="5"/>
        <v>9.588032190605672E-2</v>
      </c>
      <c r="Y6" s="1789">
        <f>VLOOKUP(E6,[11]核心假设及结论!$C$25:$E$45,3,0)</f>
        <v>0.1</v>
      </c>
      <c r="Z6" s="1790">
        <f t="shared" si="6"/>
        <v>838184.76</v>
      </c>
      <c r="AA6" s="1790">
        <f t="shared" si="6"/>
        <v>863362.08</v>
      </c>
      <c r="AB6" s="1790">
        <f t="shared" si="6"/>
        <v>889272.72</v>
      </c>
      <c r="AC6" s="1790">
        <f t="shared" si="6"/>
        <v>915916.67999999993</v>
      </c>
      <c r="AD6" s="1790">
        <f t="shared" si="6"/>
        <v>943375.44000000006</v>
      </c>
      <c r="AE6" s="1790">
        <f t="shared" si="6"/>
        <v>0</v>
      </c>
      <c r="AF6" s="1790">
        <f t="shared" si="6"/>
        <v>0</v>
      </c>
      <c r="AG6" s="1794">
        <v>102.87</v>
      </c>
      <c r="AH6" s="1794">
        <v>105.96</v>
      </c>
      <c r="AI6" s="1794">
        <v>109.14</v>
      </c>
      <c r="AJ6" s="1794">
        <v>112.41</v>
      </c>
      <c r="AK6" s="1794">
        <v>115.78</v>
      </c>
      <c r="AL6" s="1794">
        <v>0</v>
      </c>
      <c r="AM6" s="1794">
        <v>0</v>
      </c>
      <c r="AN6" s="1796"/>
      <c r="AO6" s="1796"/>
      <c r="AP6" s="1808">
        <f t="shared" si="18"/>
        <v>0.9588032190605672</v>
      </c>
      <c r="AQ6" s="1808">
        <v>1</v>
      </c>
      <c r="AR6" s="1809">
        <f t="shared" si="19"/>
        <v>102.87</v>
      </c>
      <c r="AS6" s="1809">
        <f>AH6*(AS$2&lt;=YEAR($K6))+AR6*$AQ6*(AS$2=YEAR($K6)+1)+INDEX([11]核心假设及结论!$E$17:$E$21,MATCH($D6,[11]核心假设及结论!$B$17:$B$21,0))*(AS$2&gt;YEAR($K6)+1)*AR6</f>
        <v>105.96</v>
      </c>
      <c r="AT6" s="1809">
        <f>AI6*(AT$2&lt;=YEAR($K6))+AS6*$AQ6*(AT$2=YEAR($K6)+1)+INDEX([11]核心假设及结论!$E$17:$E$21,MATCH($D6,[11]核心假设及结论!$B$17:$B$21,0))*(AT$2&gt;YEAR($K6)+1)*AS6</f>
        <v>109.14</v>
      </c>
      <c r="AU6" s="1809">
        <f>AJ6*(AU$2&lt;=YEAR($K6))+AT6*$AQ6*(AU$2=YEAR($K6)+1)+INDEX([11]核心假设及结论!$E$17:$E$21,MATCH($D6,[11]核心假设及结论!$B$17:$B$21,0))*(AU$2&gt;YEAR($K6)+1)*AT6</f>
        <v>112.41</v>
      </c>
      <c r="AV6" s="1809">
        <f>AK6*(AV$2&lt;=YEAR($K6))+AU6*$AQ6*(AV$2=YEAR($K6)+1)+INDEX([11]核心假设及结论!$E$17:$E$21,MATCH($D6,[11]核心假设及结论!$B$17:$B$21,0))*(AV$2&gt;YEAR($K6)+1)*AU6</f>
        <v>115.78</v>
      </c>
      <c r="AW6" s="1811">
        <f>AL6*(AW$2&lt;=YEAR($K6))+AV6*$AQ6*(AW$2=YEAR($K6)+1)+INDEX([11]核心假设及结论!$E$17:$E$21,MATCH($D6,[11]核心假设及结论!$B$17:$B$21,0))*(AW$2&gt;YEAR($K6)+1)*AV6</f>
        <v>115.78</v>
      </c>
      <c r="AX6" s="1809">
        <f>AM6*(AX$2&lt;=YEAR($K6))+AW6*$AQ6*(AX$2=YEAR($K6)+1)+INDEX([11]核心假设及结论!$E$17:$E$21,MATCH($D6,[11]核心假设及结论!$B$17:$B$21,0))*(AX$2&gt;YEAR($K6)+1)*AW6</f>
        <v>118.00380901665905</v>
      </c>
      <c r="AZ6" s="1746">
        <f t="shared" si="7"/>
        <v>47419</v>
      </c>
      <c r="BA6" s="1817">
        <f t="shared" si="8"/>
        <v>45658</v>
      </c>
      <c r="BB6" s="1817">
        <f t="shared" si="9"/>
        <v>45958</v>
      </c>
      <c r="BC6" s="1817">
        <f t="shared" si="10"/>
        <v>46022</v>
      </c>
      <c r="BD6" s="1818">
        <f t="shared" si="11"/>
        <v>301</v>
      </c>
      <c r="BE6" s="1818">
        <f t="shared" si="12"/>
        <v>64</v>
      </c>
      <c r="BG6" s="1777">
        <f t="shared" si="13"/>
        <v>1011.1192960438358</v>
      </c>
      <c r="BH6" s="1777">
        <f t="shared" si="14"/>
        <v>1041.4863786082194</v>
      </c>
      <c r="BI6" s="1777">
        <f t="shared" si="14"/>
        <v>1072.7334451726026</v>
      </c>
      <c r="BJ6" s="1777">
        <f t="shared" si="14"/>
        <v>1104.8776400219178</v>
      </c>
      <c r="BK6" s="1777">
        <f t="shared" si="14"/>
        <v>1132.050528</v>
      </c>
      <c r="BL6" s="1777">
        <f t="shared" si="14"/>
        <v>1135.8630895414856</v>
      </c>
      <c r="BM6" s="1777">
        <f t="shared" si="14"/>
        <v>951.48495056281331</v>
      </c>
      <c r="BO6" s="1739">
        <f t="shared" si="15"/>
        <v>2029</v>
      </c>
      <c r="BP6" s="1742">
        <f>_xlfn.IFNA(INDEX($AR6:$AX6,MATCH(BO6,$AR$2:$AX$2,0))*12/365*[11]核心假设及结论!$C$70*$H6,0)</f>
        <v>930452.48876712332</v>
      </c>
      <c r="BR6" s="1739">
        <f t="shared" si="20"/>
        <v>2044</v>
      </c>
      <c r="BS6" s="1742">
        <f>_xlfn.IFNA(INDEX($AR6:$AX6,MATCH(BR6,$AR$2:$AX$2,0))*12/365*[11]核心假设及结论!$C$70*$H6,0)</f>
        <v>0</v>
      </c>
      <c r="BU6" s="1739">
        <f t="shared" si="21"/>
        <v>2059</v>
      </c>
      <c r="BV6" s="1742">
        <f>_xlfn.IFNA(INDEX($AR6:$AX6,MATCH(BU6,$AR$2:$AX$2,0))*12/365*[11]核心假设及结论!$C$70*$H6,0)</f>
        <v>0</v>
      </c>
      <c r="BX6" s="1739">
        <f t="shared" si="22"/>
        <v>2074</v>
      </c>
      <c r="BY6" s="1742">
        <f>_xlfn.IFNA(INDEX($AR6:$AX6,MATCH(BX6,$AR$2:$AX$2,0))*12/365*[11]核心假设及结论!$C$70*$H6,0)</f>
        <v>0</v>
      </c>
      <c r="CA6" s="1739">
        <f t="shared" si="23"/>
        <v>2089</v>
      </c>
      <c r="CB6" s="1742">
        <f>_xlfn.IFNA(INDEX($AR6:$AX6,MATCH(CA6,$AR$2:$AX$2,0))*12/365*[11]核心假设及结论!$C$70*$H6,0)</f>
        <v>0</v>
      </c>
    </row>
    <row r="7" spans="1:80" ht="30" customHeight="1">
      <c r="A7" s="1756" t="s">
        <v>1666</v>
      </c>
      <c r="B7" s="1757" t="s">
        <v>1670</v>
      </c>
      <c r="C7" s="1756" t="s">
        <v>1671</v>
      </c>
      <c r="D7" s="1756" t="s">
        <v>1659</v>
      </c>
      <c r="E7" s="1758" t="s">
        <v>1672</v>
      </c>
      <c r="F7" s="1762"/>
      <c r="G7" s="1760" t="s">
        <v>1661</v>
      </c>
      <c r="H7" s="1761">
        <v>6573</v>
      </c>
      <c r="I7" s="1761" t="s">
        <v>1659</v>
      </c>
      <c r="J7" s="1773">
        <v>41653</v>
      </c>
      <c r="K7" s="1773">
        <v>48957</v>
      </c>
      <c r="L7" s="1764">
        <f t="shared" si="1"/>
        <v>240</v>
      </c>
      <c r="M7" s="1774">
        <f t="shared" si="16"/>
        <v>868717.57054897852</v>
      </c>
      <c r="N7" s="1775">
        <f t="shared" si="17"/>
        <v>106.93</v>
      </c>
      <c r="O7" s="1760">
        <v>702850.89</v>
      </c>
      <c r="P7" s="1776" t="s">
        <v>1673</v>
      </c>
      <c r="Q7" s="1783">
        <f t="shared" si="2"/>
        <v>23.78</v>
      </c>
      <c r="R7" s="1784">
        <v>156305.94</v>
      </c>
      <c r="S7" s="1777">
        <f t="shared" si="3"/>
        <v>1.4545474743615534</v>
      </c>
      <c r="T7" s="1784">
        <v>9560.7405489784906</v>
      </c>
      <c r="U7" s="1777"/>
      <c r="V7" s="1785">
        <v>2218319.8883333299</v>
      </c>
      <c r="W7" s="1785">
        <f t="shared" si="4"/>
        <v>337.48971372787616</v>
      </c>
      <c r="X7" s="1786">
        <f t="shared" si="5"/>
        <v>0.3873006929787311</v>
      </c>
      <c r="Y7" s="1789">
        <f>VLOOKUP(E7,[11]核心假设及结论!$C$25:$E$45,3,0)</f>
        <v>0.3</v>
      </c>
      <c r="Z7" s="1790">
        <f t="shared" si="6"/>
        <v>702850.89</v>
      </c>
      <c r="AA7" s="1790">
        <f t="shared" si="6"/>
        <v>702850.89</v>
      </c>
      <c r="AB7" s="1790">
        <f t="shared" si="6"/>
        <v>702850.89</v>
      </c>
      <c r="AC7" s="1790">
        <f t="shared" si="6"/>
        <v>760856.98000000021</v>
      </c>
      <c r="AD7" s="1790">
        <f t="shared" si="6"/>
        <v>776106.95000000205</v>
      </c>
      <c r="AE7" s="1790">
        <f t="shared" si="6"/>
        <v>791630.46000000171</v>
      </c>
      <c r="AF7" s="1790">
        <f t="shared" si="6"/>
        <v>807495.89000000129</v>
      </c>
      <c r="AG7" s="1794">
        <v>106.93</v>
      </c>
      <c r="AH7" s="1794">
        <v>106.93</v>
      </c>
      <c r="AI7" s="1794">
        <v>106.93</v>
      </c>
      <c r="AJ7" s="1794">
        <v>115.754903392667</v>
      </c>
      <c r="AK7" s="1794">
        <v>118.074996196562</v>
      </c>
      <c r="AL7" s="1794">
        <v>120.43670470105</v>
      </c>
      <c r="AM7" s="1794">
        <v>122.85043207059201</v>
      </c>
      <c r="AN7" s="1797"/>
      <c r="AO7" s="1797"/>
      <c r="AP7" s="1808">
        <f t="shared" si="18"/>
        <v>1.2910023099291037</v>
      </c>
      <c r="AQ7" s="1808">
        <v>1</v>
      </c>
      <c r="AR7" s="1809">
        <f t="shared" si="19"/>
        <v>106.93</v>
      </c>
      <c r="AS7" s="1809">
        <f>AH7*(AS$2&lt;=YEAR($K7))+AR7*$AQ7*(AS$2=YEAR($K7)+1)+INDEX([11]核心假设及结论!$E$17:$E$21,MATCH($D7,[11]核心假设及结论!$B$17:$B$21,0))*(AS$2&gt;YEAR($K7)+1)*AR7</f>
        <v>106.93</v>
      </c>
      <c r="AT7" s="1809">
        <f>AI7*(AT$2&lt;=YEAR($K7))+AS7*$AQ7*(AT$2=YEAR($K7)+1)+INDEX([11]核心假设及结论!$E$17:$E$21,MATCH($D7,[11]核心假设及结论!$B$17:$B$21,0))*(AT$2&gt;YEAR($K7)+1)*AS7</f>
        <v>106.93</v>
      </c>
      <c r="AU7" s="1809">
        <f>AJ7*(AU$2&lt;=YEAR($K7))+AT7*$AQ7*(AU$2=YEAR($K7)+1)+INDEX([11]核心假设及结论!$E$17:$E$21,MATCH($D7,[11]核心假设及结论!$B$17:$B$21,0))*(AU$2&gt;YEAR($K7)+1)*AT7</f>
        <v>115.754903392667</v>
      </c>
      <c r="AV7" s="1809">
        <f>AK7*(AV$2&lt;=YEAR($K7))+AU7*$AQ7*(AV$2=YEAR($K7)+1)+INDEX([11]核心假设及结论!$E$17:$E$21,MATCH($D7,[11]核心假设及结论!$B$17:$B$21,0))*(AV$2&gt;YEAR($K7)+1)*AU7</f>
        <v>118.074996196562</v>
      </c>
      <c r="AW7" s="1809">
        <f>AL7*(AW$2&lt;=YEAR($K7))+AV7*$AQ7*(AW$2=YEAR($K7)+1)+INDEX([11]核心假设及结论!$E$17:$E$21,MATCH($D7,[11]核心假设及结论!$B$17:$B$21,0))*(AW$2&gt;YEAR($K7)+1)*AV7</f>
        <v>120.43670470105</v>
      </c>
      <c r="AX7" s="1809">
        <f>AM7*(AX$2&lt;=YEAR($K7))+AW7*$AQ7*(AX$2=YEAR($K7)+1)+INDEX([11]核心假设及结论!$E$17:$E$21,MATCH($D7,[11]核心假设及结论!$B$17:$B$21,0))*(AX$2&gt;YEAR($K7)+1)*AW7</f>
        <v>122.85043207059201</v>
      </c>
      <c r="AZ7" s="1746">
        <f t="shared" si="7"/>
        <v>48957</v>
      </c>
      <c r="BA7" s="1817">
        <f t="shared" si="8"/>
        <v>45658</v>
      </c>
      <c r="BB7" s="1817">
        <f t="shared" si="9"/>
        <v>45670</v>
      </c>
      <c r="BC7" s="1817">
        <f t="shared" si="10"/>
        <v>46022</v>
      </c>
      <c r="BD7" s="1818">
        <f t="shared" si="11"/>
        <v>13</v>
      </c>
      <c r="BE7" s="1818">
        <f t="shared" si="12"/>
        <v>352</v>
      </c>
      <c r="BG7" s="1777">
        <f t="shared" si="13"/>
        <v>843.42106799999999</v>
      </c>
      <c r="BH7" s="1777">
        <f t="shared" si="14"/>
        <v>843.42106799999999</v>
      </c>
      <c r="BI7" s="1777">
        <f t="shared" si="14"/>
        <v>910.54921160547974</v>
      </c>
      <c r="BJ7" s="1777">
        <f t="shared" si="14"/>
        <v>930.67656046027616</v>
      </c>
      <c r="BK7" s="1777">
        <f t="shared" si="14"/>
        <v>949.29308143561855</v>
      </c>
      <c r="BL7" s="1777">
        <f t="shared" si="14"/>
        <v>968.31698386849484</v>
      </c>
      <c r="BM7" s="1777">
        <f t="shared" si="14"/>
        <v>34.512153106849375</v>
      </c>
      <c r="BO7" s="1739">
        <f t="shared" si="15"/>
        <v>2034</v>
      </c>
      <c r="BP7" s="1742">
        <f>_xlfn.IFNA(INDEX($AR7:$AX7,MATCH(BO7,$AR$2:$AX$2,0))*12/365*[11]核心假设及结论!$C$70*$H7,0)</f>
        <v>0</v>
      </c>
      <c r="BR7" s="1739">
        <f t="shared" si="20"/>
        <v>2054</v>
      </c>
      <c r="BS7" s="1742">
        <f>_xlfn.IFNA(INDEX($AR7:$AX7,MATCH(BR7,$AR$2:$AX$2,0))*12/365*[11]核心假设及结论!$C$70*$H7,0)</f>
        <v>0</v>
      </c>
      <c r="BU7" s="1739">
        <f t="shared" si="21"/>
        <v>2074</v>
      </c>
      <c r="BV7" s="1742">
        <f>_xlfn.IFNA(INDEX($AR7:$AX7,MATCH(BU7,$AR$2:$AX$2,0))*12/365*[11]核心假设及结论!$C$70*$H7,0)</f>
        <v>0</v>
      </c>
      <c r="BX7" s="1739">
        <f t="shared" si="22"/>
        <v>2094</v>
      </c>
      <c r="BY7" s="1742">
        <f>_xlfn.IFNA(INDEX($AR7:$AX7,MATCH(BX7,$AR$2:$AX$2,0))*12/365*[11]核心假设及结论!$C$70*$H7,0)</f>
        <v>0</v>
      </c>
      <c r="CA7" s="1739">
        <f t="shared" si="23"/>
        <v>2114</v>
      </c>
      <c r="CB7" s="1742">
        <f>_xlfn.IFNA(INDEX($AR7:$AX7,MATCH(CA7,$AR$2:$AX$2,0))*12/365*[11]核心假设及结论!$C$70*$H7,0)</f>
        <v>0</v>
      </c>
    </row>
    <row r="8" spans="1:80" ht="30" customHeight="1">
      <c r="A8" s="1756" t="s">
        <v>1666</v>
      </c>
      <c r="B8" s="1757" t="s">
        <v>1674</v>
      </c>
      <c r="C8" s="1756" t="s">
        <v>1675</v>
      </c>
      <c r="D8" s="1756" t="s">
        <v>1676</v>
      </c>
      <c r="E8" s="1758" t="s">
        <v>1677</v>
      </c>
      <c r="F8" s="1762"/>
      <c r="G8" s="1760" t="s">
        <v>1661</v>
      </c>
      <c r="H8" s="1761">
        <v>2952</v>
      </c>
      <c r="I8" s="1761" t="s">
        <v>1678</v>
      </c>
      <c r="J8" s="1773">
        <v>45147</v>
      </c>
      <c r="K8" s="1773">
        <v>48799</v>
      </c>
      <c r="L8" s="1764">
        <f t="shared" si="1"/>
        <v>120</v>
      </c>
      <c r="M8" s="1774">
        <f t="shared" si="16"/>
        <v>328675.68</v>
      </c>
      <c r="N8" s="1775">
        <f t="shared" si="17"/>
        <v>91.34</v>
      </c>
      <c r="O8" s="1760">
        <v>269635.68</v>
      </c>
      <c r="P8" s="1776">
        <v>0.09</v>
      </c>
      <c r="Q8" s="1783">
        <f t="shared" si="2"/>
        <v>15</v>
      </c>
      <c r="R8" s="1784">
        <v>44280</v>
      </c>
      <c r="S8" s="1777">
        <f t="shared" si="3"/>
        <v>5</v>
      </c>
      <c r="T8" s="1784">
        <v>14760</v>
      </c>
      <c r="U8" s="1777"/>
      <c r="V8" s="1785">
        <v>1754627.37</v>
      </c>
      <c r="W8" s="1785">
        <f t="shared" si="4"/>
        <v>594.38596544715449</v>
      </c>
      <c r="X8" s="1786">
        <f t="shared" si="5"/>
        <v>0.17890731979178004</v>
      </c>
      <c r="Y8" s="1789">
        <f>VLOOKUP(E8,[11]核心假设及结论!$C$25:$E$45,3,0)</f>
        <v>0.25</v>
      </c>
      <c r="Z8" s="1790">
        <f t="shared" si="6"/>
        <v>269635.68</v>
      </c>
      <c r="AA8" s="1790">
        <f t="shared" si="6"/>
        <v>278137.44</v>
      </c>
      <c r="AB8" s="1790">
        <f t="shared" si="6"/>
        <v>287554.32</v>
      </c>
      <c r="AC8" s="1790">
        <f t="shared" si="6"/>
        <v>296026.56</v>
      </c>
      <c r="AD8" s="1790">
        <f t="shared" si="6"/>
        <v>305472.96000000002</v>
      </c>
      <c r="AE8" s="1790">
        <f t="shared" si="6"/>
        <v>313945.2</v>
      </c>
      <c r="AF8" s="1790">
        <f t="shared" si="6"/>
        <v>313945.2</v>
      </c>
      <c r="AG8" s="1794">
        <v>91.34</v>
      </c>
      <c r="AH8" s="1794">
        <v>94.22</v>
      </c>
      <c r="AI8" s="1794">
        <v>97.41</v>
      </c>
      <c r="AJ8" s="1794">
        <v>100.28</v>
      </c>
      <c r="AK8" s="1794">
        <v>103.48</v>
      </c>
      <c r="AL8" s="1794">
        <v>106.35</v>
      </c>
      <c r="AM8" s="1794">
        <v>106.35</v>
      </c>
      <c r="AN8" s="1797"/>
      <c r="AO8" s="1797"/>
      <c r="AP8" s="1808">
        <f t="shared" si="18"/>
        <v>0.71562927916712016</v>
      </c>
      <c r="AQ8" s="1808">
        <f>IF(AP8&gt;[11]核心假设及结论!$B$65,[11]核心假设及结论!$D$65,IF(AP8&lt;=[11]核心假设及结论!$B$64,[11]核心假设及结论!$D$63,[11]核心假设及结论!$D$64))</f>
        <v>1</v>
      </c>
      <c r="AR8" s="1809">
        <f t="shared" si="19"/>
        <v>91.34</v>
      </c>
      <c r="AS8" s="1809">
        <f>AH8*(AS$2&lt;=YEAR($K8))+AR8*$AQ8*(AS$2=YEAR($K8)+1)+INDEX([11]核心假设及结论!$E$17:$E$21,MATCH($D8,[11]核心假设及结论!$B$17:$B$21,0))*(AS$2&gt;YEAR($K8)+1)*AR8</f>
        <v>94.22</v>
      </c>
      <c r="AT8" s="1809">
        <f>AI8*(AT$2&lt;=YEAR($K8))+AS8*$AQ8*(AT$2=YEAR($K8)+1)+INDEX([11]核心假设及结论!$E$17:$E$21,MATCH($D8,[11]核心假设及结论!$B$17:$B$21,0))*(AT$2&gt;YEAR($K8)+1)*AS8</f>
        <v>97.41</v>
      </c>
      <c r="AU8" s="1809">
        <f>AJ8*(AU$2&lt;=YEAR($K8))+AT8*$AQ8*(AU$2=YEAR($K8)+1)+INDEX([11]核心假设及结论!$E$17:$E$21,MATCH($D8,[11]核心假设及结论!$B$17:$B$21,0))*(AU$2&gt;YEAR($K8)+1)*AT8</f>
        <v>100.28</v>
      </c>
      <c r="AV8" s="1809">
        <f>AK8*(AV$2&lt;=YEAR($K8))+AU8*$AQ8*(AV$2=YEAR($K8)+1)+INDEX([11]核心假设及结论!$E$17:$E$21,MATCH($D8,[11]核心假设及结论!$B$17:$B$21,0))*(AV$2&gt;YEAR($K8)+1)*AU8</f>
        <v>103.48</v>
      </c>
      <c r="AW8" s="1809">
        <f>AL8*(AW$2&lt;=YEAR($K8))+AV8*$AQ8*(AW$2=YEAR($K8)+1)+INDEX([11]核心假设及结论!$E$17:$E$21,MATCH($D8,[11]核心假设及结论!$B$17:$B$21,0))*(AW$2&gt;YEAR($K8)+1)*AV8</f>
        <v>106.35</v>
      </c>
      <c r="AX8" s="1809">
        <f>AM8*(AX$2&lt;=YEAR($K8))+AW8*$AQ8*(AX$2=YEAR($K8)+1)+INDEX([11]核心假设及结论!$E$17:$E$21,MATCH($D8,[11]核心假设及结论!$B$17:$B$21,0))*(AX$2&gt;YEAR($K8)+1)*AW8</f>
        <v>106.35</v>
      </c>
      <c r="AZ8" s="1746">
        <f t="shared" si="7"/>
        <v>48799</v>
      </c>
      <c r="BA8" s="1817">
        <f t="shared" si="8"/>
        <v>45658</v>
      </c>
      <c r="BB8" s="1817">
        <f t="shared" si="9"/>
        <v>45877</v>
      </c>
      <c r="BC8" s="1817">
        <f t="shared" si="10"/>
        <v>46022</v>
      </c>
      <c r="BD8" s="1818">
        <f t="shared" si="11"/>
        <v>220</v>
      </c>
      <c r="BE8" s="1818">
        <f t="shared" si="12"/>
        <v>145</v>
      </c>
      <c r="BG8" s="1777">
        <f t="shared" si="13"/>
        <v>327.61570980821915</v>
      </c>
      <c r="BH8" s="1777">
        <f t="shared" si="14"/>
        <v>338.25407079452054</v>
      </c>
      <c r="BI8" s="1777">
        <f t="shared" si="14"/>
        <v>349.10400526027399</v>
      </c>
      <c r="BJ8" s="1777">
        <f t="shared" si="14"/>
        <v>359.73508734246576</v>
      </c>
      <c r="BK8" s="1777">
        <f t="shared" si="14"/>
        <v>370.60637326027404</v>
      </c>
      <c r="BL8" s="1777">
        <f t="shared" si="14"/>
        <v>376.73424</v>
      </c>
      <c r="BM8" s="1777">
        <f t="shared" si="14"/>
        <v>227.07269260273972</v>
      </c>
      <c r="BO8" s="1739">
        <f t="shared" si="15"/>
        <v>2033</v>
      </c>
      <c r="BP8" s="1742">
        <f>_xlfn.IFNA(INDEX($AR8:$AX8,MATCH(BO8,$AR$2:$AX$2,0))*12/365*[11]核心假设及结论!$C$70*$H8,0)</f>
        <v>0</v>
      </c>
      <c r="BR8" s="1739">
        <f t="shared" si="20"/>
        <v>2043</v>
      </c>
      <c r="BS8" s="1742">
        <f>_xlfn.IFNA(INDEX($AR8:$AX8,MATCH(BR8,$AR$2:$AX$2,0))*12/365*[11]核心假设及结论!$C$70*$H8,0)</f>
        <v>0</v>
      </c>
      <c r="BU8" s="1739">
        <f t="shared" si="21"/>
        <v>2053</v>
      </c>
      <c r="BV8" s="1742">
        <f>_xlfn.IFNA(INDEX($AR8:$AX8,MATCH(BU8,$AR$2:$AX$2,0))*12/365*[11]核心假设及结论!$C$70*$H8,0)</f>
        <v>0</v>
      </c>
      <c r="BX8" s="1739">
        <f t="shared" si="22"/>
        <v>2063</v>
      </c>
      <c r="BY8" s="1742">
        <f>_xlfn.IFNA(INDEX($AR8:$AX8,MATCH(BX8,$AR$2:$AX$2,0))*12/365*[11]核心假设及结论!$C$70*$H8,0)</f>
        <v>0</v>
      </c>
      <c r="CA8" s="1739">
        <f t="shared" si="23"/>
        <v>2073</v>
      </c>
      <c r="CB8" s="1742">
        <f>_xlfn.IFNA(INDEX($AR8:$AX8,MATCH(CA8,$AR$2:$AX$2,0))*12/365*[11]核心假设及结论!$C$70*$H8,0)</f>
        <v>0</v>
      </c>
    </row>
    <row r="9" spans="1:80" ht="30" customHeight="1">
      <c r="A9" s="1756" t="s">
        <v>1666</v>
      </c>
      <c r="B9" s="1757" t="s">
        <v>1679</v>
      </c>
      <c r="C9" s="1756" t="s">
        <v>1680</v>
      </c>
      <c r="D9" s="1756" t="s">
        <v>1676</v>
      </c>
      <c r="E9" s="1758" t="s">
        <v>1681</v>
      </c>
      <c r="F9" s="1759"/>
      <c r="G9" s="1760" t="s">
        <v>1682</v>
      </c>
      <c r="H9" s="1761">
        <v>2925</v>
      </c>
      <c r="I9" s="1761" t="s">
        <v>1678</v>
      </c>
      <c r="J9" s="1773">
        <v>42228</v>
      </c>
      <c r="K9" s="1773">
        <v>46610</v>
      </c>
      <c r="L9" s="1764">
        <f t="shared" si="1"/>
        <v>144</v>
      </c>
      <c r="M9" s="1774">
        <f t="shared" si="16"/>
        <v>277875</v>
      </c>
      <c r="N9" s="1775">
        <f t="shared" si="17"/>
        <v>76</v>
      </c>
      <c r="O9" s="1760">
        <v>222300</v>
      </c>
      <c r="P9" s="1776">
        <v>0</v>
      </c>
      <c r="Q9" s="1783">
        <f t="shared" si="2"/>
        <v>19</v>
      </c>
      <c r="R9" s="1784">
        <v>55575</v>
      </c>
      <c r="S9" s="1777">
        <f t="shared" si="3"/>
        <v>0</v>
      </c>
      <c r="T9" s="1784">
        <v>0</v>
      </c>
      <c r="U9" s="1777"/>
      <c r="V9" s="1785">
        <v>823582.61750000005</v>
      </c>
      <c r="W9" s="1785">
        <f t="shared" si="4"/>
        <v>281.56670683760683</v>
      </c>
      <c r="X9" s="1786">
        <f t="shared" si="5"/>
        <v>0.33739784460664624</v>
      </c>
      <c r="Y9" s="1789">
        <f>VLOOKUP(E9,[11]核心假设及结论!$C$25:$E$45,3,0)</f>
        <v>0.25</v>
      </c>
      <c r="Z9" s="1790">
        <f t="shared" si="6"/>
        <v>222300</v>
      </c>
      <c r="AA9" s="1790">
        <f t="shared" si="6"/>
        <v>222300</v>
      </c>
      <c r="AB9" s="1790">
        <f t="shared" si="6"/>
        <v>248625</v>
      </c>
      <c r="AC9" s="1790">
        <f t="shared" si="6"/>
        <v>0</v>
      </c>
      <c r="AD9" s="1790">
        <f t="shared" si="6"/>
        <v>0</v>
      </c>
      <c r="AE9" s="1790">
        <f t="shared" si="6"/>
        <v>0</v>
      </c>
      <c r="AF9" s="1790">
        <f t="shared" si="6"/>
        <v>0</v>
      </c>
      <c r="AG9" s="1794">
        <v>76</v>
      </c>
      <c r="AH9" s="1794">
        <v>76</v>
      </c>
      <c r="AI9" s="1794">
        <v>85</v>
      </c>
      <c r="AJ9" s="1794">
        <v>0</v>
      </c>
      <c r="AK9" s="1794">
        <v>0</v>
      </c>
      <c r="AL9" s="1794">
        <v>0</v>
      </c>
      <c r="AM9" s="1794">
        <v>0</v>
      </c>
      <c r="AN9" s="1797"/>
      <c r="AO9" s="1797"/>
      <c r="AP9" s="1808">
        <f t="shared" si="18"/>
        <v>1.3495913784265849</v>
      </c>
      <c r="AQ9" s="1810">
        <f>IF(AP9&gt;[11]核心假设及结论!$B$65,[11]核心假设及结论!$D$65,IF(AP9&lt;=[11]核心假设及结论!$B$64,[11]核心假设及结论!$D$63,[11]核心假设及结论!$D$64))</f>
        <v>0.754</v>
      </c>
      <c r="AR9" s="1809">
        <f t="shared" si="19"/>
        <v>76</v>
      </c>
      <c r="AS9" s="1809">
        <f>AH9*(AS$2&lt;=YEAR($K9))+AR9*$AQ9*(AS$2=YEAR($K9)+1)+INDEX([11]核心假设及结论!$E$17:$E$21,MATCH($D9,[11]核心假设及结论!$B$17:$B$21,0))*(AS$2&gt;YEAR($K9)+1)*AR9</f>
        <v>76</v>
      </c>
      <c r="AT9" s="1809">
        <f>AI9*(AT$2&lt;=YEAR($K9))+AS9*$AQ9*(AT$2=YEAR($K9)+1)+INDEX([11]核心假设及结论!$E$17:$E$21,MATCH($D9,[11]核心假设及结论!$B$17:$B$21,0))*(AT$2&gt;YEAR($K9)+1)*AS9</f>
        <v>85</v>
      </c>
      <c r="AU9" s="1811">
        <f>AJ9*(AU$2&lt;=YEAR($K9))+AT9*$AQ9*(AU$2=YEAR($K9)+1)+INDEX([11]核心假设及结论!$E$17:$E$21,MATCH($D9,[11]核心假设及结论!$B$17:$B$21,0))*(AU$2&gt;YEAR($K9)+1)*AT9</f>
        <v>64.09</v>
      </c>
      <c r="AV9" s="1809">
        <f>AK9*(AV$2&lt;=YEAR($K9))+AU9*$AQ9*(AV$2=YEAR($K9)+1)+INDEX([11]核心假设及结论!$E$17:$E$21,MATCH($D9,[11]核心假设及结论!$B$17:$B$21,0))*(AV$2&gt;YEAR($K9)+1)*AU9</f>
        <v>66.305917357714776</v>
      </c>
      <c r="AW9" s="1809">
        <f>AL9*(AW$2&lt;=YEAR($K9))+AV9*$AQ9*(AW$2=YEAR($K9)+1)+INDEX([11]核心假设及结论!$E$17:$E$21,MATCH($D9,[11]核心假设及结论!$B$17:$B$21,0))*(AW$2&gt;YEAR($K9)+1)*AV9</f>
        <v>68.598450251959761</v>
      </c>
      <c r="AX9" s="1809">
        <f>AM9*(AX$2&lt;=YEAR($K9))+AW9*$AQ9*(AX$2=YEAR($K9)+1)+INDEX([11]核心假设及结论!$E$17:$E$21,MATCH($D9,[11]核心假设及结论!$B$17:$B$21,0))*(AX$2&gt;YEAR($K9)+1)*AW9</f>
        <v>70.97024767161416</v>
      </c>
      <c r="AZ9" s="1746">
        <f t="shared" si="7"/>
        <v>46610</v>
      </c>
      <c r="BA9" s="1817">
        <f t="shared" si="8"/>
        <v>45658</v>
      </c>
      <c r="BB9" s="1817">
        <f t="shared" si="9"/>
        <v>45880</v>
      </c>
      <c r="BC9" s="1817">
        <f t="shared" si="10"/>
        <v>46022</v>
      </c>
      <c r="BD9" s="1818">
        <f t="shared" si="11"/>
        <v>223</v>
      </c>
      <c r="BE9" s="1818">
        <f t="shared" si="12"/>
        <v>142</v>
      </c>
      <c r="BG9" s="1777">
        <f t="shared" si="13"/>
        <v>266.76</v>
      </c>
      <c r="BH9" s="1777">
        <f t="shared" si="14"/>
        <v>279.04980821917809</v>
      </c>
      <c r="BI9" s="1777">
        <f t="shared" si="14"/>
        <v>269.79667890410957</v>
      </c>
      <c r="BJ9" s="1777">
        <f t="shared" si="14"/>
        <v>227.9818110395403</v>
      </c>
      <c r="BK9" s="1777">
        <f t="shared" si="14"/>
        <v>235.86430210407087</v>
      </c>
      <c r="BL9" s="1777">
        <f t="shared" si="14"/>
        <v>244.01933098685589</v>
      </c>
      <c r="BM9" s="1777">
        <f t="shared" si="14"/>
        <v>152.19326564384261</v>
      </c>
      <c r="BO9" s="1739">
        <f t="shared" si="15"/>
        <v>2027</v>
      </c>
      <c r="BP9" s="1742">
        <f>_xlfn.IFNA(INDEX($AR9:$AX9,MATCH(BO9,$AR$2:$AX$2,0))*12/365*[11]核心假设及结论!$C$70*$H9,0)</f>
        <v>245219.17808219179</v>
      </c>
      <c r="BR9" s="1739">
        <f t="shared" si="20"/>
        <v>2039</v>
      </c>
      <c r="BS9" s="1742">
        <f>_xlfn.IFNA(INDEX($AR9:$AX9,MATCH(BR9,$AR$2:$AX$2,0))*12/365*[11]核心假设及结论!$C$70*$H9,0)</f>
        <v>0</v>
      </c>
      <c r="BU9" s="1739">
        <f t="shared" si="21"/>
        <v>2051</v>
      </c>
      <c r="BV9" s="1742">
        <f>_xlfn.IFNA(INDEX($AR9:$AX9,MATCH(BU9,$AR$2:$AX$2,0))*12/365*[11]核心假设及结论!$C$70*$H9,0)</f>
        <v>0</v>
      </c>
      <c r="BX9" s="1739">
        <f t="shared" si="22"/>
        <v>2063</v>
      </c>
      <c r="BY9" s="1742">
        <f>_xlfn.IFNA(INDEX($AR9:$AX9,MATCH(BX9,$AR$2:$AX$2,0))*12/365*[11]核心假设及结论!$C$70*$H9,0)</f>
        <v>0</v>
      </c>
      <c r="CA9" s="1739">
        <f t="shared" si="23"/>
        <v>2075</v>
      </c>
      <c r="CB9" s="1742">
        <f>_xlfn.IFNA(INDEX($AR9:$AX9,MATCH(CA9,$AR$2:$AX$2,0))*12/365*[11]核心假设及结论!$C$70*$H9,0)</f>
        <v>0</v>
      </c>
    </row>
    <row r="10" spans="1:80" ht="30" customHeight="1">
      <c r="A10" s="1756" t="s">
        <v>1662</v>
      </c>
      <c r="B10" s="1757" t="s">
        <v>1683</v>
      </c>
      <c r="C10" s="1756" t="s">
        <v>1684</v>
      </c>
      <c r="D10" s="1756" t="s">
        <v>1685</v>
      </c>
      <c r="E10" s="1758" t="s">
        <v>1686</v>
      </c>
      <c r="F10" s="1759"/>
      <c r="G10" s="1760" t="s">
        <v>1661</v>
      </c>
      <c r="H10" s="1761">
        <v>2558</v>
      </c>
      <c r="I10" s="1761" t="s">
        <v>1678</v>
      </c>
      <c r="J10" s="1773">
        <v>45170</v>
      </c>
      <c r="K10" s="1773">
        <v>49187</v>
      </c>
      <c r="L10" s="1764">
        <f t="shared" si="1"/>
        <v>132</v>
      </c>
      <c r="M10" s="1774">
        <f t="shared" si="16"/>
        <v>425293.08</v>
      </c>
      <c r="N10" s="1775">
        <f t="shared" si="17"/>
        <v>140.08000000000001</v>
      </c>
      <c r="O10" s="1760">
        <v>358324.64</v>
      </c>
      <c r="P10" s="1776">
        <v>3.5000000000000003E-2</v>
      </c>
      <c r="Q10" s="1783">
        <f t="shared" si="2"/>
        <v>24.36</v>
      </c>
      <c r="R10" s="1784">
        <v>62312.88</v>
      </c>
      <c r="S10" s="1777">
        <f t="shared" si="3"/>
        <v>1.82</v>
      </c>
      <c r="T10" s="1784">
        <v>4655.5600000000004</v>
      </c>
      <c r="U10" s="1777"/>
      <c r="V10" s="1785">
        <v>6285515.6191666704</v>
      </c>
      <c r="W10" s="1785">
        <f t="shared" si="4"/>
        <v>2457.1992256320054</v>
      </c>
      <c r="X10" s="1786">
        <f t="shared" si="5"/>
        <v>6.6921720585234643E-2</v>
      </c>
      <c r="Y10" s="1789">
        <f>VLOOKUP(E10,[11]核心假设及结论!$C$25:$E$45,3,0)</f>
        <v>0.1</v>
      </c>
      <c r="Z10" s="1790">
        <f t="shared" si="6"/>
        <v>358324.64</v>
      </c>
      <c r="AA10" s="1790">
        <f t="shared" si="6"/>
        <v>368556.64</v>
      </c>
      <c r="AB10" s="1790">
        <f t="shared" si="6"/>
        <v>376230.64</v>
      </c>
      <c r="AC10" s="1790">
        <f t="shared" si="6"/>
        <v>386462.64</v>
      </c>
      <c r="AD10" s="1790">
        <f t="shared" si="6"/>
        <v>394136.64</v>
      </c>
      <c r="AE10" s="1790">
        <f t="shared" si="6"/>
        <v>404394.22000000003</v>
      </c>
      <c r="AF10" s="1790">
        <f t="shared" si="6"/>
        <v>404394.22000000003</v>
      </c>
      <c r="AG10" s="1794">
        <v>140.08000000000001</v>
      </c>
      <c r="AH10" s="1794">
        <v>144.08000000000001</v>
      </c>
      <c r="AI10" s="1794">
        <v>147.08000000000001</v>
      </c>
      <c r="AJ10" s="1794">
        <v>151.08000000000001</v>
      </c>
      <c r="AK10" s="1794">
        <v>154.08000000000001</v>
      </c>
      <c r="AL10" s="1794">
        <v>158.09</v>
      </c>
      <c r="AM10" s="1794">
        <v>158.09</v>
      </c>
      <c r="AN10" s="1797"/>
      <c r="AO10" s="1797"/>
      <c r="AP10" s="1808">
        <f t="shared" si="18"/>
        <v>0.66921720585234634</v>
      </c>
      <c r="AQ10" s="1810">
        <f>IF(AP10&gt;[11]核心假设及结论!$B$59,[11]核心假设及结论!$D$59,IF(AP10&lt;=[11]核心假设及结论!$B$58,[11]核心假设及结论!$D$57,[11]核心假设及结论!$D$58))</f>
        <v>1.0342640124442799</v>
      </c>
      <c r="AR10" s="1809">
        <f t="shared" si="19"/>
        <v>140.08000000000001</v>
      </c>
      <c r="AS10" s="1809">
        <f>AH10*(AS$2&lt;=YEAR($K10))+AR10*$AQ10*(AS$2=YEAR($K10)+1)+INDEX([11]核心假设及结论!$E$17:$E$21,MATCH($D10,[11]核心假设及结论!$B$17:$B$21,0))*(AS$2&gt;YEAR($K10)+1)*AR10</f>
        <v>144.08000000000001</v>
      </c>
      <c r="AT10" s="1809">
        <f>AI10*(AT$2&lt;=YEAR($K10))+AS10*$AQ10*(AT$2=YEAR($K10)+1)+INDEX([11]核心假设及结论!$E$17:$E$21,MATCH($D10,[11]核心假设及结论!$B$17:$B$21,0))*(AT$2&gt;YEAR($K10)+1)*AS10</f>
        <v>147.08000000000001</v>
      </c>
      <c r="AU10" s="1809">
        <f>AJ10*(AU$2&lt;=YEAR($K10))+AT10*$AQ10*(AU$2=YEAR($K10)+1)+INDEX([11]核心假设及结论!$E$17:$E$21,MATCH($D10,[11]核心假设及结论!$B$17:$B$21,0))*(AU$2&gt;YEAR($K10)+1)*AT10</f>
        <v>151.08000000000001</v>
      </c>
      <c r="AV10" s="1809">
        <f>AK10*(AV$2&lt;=YEAR($K10))+AU10*$AQ10*(AV$2=YEAR($K10)+1)+INDEX([11]核心假设及结论!$E$17:$E$21,MATCH($D10,[11]核心假设及结论!$B$17:$B$21,0))*(AV$2&gt;YEAR($K10)+1)*AU10</f>
        <v>154.08000000000001</v>
      </c>
      <c r="AW10" s="1809">
        <f>AL10*(AW$2&lt;=YEAR($K10))+AV10*$AQ10*(AW$2=YEAR($K10)+1)+INDEX([11]核心假设及结论!$E$17:$E$21,MATCH($D10,[11]核心假设及结论!$B$17:$B$21,0))*(AW$2&gt;YEAR($K10)+1)*AV10</f>
        <v>158.09</v>
      </c>
      <c r="AX10" s="1809">
        <f>AM10*(AX$2&lt;=YEAR($K10))+AW10*$AQ10*(AX$2=YEAR($K10)+1)+INDEX([11]核心假设及结论!$E$17:$E$21,MATCH($D10,[11]核心假设及结论!$B$17:$B$21,0))*(AX$2&gt;YEAR($K10)+1)*AW10</f>
        <v>158.09</v>
      </c>
      <c r="AZ10" s="1746">
        <f t="shared" si="7"/>
        <v>49187</v>
      </c>
      <c r="BA10" s="1817">
        <f t="shared" si="8"/>
        <v>45658</v>
      </c>
      <c r="BB10" s="1817">
        <f t="shared" si="9"/>
        <v>45900</v>
      </c>
      <c r="BC10" s="1817">
        <f t="shared" si="10"/>
        <v>46022</v>
      </c>
      <c r="BD10" s="1818">
        <f t="shared" si="11"/>
        <v>243</v>
      </c>
      <c r="BE10" s="1818">
        <f t="shared" si="12"/>
        <v>122</v>
      </c>
      <c r="BG10" s="1777">
        <f t="shared" si="13"/>
        <v>434.093581150685</v>
      </c>
      <c r="BH10" s="1777">
        <f t="shared" si="14"/>
        <v>445.34597786301373</v>
      </c>
      <c r="BI10" s="1777">
        <f t="shared" si="14"/>
        <v>455.58078115068508</v>
      </c>
      <c r="BJ10" s="1777">
        <f t="shared" si="14"/>
        <v>466.83317786301376</v>
      </c>
      <c r="BK10" s="1777">
        <f t="shared" si="14"/>
        <v>477.07824118356166</v>
      </c>
      <c r="BL10" s="1777">
        <f t="shared" si="14"/>
        <v>485.27306399999998</v>
      </c>
      <c r="BM10" s="1777">
        <f t="shared" si="14"/>
        <v>323.0722042520548</v>
      </c>
      <c r="BO10" s="1739">
        <f t="shared" si="15"/>
        <v>2034</v>
      </c>
      <c r="BP10" s="1742">
        <f>_xlfn.IFNA(INDEX($AR10:$AX10,MATCH(BO10,$AR$2:$AX$2,0))*12/365*[11]核心假设及结论!$C$70*$H10,0)</f>
        <v>0</v>
      </c>
      <c r="BR10" s="1739">
        <f t="shared" si="20"/>
        <v>2045</v>
      </c>
      <c r="BS10" s="1742">
        <f>_xlfn.IFNA(INDEX($AR10:$AX10,MATCH(BR10,$AR$2:$AX$2,0))*12/365*[11]核心假设及结论!$C$70*$H10,0)</f>
        <v>0</v>
      </c>
      <c r="BU10" s="1739">
        <f t="shared" si="21"/>
        <v>2056</v>
      </c>
      <c r="BV10" s="1742">
        <f>_xlfn.IFNA(INDEX($AR10:$AX10,MATCH(BU10,$AR$2:$AX$2,0))*12/365*[11]核心假设及结论!$C$70*$H10,0)</f>
        <v>0</v>
      </c>
      <c r="BX10" s="1739">
        <f t="shared" si="22"/>
        <v>2067</v>
      </c>
      <c r="BY10" s="1742">
        <f>_xlfn.IFNA(INDEX($AR10:$AX10,MATCH(BX10,$AR$2:$AX$2,0))*12/365*[11]核心假设及结论!$C$70*$H10,0)</f>
        <v>0</v>
      </c>
      <c r="CA10" s="1739">
        <f t="shared" si="23"/>
        <v>2078</v>
      </c>
      <c r="CB10" s="1742">
        <f>_xlfn.IFNA(INDEX($AR10:$AX10,MATCH(CA10,$AR$2:$AX$2,0))*12/365*[11]核心假设及结论!$C$70*$H10,0)</f>
        <v>0</v>
      </c>
    </row>
    <row r="11" spans="1:80" ht="30" customHeight="1">
      <c r="A11" s="1756" t="s">
        <v>1687</v>
      </c>
      <c r="B11" s="1757" t="s">
        <v>1688</v>
      </c>
      <c r="C11" s="1756" t="s">
        <v>1689</v>
      </c>
      <c r="D11" s="1756" t="s">
        <v>1676</v>
      </c>
      <c r="E11" s="1758" t="s">
        <v>1681</v>
      </c>
      <c r="F11" s="1759"/>
      <c r="G11" s="1760" t="s">
        <v>1661</v>
      </c>
      <c r="H11" s="1761">
        <v>2535</v>
      </c>
      <c r="I11" s="1761" t="s">
        <v>1678</v>
      </c>
      <c r="J11" s="1773">
        <v>44991</v>
      </c>
      <c r="K11" s="1773">
        <v>47182</v>
      </c>
      <c r="L11" s="1764">
        <f t="shared" si="1"/>
        <v>72</v>
      </c>
      <c r="M11" s="1774">
        <f t="shared" si="16"/>
        <v>232789.05</v>
      </c>
      <c r="N11" s="1775">
        <f t="shared" si="17"/>
        <v>54.929999999999993</v>
      </c>
      <c r="O11" s="1760">
        <v>139247.54999999999</v>
      </c>
      <c r="P11" s="1776">
        <v>0.18</v>
      </c>
      <c r="Q11" s="1787">
        <f t="shared" si="2"/>
        <v>31.65</v>
      </c>
      <c r="R11" s="1784">
        <v>80232.75</v>
      </c>
      <c r="S11" s="1777">
        <f t="shared" si="3"/>
        <v>5.25</v>
      </c>
      <c r="T11" s="1784">
        <v>13308.75</v>
      </c>
      <c r="U11" s="1777"/>
      <c r="V11" s="1785">
        <v>743571.12090909097</v>
      </c>
      <c r="W11" s="1785">
        <f t="shared" si="4"/>
        <v>293.32194118701813</v>
      </c>
      <c r="X11" s="1786">
        <f t="shared" si="5"/>
        <v>0.29517055440730816</v>
      </c>
      <c r="Y11" s="1789">
        <f>VLOOKUP(E11,[11]核心假设及结论!$C$25:$E$45,3,0)</f>
        <v>0.25</v>
      </c>
      <c r="Z11" s="1790">
        <f t="shared" si="6"/>
        <v>139247.54999999999</v>
      </c>
      <c r="AA11" s="1790">
        <f t="shared" si="6"/>
        <v>148170.75</v>
      </c>
      <c r="AB11" s="1790">
        <f t="shared" si="6"/>
        <v>148170.75</v>
      </c>
      <c r="AC11" s="1790">
        <f t="shared" si="6"/>
        <v>156257.4</v>
      </c>
      <c r="AD11" s="1790">
        <f t="shared" si="6"/>
        <v>156257.4</v>
      </c>
      <c r="AE11" s="1790">
        <f t="shared" si="6"/>
        <v>0</v>
      </c>
      <c r="AF11" s="1790">
        <f t="shared" si="6"/>
        <v>0</v>
      </c>
      <c r="AG11" s="1794">
        <v>54.93</v>
      </c>
      <c r="AH11" s="1794">
        <v>58.45</v>
      </c>
      <c r="AI11" s="1794">
        <v>58.45</v>
      </c>
      <c r="AJ11" s="1794">
        <v>61.64</v>
      </c>
      <c r="AK11" s="1794">
        <v>61.64</v>
      </c>
      <c r="AL11" s="1794">
        <v>0</v>
      </c>
      <c r="AM11" s="1794">
        <v>0</v>
      </c>
      <c r="AN11" s="1797"/>
      <c r="AO11" s="1797"/>
      <c r="AP11" s="1808">
        <f t="shared" si="18"/>
        <v>1.1806822176292326</v>
      </c>
      <c r="AQ11" s="1808">
        <f>IF(AP11&gt;[11]核心假设及结论!$B$65,[11]核心假设及结论!$D$65,IF(AP11&lt;=[11]核心假设及结论!$B$64,[11]核心假设及结论!$D$63,[11]核心假设及结论!$D$64))</f>
        <v>0.754</v>
      </c>
      <c r="AR11" s="1809">
        <f t="shared" si="19"/>
        <v>54.93</v>
      </c>
      <c r="AS11" s="1809">
        <f>AH11*(AS$2&lt;=YEAR($K11))+AR11*$AQ11*(AS$2=YEAR($K11)+1)+INDEX([11]核心假设及结论!$E$17:$E$21,MATCH($D11,[11]核心假设及结论!$B$17:$B$21,0))*(AS$2&gt;YEAR($K11)+1)*AR11</f>
        <v>58.45</v>
      </c>
      <c r="AT11" s="1809">
        <f>AI11*(AT$2&lt;=YEAR($K11))+AS11*$AQ11*(AT$2=YEAR($K11)+1)+INDEX([11]核心假设及结论!$E$17:$E$21,MATCH($D11,[11]核心假设及结论!$B$17:$B$21,0))*(AT$2&gt;YEAR($K11)+1)*AS11</f>
        <v>58.45</v>
      </c>
      <c r="AU11" s="1809">
        <f>AJ11*(AU$2&lt;=YEAR($K11))+AT11*$AQ11*(AU$2=YEAR($K11)+1)+INDEX([11]核心假设及结论!$E$17:$E$21,MATCH($D11,[11]核心假设及结论!$B$17:$B$21,0))*(AU$2&gt;YEAR($K11)+1)*AT11</f>
        <v>61.64</v>
      </c>
      <c r="AV11" s="1809">
        <f>AK11*(AV$2&lt;=YEAR($K11))+AU11*$AQ11*(AV$2=YEAR($K11)+1)+INDEX([11]核心假设及结论!$E$17:$E$21,MATCH($D11,[11]核心假设及结论!$B$17:$B$21,0))*(AV$2&gt;YEAR($K11)+1)*AU11</f>
        <v>61.64</v>
      </c>
      <c r="AW11" s="1811">
        <f>AL11*(AW$2&lt;=YEAR($K11))+AV11*$AQ11*(AW$2=YEAR($K11)+1)+INDEX([11]核心假设及结论!$E$17:$E$21,MATCH($D11,[11]核心假设及结论!$B$17:$B$21,0))*(AW$2&gt;YEAR($K11)+1)*AV11</f>
        <v>46.476559999999999</v>
      </c>
      <c r="AX11" s="1809">
        <f>AM11*(AX$2&lt;=YEAR($K11))+AW11*$AQ11*(AX$2=YEAR($K11)+1)+INDEX([11]核心假设及结论!$E$17:$E$21,MATCH($D11,[11]核心假设及结论!$B$17:$B$21,0))*(AX$2&gt;YEAR($K11)+1)*AW11</f>
        <v>48.083491128582807</v>
      </c>
      <c r="AZ11" s="1746">
        <f t="shared" si="7"/>
        <v>47182</v>
      </c>
      <c r="BA11" s="1817">
        <f t="shared" si="8"/>
        <v>45658</v>
      </c>
      <c r="BB11" s="1817">
        <f t="shared" si="9"/>
        <v>45721</v>
      </c>
      <c r="BC11" s="1817">
        <f t="shared" si="10"/>
        <v>46022</v>
      </c>
      <c r="BD11" s="1818">
        <f t="shared" si="11"/>
        <v>64</v>
      </c>
      <c r="BE11" s="1818">
        <f t="shared" si="12"/>
        <v>301</v>
      </c>
      <c r="BG11" s="1777">
        <f t="shared" si="13"/>
        <v>175.92736093150685</v>
      </c>
      <c r="BH11" s="1777">
        <f>(AS11*$BD11*$H11*12/365+$BE11*AT11*$H11*12/365)/10000</f>
        <v>177.8049</v>
      </c>
      <c r="BI11" s="1777">
        <f>(AT11*$BD11*$H11*12/365+$BE11*AU11*$H11*12/365)/10000</f>
        <v>185.80736021917807</v>
      </c>
      <c r="BJ11" s="1777">
        <f>(AU11*$BD11*$H11*12/365+$BE11*AV11*$H11*12/365)/10000</f>
        <v>187.50887999999998</v>
      </c>
      <c r="BK11" s="1777">
        <f>(AV11*$BD11*$H11*12/365+$BE11*AW11*$H11*12/365)/10000</f>
        <v>149.46974978498631</v>
      </c>
      <c r="BL11" s="1777">
        <f t="shared" si="14"/>
        <v>145.41285615681596</v>
      </c>
      <c r="BM11" s="1777">
        <f t="shared" si="14"/>
        <v>25.64733896120967</v>
      </c>
      <c r="BO11" s="1739">
        <f t="shared" si="15"/>
        <v>2029</v>
      </c>
      <c r="BP11" s="1742">
        <f>_xlfn.IFNA(INDEX($AR11:$AX11,MATCH(BO11,$AR$2:$AX$2,0))*12/365*[11]核心假设及结论!$C$70*$H11,0)</f>
        <v>154116.88767123289</v>
      </c>
      <c r="BR11" s="1739">
        <f t="shared" si="20"/>
        <v>2035</v>
      </c>
      <c r="BS11" s="1742">
        <f>_xlfn.IFNA(INDEX($AR11:$AX11,MATCH(BR11,$AR$2:$AX$2,0))*12/365*[11]核心假设及结论!$C$70*$H11,0)</f>
        <v>0</v>
      </c>
      <c r="BU11" s="1739">
        <f t="shared" si="21"/>
        <v>2041</v>
      </c>
      <c r="BV11" s="1742">
        <f>_xlfn.IFNA(INDEX($AR11:$AX11,MATCH(BU11,$AR$2:$AX$2,0))*12/365*[11]核心假设及结论!$C$70*$H11,0)</f>
        <v>0</v>
      </c>
      <c r="BX11" s="1739">
        <f t="shared" si="22"/>
        <v>2047</v>
      </c>
      <c r="BY11" s="1742">
        <f>_xlfn.IFNA(INDEX($AR11:$AX11,MATCH(BX11,$AR$2:$AX$2,0))*12/365*[11]核心假设及结论!$C$70*$H11,0)</f>
        <v>0</v>
      </c>
      <c r="CA11" s="1739">
        <f t="shared" si="23"/>
        <v>2053</v>
      </c>
      <c r="CB11" s="1742">
        <f>_xlfn.IFNA(INDEX($AR11:$AX11,MATCH(CA11,$AR$2:$AX$2,0))*12/365*[11]核心假设及结论!$C$70*$H11,0)</f>
        <v>0</v>
      </c>
    </row>
    <row r="12" spans="1:80" ht="30" customHeight="1">
      <c r="A12" s="1756" t="s">
        <v>1662</v>
      </c>
      <c r="B12" s="1757" t="s">
        <v>1690</v>
      </c>
      <c r="C12" s="1756" t="s">
        <v>1691</v>
      </c>
      <c r="D12" s="1756" t="s">
        <v>1685</v>
      </c>
      <c r="E12" s="1758" t="s">
        <v>1692</v>
      </c>
      <c r="F12" s="1759"/>
      <c r="G12" s="1760" t="s">
        <v>1693</v>
      </c>
      <c r="H12" s="1761">
        <v>2310</v>
      </c>
      <c r="I12" s="1761" t="s">
        <v>1678</v>
      </c>
      <c r="J12" s="1773">
        <v>41988</v>
      </c>
      <c r="K12" s="1773">
        <v>46370</v>
      </c>
      <c r="L12" s="1764">
        <f t="shared" si="1"/>
        <v>144</v>
      </c>
      <c r="M12" s="1774">
        <f>O12+R12+T12</f>
        <v>366408.50334</v>
      </c>
      <c r="N12" s="1775">
        <f>O12/H12</f>
        <v>96.568399714285718</v>
      </c>
      <c r="O12" s="1760">
        <v>223073.00334</v>
      </c>
      <c r="P12" s="1776">
        <v>6.6000000000000003E-2</v>
      </c>
      <c r="Q12" s="1783">
        <f t="shared" si="2"/>
        <v>62.05</v>
      </c>
      <c r="R12" s="1784">
        <v>143335.5</v>
      </c>
      <c r="S12" s="1777">
        <f t="shared" si="3"/>
        <v>0</v>
      </c>
      <c r="T12" s="1784">
        <v>0</v>
      </c>
      <c r="U12" s="1777"/>
      <c r="V12" s="1785">
        <v>3379893.99</v>
      </c>
      <c r="W12" s="1785">
        <f t="shared" si="4"/>
        <v>1463.1575714285716</v>
      </c>
      <c r="X12" s="1786">
        <f>(N12+Q12+S12)*H12/V12</f>
        <v>0.10840828275208714</v>
      </c>
      <c r="Y12" s="1789">
        <f>VLOOKUP(E12,[11]核心假设及结论!$C$25:$E$45,3,0)</f>
        <v>0.2</v>
      </c>
      <c r="Z12" s="1790">
        <f t="shared" si="6"/>
        <v>0</v>
      </c>
      <c r="AA12" s="1790">
        <f t="shared" si="6"/>
        <v>0</v>
      </c>
      <c r="AB12" s="1790">
        <f t="shared" si="6"/>
        <v>0</v>
      </c>
      <c r="AC12" s="1790">
        <f t="shared" si="6"/>
        <v>0</v>
      </c>
      <c r="AD12" s="1790">
        <f t="shared" si="6"/>
        <v>0</v>
      </c>
      <c r="AE12" s="1790">
        <f t="shared" si="6"/>
        <v>0</v>
      </c>
      <c r="AF12" s="1790">
        <f t="shared" si="6"/>
        <v>0</v>
      </c>
      <c r="AG12" s="1798">
        <v>0</v>
      </c>
      <c r="AH12" s="1798">
        <v>0</v>
      </c>
      <c r="AI12" s="1798">
        <v>0</v>
      </c>
      <c r="AJ12" s="1798">
        <v>0</v>
      </c>
      <c r="AK12" s="1798">
        <v>0</v>
      </c>
      <c r="AL12" s="1798">
        <v>0</v>
      </c>
      <c r="AM12" s="1798">
        <v>0</v>
      </c>
      <c r="AN12" s="1797"/>
      <c r="AO12" s="1797"/>
      <c r="AP12" s="1808">
        <f t="shared" si="18"/>
        <v>0.54204141376043569</v>
      </c>
      <c r="AQ12" s="1810">
        <f>IF(AP12&gt;[11]核心假设及结论!$B$59,[11]核心假设及结论!$D$59,IF(AP12&lt;=[11]核心假设及结论!$B$58,[11]核心假设及结论!$D$57,[11]核心假设及结论!$D$58))</f>
        <v>1.0342640124442799</v>
      </c>
      <c r="AR12" s="1809">
        <f t="shared" si="19"/>
        <v>0</v>
      </c>
      <c r="AS12" s="1809">
        <f>AH12*(AS$2&lt;=YEAR($K12))+AR12*$AQ12*(AS$2=YEAR($K12)+1)+VLOOKUP($D12,[11]核心假设及结论!$B$17:$E$21,4)*(AS$2&gt;YEAR($K12)+1)*AR12</f>
        <v>0</v>
      </c>
      <c r="AT12" s="1811">
        <f>AI12*(AT$2&lt;=YEAR($K12))+AS12*$AQ12*(AT$2=YEAR($K12)+1)+VLOOKUP($D12,[11]核心假设及结论!$B$17:$E$21,4)*(AT$2&gt;YEAR($K12)+1)*AS12</f>
        <v>0</v>
      </c>
      <c r="AU12" s="1809">
        <f>AJ12*(AU$2&lt;=YEAR($K12))+AT12*$AQ12*(AU$2=YEAR($K12)+1)+VLOOKUP($D12,[11]核心假设及结论!$B$17:$E$21,4)*(AU$2&gt;YEAR($K12)+1)*AT12</f>
        <v>0</v>
      </c>
      <c r="AV12" s="1809">
        <f>AK12*(AV$2&lt;=YEAR($K12))+AU12*$AQ12*(AV$2=YEAR($K12)+1)+VLOOKUP($D12,[11]核心假设及结论!$B$17:$E$21,4)*(AV$2&gt;YEAR($K12)+1)*AU12</f>
        <v>0</v>
      </c>
      <c r="AW12" s="1809">
        <f>AL12*(AW$2&lt;=YEAR($K12))+AV12*$AQ12*(AW$2=YEAR($K12)+1)+VLOOKUP($D12,[11]核心假设及结论!$B$17:$E$21,4)*(AW$2&gt;YEAR($K12)+1)*AV12</f>
        <v>0</v>
      </c>
      <c r="AX12" s="1809">
        <f>AM12*(AX$2&lt;=YEAR($K12))+AW12*$AQ12*(AX$2=YEAR($K12)+1)+VLOOKUP($D12,[11]核心假设及结论!$B$17:$E$21,4)*(AX$2&gt;YEAR($K12)+1)*AW12</f>
        <v>0</v>
      </c>
      <c r="AZ12" s="1746">
        <f t="shared" si="7"/>
        <v>46370</v>
      </c>
      <c r="BA12" s="1817">
        <f t="shared" si="8"/>
        <v>45658</v>
      </c>
      <c r="BB12" s="1817">
        <f t="shared" si="9"/>
        <v>46005</v>
      </c>
      <c r="BC12" s="1817">
        <f t="shared" si="10"/>
        <v>46022</v>
      </c>
      <c r="BD12" s="1818">
        <f t="shared" si="11"/>
        <v>348</v>
      </c>
      <c r="BE12" s="1818">
        <f t="shared" si="12"/>
        <v>17</v>
      </c>
      <c r="BG12" s="1820">
        <v>0</v>
      </c>
      <c r="BH12" s="1820">
        <v>0</v>
      </c>
      <c r="BI12" s="1820">
        <v>0</v>
      </c>
      <c r="BJ12" s="1820">
        <v>0</v>
      </c>
      <c r="BK12" s="1820">
        <v>0</v>
      </c>
      <c r="BL12" s="1820">
        <v>0</v>
      </c>
      <c r="BM12" s="1820">
        <v>0</v>
      </c>
      <c r="BO12" s="1739">
        <f t="shared" si="15"/>
        <v>2026</v>
      </c>
      <c r="BP12" s="1742">
        <f>_xlfn.IFNA(INDEX($AR12:$AX12,MATCH(BO12,$AR$2:$AX$2,0))*12/365*[11]核心假设及结论!$C$70*$H12,0)</f>
        <v>0</v>
      </c>
      <c r="BR12" s="1739">
        <f t="shared" si="20"/>
        <v>2038</v>
      </c>
      <c r="BS12" s="1742">
        <f>_xlfn.IFNA(INDEX($AR12:$AX12,MATCH(BR12,$AR$2:$AX$2,0))*12/365*[11]核心假设及结论!$C$70*$H12,0)</f>
        <v>0</v>
      </c>
      <c r="BU12" s="1739">
        <f t="shared" si="21"/>
        <v>2050</v>
      </c>
      <c r="BV12" s="1742">
        <f>_xlfn.IFNA(INDEX($AR12:$AX12,MATCH(BU12,$AR$2:$AX$2,0))*12/365*[11]核心假设及结论!$C$70*$H12,0)</f>
        <v>0</v>
      </c>
      <c r="BX12" s="1739">
        <f t="shared" si="22"/>
        <v>2062</v>
      </c>
      <c r="BY12" s="1742">
        <f>_xlfn.IFNA(INDEX($AR12:$AX12,MATCH(BX12,$AR$2:$AX$2,0))*12/365*[11]核心假设及结论!$C$70*$H12,0)</f>
        <v>0</v>
      </c>
      <c r="CA12" s="1739">
        <f t="shared" si="23"/>
        <v>2074</v>
      </c>
      <c r="CB12" s="1742">
        <f>_xlfn.IFNA(INDEX($AR12:$AX12,MATCH(CA12,$AR$2:$AX$2,0))*12/365*[11]核心假设及结论!$C$70*$H12,0)</f>
        <v>0</v>
      </c>
    </row>
    <row r="13" spans="1:80" ht="30" customHeight="1">
      <c r="A13" s="1756" t="s">
        <v>1662</v>
      </c>
      <c r="B13" s="1757" t="s">
        <v>1694</v>
      </c>
      <c r="C13" s="1756" t="s">
        <v>1695</v>
      </c>
      <c r="D13" s="1756" t="s">
        <v>1685</v>
      </c>
      <c r="E13" s="1758" t="s">
        <v>1692</v>
      </c>
      <c r="F13" s="1759"/>
      <c r="G13" s="1760" t="s">
        <v>1693</v>
      </c>
      <c r="H13" s="1761">
        <v>2290</v>
      </c>
      <c r="I13" s="1761" t="s">
        <v>1678</v>
      </c>
      <c r="J13" s="1773">
        <v>41927</v>
      </c>
      <c r="K13" s="1773">
        <v>49231</v>
      </c>
      <c r="L13" s="1764">
        <f t="shared" si="1"/>
        <v>240</v>
      </c>
      <c r="M13" s="1774">
        <f t="shared" si="16"/>
        <v>131368.4801333333</v>
      </c>
      <c r="N13" s="1775">
        <f t="shared" si="17"/>
        <v>34.790445473071308</v>
      </c>
      <c r="O13" s="1760">
        <v>79670.120133333301</v>
      </c>
      <c r="P13" s="1776">
        <v>0.04</v>
      </c>
      <c r="Q13" s="1783">
        <f t="shared" si="2"/>
        <v>16.125502183406113</v>
      </c>
      <c r="R13" s="1784">
        <v>36927.4</v>
      </c>
      <c r="S13" s="1777">
        <f t="shared" si="3"/>
        <v>6.4502008733624452</v>
      </c>
      <c r="T13" s="1784">
        <v>14770.96</v>
      </c>
      <c r="U13" s="1777"/>
      <c r="V13" s="1785">
        <v>1991753.0033333299</v>
      </c>
      <c r="W13" s="1785">
        <f t="shared" si="4"/>
        <v>869.76113682678158</v>
      </c>
      <c r="X13" s="1786">
        <f>(N13+Q13+S13)*H13/V13</f>
        <v>6.5956210390284084E-2</v>
      </c>
      <c r="Y13" s="1789">
        <f>VLOOKUP(E13,[11]核心假设及结论!$C$25:$E$45,3,0)</f>
        <v>0.2</v>
      </c>
      <c r="Z13" s="1790">
        <f t="shared" si="6"/>
        <v>0</v>
      </c>
      <c r="AA13" s="1790">
        <f t="shared" si="6"/>
        <v>0</v>
      </c>
      <c r="AB13" s="1790">
        <f t="shared" si="6"/>
        <v>0</v>
      </c>
      <c r="AC13" s="1790">
        <f t="shared" si="6"/>
        <v>0</v>
      </c>
      <c r="AD13" s="1790">
        <f t="shared" si="6"/>
        <v>0</v>
      </c>
      <c r="AE13" s="1790">
        <f t="shared" si="6"/>
        <v>0</v>
      </c>
      <c r="AF13" s="1790">
        <f t="shared" si="6"/>
        <v>0</v>
      </c>
      <c r="AG13" s="1798">
        <v>0</v>
      </c>
      <c r="AH13" s="1798">
        <v>0</v>
      </c>
      <c r="AI13" s="1798">
        <v>0</v>
      </c>
      <c r="AJ13" s="1798">
        <v>0</v>
      </c>
      <c r="AK13" s="1798">
        <v>0</v>
      </c>
      <c r="AL13" s="1798">
        <v>0</v>
      </c>
      <c r="AM13" s="1798">
        <v>0</v>
      </c>
      <c r="AN13" s="1796"/>
      <c r="AO13" s="1796"/>
      <c r="AP13" s="1808">
        <f t="shared" si="18"/>
        <v>0.32978105195142038</v>
      </c>
      <c r="AQ13" s="1810">
        <f>IF(AP13&gt;[11]核心假设及结论!$B$59,[11]核心假设及结论!$D$59,IF(AP13&lt;=[11]核心假设及结论!$B$58,[11]核心假设及结论!$D$57,[11]核心假设及结论!$D$58))</f>
        <v>1.0342640124442799</v>
      </c>
      <c r="AR13" s="1809">
        <f t="shared" si="19"/>
        <v>0</v>
      </c>
      <c r="AS13" s="1809">
        <f>AH13*(AS$2&lt;=YEAR($K13))+AR13*$AQ13*(AS$2=YEAR($K13)+1)+VLOOKUP($D13,[11]核心假设及结论!$B$17:$E$21,4)*(AS$2&gt;YEAR($K13)+1)*AR13</f>
        <v>0</v>
      </c>
      <c r="AT13" s="1809">
        <f>AI13*(AT$2&lt;=YEAR($K13))+AS13*$AQ13*(AT$2=YEAR($K13)+1)+VLOOKUP($D13,[11]核心假设及结论!$B$17:$E$21,4)*(AT$2&gt;YEAR($K13)+1)*AS13</f>
        <v>0</v>
      </c>
      <c r="AU13" s="1809">
        <f>AJ13*(AU$2&lt;=YEAR($K13))+AT13*$AQ13*(AU$2=YEAR($K13)+1)+VLOOKUP($D13,[11]核心假设及结论!$B$17:$E$21,4)*(AU$2&gt;YEAR($K13)+1)*AT13</f>
        <v>0</v>
      </c>
      <c r="AV13" s="1809">
        <f>AK13*(AV$2&lt;=YEAR($K13))+AU13*$AQ13*(AV$2=YEAR($K13)+1)+VLOOKUP($D13,[11]核心假设及结论!$B$17:$E$21,4)*(AV$2&gt;YEAR($K13)+1)*AU13</f>
        <v>0</v>
      </c>
      <c r="AW13" s="1809">
        <f>AL13*(AW$2&lt;=YEAR($K13))+AV13*$AQ13*(AW$2=YEAR($K13)+1)+VLOOKUP($D13,[11]核心假设及结论!$B$17:$E$21,4)*(AW$2&gt;YEAR($K13)+1)*AV13</f>
        <v>0</v>
      </c>
      <c r="AX13" s="1809">
        <f>AM13*(AX$2&lt;=YEAR($K13))+AW13*$AQ13*(AX$2=YEAR($K13)+1)+VLOOKUP($D13,[11]核心假设及结论!$B$17:$E$21,4)*(AX$2&gt;YEAR($K13)+1)*AW13</f>
        <v>0</v>
      </c>
      <c r="AZ13" s="1746">
        <f t="shared" si="7"/>
        <v>49231</v>
      </c>
      <c r="BA13" s="1817">
        <f t="shared" si="8"/>
        <v>45658</v>
      </c>
      <c r="BB13" s="1817">
        <f t="shared" si="9"/>
        <v>45944</v>
      </c>
      <c r="BC13" s="1817">
        <f t="shared" si="10"/>
        <v>46022</v>
      </c>
      <c r="BD13" s="1818">
        <f t="shared" si="11"/>
        <v>287</v>
      </c>
      <c r="BE13" s="1818">
        <f t="shared" si="12"/>
        <v>78</v>
      </c>
      <c r="BG13" s="1820">
        <v>0</v>
      </c>
      <c r="BH13" s="1820">
        <v>0</v>
      </c>
      <c r="BI13" s="1820">
        <v>0</v>
      </c>
      <c r="BJ13" s="1820">
        <v>0</v>
      </c>
      <c r="BK13" s="1820">
        <v>0</v>
      </c>
      <c r="BL13" s="1820">
        <v>0</v>
      </c>
      <c r="BM13" s="1820">
        <v>0</v>
      </c>
      <c r="BO13" s="1739">
        <f t="shared" si="15"/>
        <v>2034</v>
      </c>
      <c r="BP13" s="1742">
        <f>_xlfn.IFNA(INDEX($AR13:$AX13,MATCH(BO13,$AR$2:$AX$2,0))*12/365*[11]核心假设及结论!$C$70*$H13,0)</f>
        <v>0</v>
      </c>
      <c r="BR13" s="1739">
        <f t="shared" si="20"/>
        <v>2054</v>
      </c>
      <c r="BS13" s="1742">
        <f>_xlfn.IFNA(INDEX($AR13:$AX13,MATCH(BR13,$AR$2:$AX$2,0))*12/365*[11]核心假设及结论!$C$70*$H13,0)</f>
        <v>0</v>
      </c>
      <c r="BU13" s="1739">
        <f t="shared" si="21"/>
        <v>2074</v>
      </c>
      <c r="BV13" s="1742">
        <f>_xlfn.IFNA(INDEX($AR13:$AX13,MATCH(BU13,$AR$2:$AX$2,0))*12/365*[11]核心假设及结论!$C$70*$H13,0)</f>
        <v>0</v>
      </c>
      <c r="BX13" s="1739">
        <f t="shared" si="22"/>
        <v>2094</v>
      </c>
      <c r="BY13" s="1742">
        <f>_xlfn.IFNA(INDEX($AR13:$AX13,MATCH(BX13,$AR$2:$AX$2,0))*12/365*[11]核心假设及结论!$C$70*$H13,0)</f>
        <v>0</v>
      </c>
      <c r="CA13" s="1739">
        <f t="shared" si="23"/>
        <v>2114</v>
      </c>
      <c r="CB13" s="1742">
        <f>_xlfn.IFNA(INDEX($AR13:$AX13,MATCH(CA13,$AR$2:$AX$2,0))*12/365*[11]核心假设及结论!$C$70*$H13,0)</f>
        <v>0</v>
      </c>
    </row>
    <row r="14" spans="1:80" ht="30" customHeight="1">
      <c r="A14" s="1756" t="s">
        <v>1666</v>
      </c>
      <c r="B14" s="1757" t="s">
        <v>1696</v>
      </c>
      <c r="C14" s="1756" t="s">
        <v>1697</v>
      </c>
      <c r="D14" s="1756" t="s">
        <v>1698</v>
      </c>
      <c r="E14" s="1758" t="s">
        <v>1698</v>
      </c>
      <c r="F14" s="1759"/>
      <c r="G14" s="1760" t="s">
        <v>1661</v>
      </c>
      <c r="H14" s="1761">
        <v>1820</v>
      </c>
      <c r="I14" s="1761" t="s">
        <v>1678</v>
      </c>
      <c r="J14" s="1773">
        <v>45444</v>
      </c>
      <c r="K14" s="1773">
        <v>47907</v>
      </c>
      <c r="L14" s="1764">
        <f t="shared" si="1"/>
        <v>81</v>
      </c>
      <c r="M14" s="1774">
        <f t="shared" si="16"/>
        <v>583128</v>
      </c>
      <c r="N14" s="1775">
        <f t="shared" si="17"/>
        <v>219</v>
      </c>
      <c r="O14" s="1760">
        <v>398580</v>
      </c>
      <c r="P14" s="1776">
        <v>0.08</v>
      </c>
      <c r="Q14" s="1783">
        <f t="shared" si="2"/>
        <v>84.4</v>
      </c>
      <c r="R14" s="1784">
        <v>153608</v>
      </c>
      <c r="S14" s="1777">
        <f t="shared" si="3"/>
        <v>17</v>
      </c>
      <c r="T14" s="1777">
        <v>30940</v>
      </c>
      <c r="U14" s="1777"/>
      <c r="V14" s="1785">
        <v>5980176.7039999999</v>
      </c>
      <c r="W14" s="1785">
        <f t="shared" si="4"/>
        <v>3285.8113758241757</v>
      </c>
      <c r="X14" s="1786">
        <f>(N14+Q14)*H14/V14</f>
        <v>9.2336401971308713E-2</v>
      </c>
      <c r="Y14" s="1789">
        <f>VLOOKUP(E14,[11]核心假设及结论!$C$25:$E$45,3,0)</f>
        <v>0.2</v>
      </c>
      <c r="Z14" s="1790">
        <f t="shared" si="6"/>
        <v>398580</v>
      </c>
      <c r="AA14" s="1790">
        <f t="shared" si="6"/>
        <v>411320</v>
      </c>
      <c r="AB14" s="1790">
        <f t="shared" si="6"/>
        <v>424041.8</v>
      </c>
      <c r="AC14" s="1790">
        <f t="shared" si="6"/>
        <v>436781.8</v>
      </c>
      <c r="AD14" s="1790">
        <f t="shared" si="6"/>
        <v>449503.6</v>
      </c>
      <c r="AE14" s="1790">
        <f t="shared" si="6"/>
        <v>462789.6</v>
      </c>
      <c r="AF14" s="1790">
        <f t="shared" si="6"/>
        <v>476639.8</v>
      </c>
      <c r="AG14" s="1794">
        <v>219</v>
      </c>
      <c r="AH14" s="1794">
        <v>226</v>
      </c>
      <c r="AI14" s="1794">
        <v>232.99</v>
      </c>
      <c r="AJ14" s="1794">
        <v>239.99</v>
      </c>
      <c r="AK14" s="1794">
        <v>246.98</v>
      </c>
      <c r="AL14" s="1794">
        <v>254.28</v>
      </c>
      <c r="AM14" s="1794">
        <v>261.89</v>
      </c>
      <c r="AN14" s="1795"/>
      <c r="AO14" s="1795"/>
      <c r="AP14" s="1808">
        <f t="shared" si="18"/>
        <v>0.46168200985654356</v>
      </c>
      <c r="AQ14" s="1812">
        <f>IF(AP14&gt;[11]核心假设及结论!$B$62,[11]核心假设及结论!$D$62,IF(AP14&lt;=[11]核心假设及结论!$B$61,[11]核心假设及结论!$D$60,[11]核心假设及结论!$D$61))</f>
        <v>1.0811176582269599</v>
      </c>
      <c r="AR14" s="1809">
        <f t="shared" si="19"/>
        <v>219</v>
      </c>
      <c r="AS14" s="1809">
        <f>AH14*(AS$2&lt;=YEAR($K14))+AR14*$AQ14*(AS$2=YEAR($K14)+1)+INDEX([11]核心假设及结论!$E$17:$E$21,MATCH($D14,[11]核心假设及结论!$B$17:$B$21,0))*(AS$2&gt;YEAR($K14)+1)*AR14</f>
        <v>226</v>
      </c>
      <c r="AT14" s="1809">
        <f>AI14*(AT$2&lt;=YEAR($K14))+AS14*$AQ14*(AT$2=YEAR($K14)+1)+INDEX([11]核心假设及结论!$E$17:$E$21,MATCH($D14,[11]核心假设及结论!$B$17:$B$21,0))*(AT$2&gt;YEAR($K14)+1)*AS14</f>
        <v>232.99</v>
      </c>
      <c r="AU14" s="1809">
        <f>AJ14*(AU$2&lt;=YEAR($K14))+AT14*$AQ14*(AU$2=YEAR($K14)+1)+INDEX([11]核心假设及结论!$E$17:$E$21,MATCH($D14,[11]核心假设及结论!$B$17:$B$21,0))*(AU$2&gt;YEAR($K14)+1)*AT14</f>
        <v>239.99</v>
      </c>
      <c r="AV14" s="1809">
        <f>AK14*(AV$2&lt;=YEAR($K14))+AU14*$AQ14*(AV$2=YEAR($K14)+1)+INDEX([11]核心假设及结论!$E$17:$E$21,MATCH($D14,[11]核心假设及结论!$B$17:$B$21,0))*(AV$2&gt;YEAR($K14)+1)*AU14</f>
        <v>246.98</v>
      </c>
      <c r="AW14" s="1809">
        <f>AL14*(AW$2&lt;=YEAR($K14))+AV14*$AQ14*(AW$2=YEAR($K14)+1)+INDEX([11]核心假设及结论!$E$17:$E$21,MATCH($D14,[11]核心假设及结论!$B$17:$B$21,0))*(AW$2&gt;YEAR($K14)+1)*AV14</f>
        <v>254.28</v>
      </c>
      <c r="AX14" s="1809">
        <f>AM14*(AX$2&lt;=YEAR($K14))+AW14*$AQ14*(AX$2=YEAR($K14)+1)+INDEX([11]核心假设及结论!$E$17:$E$21,MATCH($D14,[11]核心假设及结论!$B$17:$B$21,0))*(AX$2&gt;YEAR($K14)+1)*AW14</f>
        <v>261.89</v>
      </c>
      <c r="AZ14" s="1746">
        <f t="shared" si="7"/>
        <v>47907</v>
      </c>
      <c r="BA14" s="1817">
        <f t="shared" si="8"/>
        <v>45658</v>
      </c>
      <c r="BB14" s="1817">
        <f t="shared" si="9"/>
        <v>45716</v>
      </c>
      <c r="BC14" s="1817">
        <f t="shared" si="10"/>
        <v>46022</v>
      </c>
      <c r="BD14" s="1818">
        <f t="shared" si="11"/>
        <v>59</v>
      </c>
      <c r="BE14" s="1818">
        <f t="shared" si="12"/>
        <v>306</v>
      </c>
      <c r="BG14" s="1777">
        <f>(AR14*$BD14*$H14*12/365+BE14*AS14*$H14*12/365)/10000</f>
        <v>491.11278904109588</v>
      </c>
      <c r="BH14" s="1777">
        <f t="shared" ref="BH14:BM15" si="24">(AS14*$BD14*$H14*12/365+$BE14*AT14*$H14*12/365)/10000</f>
        <v>506.38247934246573</v>
      </c>
      <c r="BI14" s="1777">
        <f t="shared" si="24"/>
        <v>521.66694904109579</v>
      </c>
      <c r="BJ14" s="1777">
        <f t="shared" si="24"/>
        <v>536.9366393424657</v>
      </c>
      <c r="BK14" s="1777">
        <f t="shared" si="24"/>
        <v>552.7704</v>
      </c>
      <c r="BL14" s="1777">
        <f t="shared" si="24"/>
        <v>569.28120065753421</v>
      </c>
      <c r="BM14" s="1777">
        <f t="shared" si="24"/>
        <v>92.455062575342453</v>
      </c>
      <c r="BO14" s="1739">
        <f t="shared" si="15"/>
        <v>2031</v>
      </c>
      <c r="BP14" s="1742">
        <f>_xlfn.IFNA(INDEX($AR14:$AX14,MATCH(BO14,$AR$2:$AX$2,0))*12/365*[11]核心假设及结论!$C$70*$H14,0)</f>
        <v>470110.48767123278</v>
      </c>
      <c r="BR14" s="1739">
        <f t="shared" si="20"/>
        <v>2038</v>
      </c>
      <c r="BS14" s="1742">
        <f>_xlfn.IFNA(INDEX($AR14:$AX14,MATCH(BR14,$AR$2:$AX$2,0))*12/365*[11]核心假设及结论!$C$70*$H14,0)</f>
        <v>0</v>
      </c>
      <c r="BU14" s="1739">
        <f t="shared" si="21"/>
        <v>2045</v>
      </c>
      <c r="BV14" s="1742">
        <f>_xlfn.IFNA(INDEX($AR14:$AX14,MATCH(BU14,$AR$2:$AX$2,0))*12/365*[11]核心假设及结论!$C$70*$H14,0)</f>
        <v>0</v>
      </c>
      <c r="BX14" s="1739">
        <f t="shared" si="22"/>
        <v>2052</v>
      </c>
      <c r="BY14" s="1742">
        <f>_xlfn.IFNA(INDEX($AR14:$AX14,MATCH(BX14,$AR$2:$AX$2,0))*12/365*[11]核心假设及结论!$C$70*$H14,0)</f>
        <v>0</v>
      </c>
      <c r="CA14" s="1739">
        <f t="shared" si="23"/>
        <v>2059</v>
      </c>
      <c r="CB14" s="1742">
        <f>_xlfn.IFNA(INDEX($AR14:$AX14,MATCH(CA14,$AR$2:$AX$2,0))*12/365*[11]核心假设及结论!$C$70*$H14,0)</f>
        <v>0</v>
      </c>
    </row>
    <row r="15" spans="1:80" ht="30" customHeight="1">
      <c r="A15" s="1756" t="s">
        <v>1687</v>
      </c>
      <c r="B15" s="1757" t="s">
        <v>1699</v>
      </c>
      <c r="C15" s="1756" t="s">
        <v>1700</v>
      </c>
      <c r="D15" s="1756" t="s">
        <v>1676</v>
      </c>
      <c r="E15" s="1758" t="s">
        <v>1681</v>
      </c>
      <c r="F15" s="1759"/>
      <c r="G15" s="1760" t="s">
        <v>1661</v>
      </c>
      <c r="H15" s="1761">
        <v>1769</v>
      </c>
      <c r="I15" s="1761" t="s">
        <v>1678</v>
      </c>
      <c r="J15" s="1773">
        <v>45009</v>
      </c>
      <c r="K15" s="1773">
        <v>47930</v>
      </c>
      <c r="L15" s="1764">
        <f t="shared" si="1"/>
        <v>96</v>
      </c>
      <c r="M15" s="1774">
        <f t="shared" si="16"/>
        <v>220532.38500000001</v>
      </c>
      <c r="N15" s="1775">
        <f t="shared" si="17"/>
        <v>81.44</v>
      </c>
      <c r="O15" s="1760">
        <v>144067.35999999999</v>
      </c>
      <c r="P15" s="1776">
        <v>0.1</v>
      </c>
      <c r="Q15" s="1783">
        <f t="shared" si="2"/>
        <v>36.924999999999997</v>
      </c>
      <c r="R15" s="1784">
        <v>65320.324999999997</v>
      </c>
      <c r="S15" s="1777">
        <f t="shared" si="3"/>
        <v>6.3000000000000007</v>
      </c>
      <c r="T15" s="1777">
        <v>11144.7</v>
      </c>
      <c r="U15" s="1777"/>
      <c r="V15" s="1785">
        <v>1213556.8525</v>
      </c>
      <c r="W15" s="1785">
        <f t="shared" si="4"/>
        <v>686.01291831543244</v>
      </c>
      <c r="X15" s="1786">
        <f>(N15+Q15)*H15/V15</f>
        <v>0.17254048260586127</v>
      </c>
      <c r="Y15" s="1789">
        <f>VLOOKUP(E15,[11]核心假设及结论!$C$25:$E$45,3,0)</f>
        <v>0.25</v>
      </c>
      <c r="Z15" s="1790">
        <f t="shared" si="6"/>
        <v>144067.35999999999</v>
      </c>
      <c r="AA15" s="1790">
        <f t="shared" si="6"/>
        <v>148596</v>
      </c>
      <c r="AB15" s="1790">
        <f t="shared" si="6"/>
        <v>153106.94999999998</v>
      </c>
      <c r="AC15" s="1790">
        <f t="shared" si="6"/>
        <v>157617.9</v>
      </c>
      <c r="AD15" s="1790">
        <f t="shared" si="6"/>
        <v>162164.23000000001</v>
      </c>
      <c r="AE15" s="1790">
        <f t="shared" si="6"/>
        <v>167223.57</v>
      </c>
      <c r="AF15" s="1790">
        <f t="shared" si="6"/>
        <v>172318.29</v>
      </c>
      <c r="AG15" s="1794">
        <v>81.44</v>
      </c>
      <c r="AH15" s="1794">
        <v>84</v>
      </c>
      <c r="AI15" s="1794">
        <v>86.55</v>
      </c>
      <c r="AJ15" s="1794">
        <v>89.1</v>
      </c>
      <c r="AK15" s="1794">
        <v>91.67</v>
      </c>
      <c r="AL15" s="1794">
        <v>94.53</v>
      </c>
      <c r="AM15" s="1794">
        <v>97.41</v>
      </c>
      <c r="AN15" s="1795"/>
      <c r="AO15" s="1795"/>
      <c r="AP15" s="1808">
        <f t="shared" si="18"/>
        <v>0.69016193042344509</v>
      </c>
      <c r="AQ15" s="1808">
        <f>IF(AP15&gt;[11]核心假设及结论!$B$65,[11]核心假设及结论!$D$65,IF(AP15&lt;=[11]核心假设及结论!$B$64,[11]核心假设及结论!$D$63,[11]核心假设及结论!$D$64))</f>
        <v>1</v>
      </c>
      <c r="AR15" s="1809">
        <f t="shared" si="19"/>
        <v>81.44</v>
      </c>
      <c r="AS15" s="1809">
        <f>AH15*(AS$2&lt;=YEAR($K15))+AR15*$AQ15*(AS$2=YEAR($K15)+1)+INDEX([11]核心假设及结论!$E$17:$E$21,MATCH($D15,[11]核心假设及结论!$B$17:$B$21,0))*(AS$2&gt;YEAR($K15)+1)*AR15</f>
        <v>84</v>
      </c>
      <c r="AT15" s="1809">
        <f>AI15*(AT$2&lt;=YEAR($K15))+AS15*$AQ15*(AT$2=YEAR($K15)+1)+INDEX([11]核心假设及结论!$E$17:$E$21,MATCH($D15,[11]核心假设及结论!$B$17:$B$21,0))*(AT$2&gt;YEAR($K15)+1)*AS15</f>
        <v>86.55</v>
      </c>
      <c r="AU15" s="1809">
        <f>AJ15*(AU$2&lt;=YEAR($K15))+AT15*$AQ15*(AU$2=YEAR($K15)+1)+INDEX([11]核心假设及结论!$E$17:$E$21,MATCH($D15,[11]核心假设及结论!$B$17:$B$21,0))*(AU$2&gt;YEAR($K15)+1)*AT15</f>
        <v>89.1</v>
      </c>
      <c r="AV15" s="1809">
        <f>AK15*(AV$2&lt;=YEAR($K15))+AU15*$AQ15*(AV$2=YEAR($K15)+1)+INDEX([11]核心假设及结论!$E$17:$E$21,MATCH($D15,[11]核心假设及结论!$B$17:$B$21,0))*(AV$2&gt;YEAR($K15)+1)*AU15</f>
        <v>91.67</v>
      </c>
      <c r="AW15" s="1809">
        <f>AL15*(AW$2&lt;=YEAR($K15))+AV15*$AQ15*(AW$2=YEAR($K15)+1)+INDEX([11]核心假设及结论!$E$17:$E$21,MATCH($D15,[11]核心假设及结论!$B$17:$B$21,0))*(AW$2&gt;YEAR($K15)+1)*AV15</f>
        <v>94.53</v>
      </c>
      <c r="AX15" s="1809">
        <f>AM15*(AX$2&lt;=YEAR($K15))+AW15*$AQ15*(AX$2=YEAR($K15)+1)+INDEX([11]核心假设及结论!$E$17:$E$21,MATCH($D15,[11]核心假设及结论!$B$17:$B$21,0))*(AX$2&gt;YEAR($K15)+1)*AW15</f>
        <v>97.41</v>
      </c>
      <c r="AZ15" s="1746">
        <f t="shared" si="7"/>
        <v>47930</v>
      </c>
      <c r="BA15" s="1817">
        <f t="shared" si="8"/>
        <v>45658</v>
      </c>
      <c r="BB15" s="1817">
        <f t="shared" si="9"/>
        <v>45739</v>
      </c>
      <c r="BC15" s="1817">
        <f t="shared" si="10"/>
        <v>46022</v>
      </c>
      <c r="BD15" s="1818">
        <f t="shared" si="11"/>
        <v>82</v>
      </c>
      <c r="BE15" s="1818">
        <f t="shared" si="12"/>
        <v>283</v>
      </c>
      <c r="BG15" s="1777">
        <f>(AR15*$BD15*$H15*12/365+BE15*AS15*$H15*12/365)/10000</f>
        <v>177.09432828493152</v>
      </c>
      <c r="BH15" s="1777">
        <f t="shared" si="24"/>
        <v>182.51223731506849</v>
      </c>
      <c r="BI15" s="1777">
        <f t="shared" si="24"/>
        <v>187.92537731506849</v>
      </c>
      <c r="BJ15" s="1777">
        <f t="shared" si="24"/>
        <v>193.37143525479453</v>
      </c>
      <c r="BK15" s="1777">
        <f t="shared" si="24"/>
        <v>199.30434138082194</v>
      </c>
      <c r="BL15" s="1777">
        <f t="shared" si="24"/>
        <v>205.40846732054794</v>
      </c>
      <c r="BM15" s="1777">
        <f t="shared" si="24"/>
        <v>46.455122564383558</v>
      </c>
      <c r="BO15" s="1739">
        <f t="shared" si="15"/>
        <v>2031</v>
      </c>
      <c r="BP15" s="1742">
        <f>_xlfn.IFNA(INDEX($AR15:$AX15,MATCH(BO15,$AR$2:$AX$2,0))*12/365*[11]核心假设及结论!$C$70*$H15,0)</f>
        <v>169957.76547945206</v>
      </c>
      <c r="BR15" s="1739">
        <f t="shared" si="20"/>
        <v>2039</v>
      </c>
      <c r="BS15" s="1742">
        <f>_xlfn.IFNA(INDEX($AR15:$AX15,MATCH(BR15,$AR$2:$AX$2,0))*12/365*[11]核心假设及结论!$C$70*$H15,0)</f>
        <v>0</v>
      </c>
      <c r="BU15" s="1739">
        <f t="shared" si="21"/>
        <v>2047</v>
      </c>
      <c r="BV15" s="1742">
        <f>_xlfn.IFNA(INDEX($AR15:$AX15,MATCH(BU15,$AR$2:$AX$2,0))*12/365*[11]核心假设及结论!$C$70*$H15,0)</f>
        <v>0</v>
      </c>
      <c r="BX15" s="1739">
        <f t="shared" si="22"/>
        <v>2055</v>
      </c>
      <c r="BY15" s="1742">
        <f>_xlfn.IFNA(INDEX($AR15:$AX15,MATCH(BX15,$AR$2:$AX$2,0))*12/365*[11]核心假设及结论!$C$70*$H15,0)</f>
        <v>0</v>
      </c>
      <c r="CA15" s="1739">
        <f t="shared" si="23"/>
        <v>2063</v>
      </c>
      <c r="CB15" s="1742">
        <f>_xlfn.IFNA(INDEX($AR15:$AX15,MATCH(CA15,$AR$2:$AX$2,0))*12/365*[11]核心假设及结论!$C$70*$H15,0)</f>
        <v>0</v>
      </c>
    </row>
    <row r="16" spans="1:80" ht="30" customHeight="1">
      <c r="A16" s="1756" t="s">
        <v>1662</v>
      </c>
      <c r="B16" s="1757" t="s">
        <v>1701</v>
      </c>
      <c r="C16" s="1756" t="s">
        <v>1702</v>
      </c>
      <c r="D16" s="1756" t="s">
        <v>1685</v>
      </c>
      <c r="E16" s="1758" t="s">
        <v>1692</v>
      </c>
      <c r="F16" s="1759"/>
      <c r="G16" s="1760" t="s">
        <v>1693</v>
      </c>
      <c r="H16" s="1761">
        <v>1757</v>
      </c>
      <c r="I16" s="1761" t="s">
        <v>1678</v>
      </c>
      <c r="J16" s="1773">
        <v>44843</v>
      </c>
      <c r="K16" s="1773">
        <v>47034</v>
      </c>
      <c r="L16" s="1764">
        <f t="shared" si="1"/>
        <v>72</v>
      </c>
      <c r="M16" s="1774">
        <f t="shared" si="16"/>
        <v>537710.27888500004</v>
      </c>
      <c r="N16" s="1775">
        <f t="shared" si="17"/>
        <v>306.03886106146842</v>
      </c>
      <c r="O16" s="1760">
        <v>537710.27888500004</v>
      </c>
      <c r="P16" s="1776">
        <v>8.3000000000000004E-2</v>
      </c>
      <c r="Q16" s="1783">
        <f t="shared" si="2"/>
        <v>0</v>
      </c>
      <c r="R16" s="1784">
        <v>0</v>
      </c>
      <c r="S16" s="1777">
        <f t="shared" si="3"/>
        <v>0</v>
      </c>
      <c r="T16" s="1777">
        <v>0</v>
      </c>
      <c r="U16" s="1777"/>
      <c r="V16" s="1785">
        <v>6478437.0949999997</v>
      </c>
      <c r="W16" s="1785">
        <f t="shared" si="4"/>
        <v>3687.2151935116676</v>
      </c>
      <c r="X16" s="1786">
        <f>(N16+Q16+S16)*H16/V16</f>
        <v>8.3000000000000004E-2</v>
      </c>
      <c r="Y16" s="1789">
        <f>VLOOKUP(E16,[11]核心假设及结论!$C$25:$E$45,3,0)</f>
        <v>0.2</v>
      </c>
      <c r="Z16" s="1790">
        <f t="shared" si="6"/>
        <v>0</v>
      </c>
      <c r="AA16" s="1790">
        <f t="shared" si="6"/>
        <v>0</v>
      </c>
      <c r="AB16" s="1790">
        <f t="shared" si="6"/>
        <v>0</v>
      </c>
      <c r="AC16" s="1790">
        <f t="shared" si="6"/>
        <v>0</v>
      </c>
      <c r="AD16" s="1790">
        <f t="shared" si="6"/>
        <v>0</v>
      </c>
      <c r="AE16" s="1790">
        <f t="shared" si="6"/>
        <v>0</v>
      </c>
      <c r="AF16" s="1790">
        <f t="shared" si="6"/>
        <v>0</v>
      </c>
      <c r="AG16" s="1798">
        <v>0</v>
      </c>
      <c r="AH16" s="1798">
        <v>0</v>
      </c>
      <c r="AI16" s="1798">
        <v>0</v>
      </c>
      <c r="AJ16" s="1798">
        <v>0</v>
      </c>
      <c r="AK16" s="1798">
        <v>0</v>
      </c>
      <c r="AL16" s="1798">
        <v>0</v>
      </c>
      <c r="AM16" s="1798">
        <v>0</v>
      </c>
      <c r="AN16" s="1795"/>
      <c r="AO16" s="1795"/>
      <c r="AP16" s="1808">
        <f t="shared" si="18"/>
        <v>0.41499999999999998</v>
      </c>
      <c r="AQ16" s="1810">
        <f>IF(AP16&gt;[11]核心假设及结论!$B$59,[11]核心假设及结论!$D$59,IF(AP16&lt;=[11]核心假设及结论!$B$58,[11]核心假设及结论!$D$57,[11]核心假设及结论!$D$58))</f>
        <v>1.0342640124442799</v>
      </c>
      <c r="AR16" s="1809">
        <f t="shared" si="19"/>
        <v>0</v>
      </c>
      <c r="AS16" s="1809">
        <f>AH16*(AS$2&lt;=YEAR($K16))+AR16*$AQ16*(AS$2=YEAR($K16)+1)+VLOOKUP($D16,[11]核心假设及结论!$B$17:$E$21,4)*(AS$2&gt;YEAR($K16)+1)*AR16</f>
        <v>0</v>
      </c>
      <c r="AT16" s="1809">
        <f>AI16*(AT$2&lt;=YEAR($K16))+AS16*$AQ16*(AT$2=YEAR($K16)+1)+VLOOKUP($D16,[11]核心假设及结论!$B$17:$E$21,4)*(AT$2&gt;YEAR($K16)+1)*AS16</f>
        <v>0</v>
      </c>
      <c r="AU16" s="1809">
        <f>AJ16*(AU$2&lt;=YEAR($K16))+AT16*$AQ16*(AU$2=YEAR($K16)+1)+VLOOKUP($D16,[11]核心假设及结论!$B$17:$E$21,4)*(AU$2&gt;YEAR($K16)+1)*AT16</f>
        <v>0</v>
      </c>
      <c r="AV16" s="1811">
        <f>AK16*(AV$2&lt;=YEAR($K16))+AU16*$AQ16*(AV$2=YEAR($K16)+1)+VLOOKUP($D16,[11]核心假设及结论!$B$17:$E$21,4)*(AV$2&gt;YEAR($K16)+1)*AU16</f>
        <v>0</v>
      </c>
      <c r="AW16" s="1809">
        <f>AL16*(AW$2&lt;=YEAR($K16))+AV16*$AQ16*(AW$2=YEAR($K16)+1)+VLOOKUP($D16,[11]核心假设及结论!$B$17:$E$21,4)*(AW$2&gt;YEAR($K16)+1)*AV16</f>
        <v>0</v>
      </c>
      <c r="AX16" s="1809">
        <f>AM16*(AX$2&lt;=YEAR($K16))+AW16*$AQ16*(AX$2=YEAR($K16)+1)+VLOOKUP($D16,[11]核心假设及结论!$B$17:$E$21,4)*(AX$2&gt;YEAR($K16)+1)*AW16</f>
        <v>0</v>
      </c>
      <c r="AZ16" s="1746">
        <f t="shared" si="7"/>
        <v>47034</v>
      </c>
      <c r="BA16" s="1817">
        <f t="shared" si="8"/>
        <v>45658</v>
      </c>
      <c r="BB16" s="1817">
        <f t="shared" si="9"/>
        <v>45938</v>
      </c>
      <c r="BC16" s="1817">
        <f t="shared" si="10"/>
        <v>46022</v>
      </c>
      <c r="BD16" s="1818">
        <f t="shared" si="11"/>
        <v>281</v>
      </c>
      <c r="BE16" s="1818">
        <f t="shared" si="12"/>
        <v>84</v>
      </c>
      <c r="BG16" s="1820">
        <v>0</v>
      </c>
      <c r="BH16" s="1820">
        <v>0</v>
      </c>
      <c r="BI16" s="1820">
        <v>0</v>
      </c>
      <c r="BJ16" s="1820">
        <v>0</v>
      </c>
      <c r="BK16" s="1820">
        <v>0</v>
      </c>
      <c r="BL16" s="1820">
        <v>0</v>
      </c>
      <c r="BM16" s="1820">
        <v>0</v>
      </c>
      <c r="BO16" s="1739">
        <f t="shared" si="15"/>
        <v>2028</v>
      </c>
      <c r="BP16" s="1742">
        <f>_xlfn.IFNA(INDEX($AR16:$AX16,MATCH(BO16,$AR$2:$AX$2,0))*12/365*[11]核心假设及结论!$C$70*$H16,0)</f>
        <v>0</v>
      </c>
      <c r="BR16" s="1739">
        <f t="shared" si="20"/>
        <v>2034</v>
      </c>
      <c r="BS16" s="1742">
        <f>_xlfn.IFNA(INDEX($AR16:$AX16,MATCH(BR16,$AR$2:$AX$2,0))*12/365*[11]核心假设及结论!$C$70*$H16,0)</f>
        <v>0</v>
      </c>
      <c r="BU16" s="1739">
        <f t="shared" si="21"/>
        <v>2040</v>
      </c>
      <c r="BV16" s="1742">
        <f>_xlfn.IFNA(INDEX($AR16:$AX16,MATCH(BU16,$AR$2:$AX$2,0))*12/365*[11]核心假设及结论!$C$70*$H16,0)</f>
        <v>0</v>
      </c>
      <c r="BX16" s="1739">
        <f t="shared" si="22"/>
        <v>2046</v>
      </c>
      <c r="BY16" s="1742">
        <f>_xlfn.IFNA(INDEX($AR16:$AX16,MATCH(BX16,$AR$2:$AX$2,0))*12/365*[11]核心假设及结论!$C$70*$H16,0)</f>
        <v>0</v>
      </c>
      <c r="CA16" s="1739">
        <f t="shared" si="23"/>
        <v>2052</v>
      </c>
      <c r="CB16" s="1742">
        <f>_xlfn.IFNA(INDEX($AR16:$AX16,MATCH(CA16,$AR$2:$AX$2,0))*12/365*[11]核心假设及结论!$C$70*$H16,0)</f>
        <v>0</v>
      </c>
    </row>
    <row r="17" spans="1:80" ht="30" customHeight="1">
      <c r="A17" s="1756" t="s">
        <v>1662</v>
      </c>
      <c r="B17" s="1757" t="s">
        <v>1703</v>
      </c>
      <c r="C17" s="1756" t="s">
        <v>1704</v>
      </c>
      <c r="D17" s="1756" t="s">
        <v>1685</v>
      </c>
      <c r="E17" s="1758" t="s">
        <v>1692</v>
      </c>
      <c r="F17" s="1759"/>
      <c r="G17" s="1760" t="s">
        <v>1661</v>
      </c>
      <c r="H17" s="1761">
        <v>1592</v>
      </c>
      <c r="I17" s="1761" t="s">
        <v>1678</v>
      </c>
      <c r="J17" s="1773">
        <v>43965</v>
      </c>
      <c r="K17" s="1773">
        <v>48713</v>
      </c>
      <c r="L17" s="1764">
        <f t="shared" si="1"/>
        <v>157</v>
      </c>
      <c r="M17" s="1774">
        <f t="shared" si="16"/>
        <v>589026.03</v>
      </c>
      <c r="N17" s="1775">
        <f t="shared" si="17"/>
        <v>290.77339824120605</v>
      </c>
      <c r="O17" s="1760">
        <v>462911.25</v>
      </c>
      <c r="P17" s="1776">
        <v>0.105</v>
      </c>
      <c r="Q17" s="1783">
        <f t="shared" si="2"/>
        <v>63.731155778894475</v>
      </c>
      <c r="R17" s="1784">
        <v>101460</v>
      </c>
      <c r="S17" s="1777">
        <f t="shared" si="3"/>
        <v>15.486670854271356</v>
      </c>
      <c r="T17" s="1777">
        <v>24654.78</v>
      </c>
      <c r="U17" s="1777"/>
      <c r="V17" s="1785">
        <v>3081230.0883333301</v>
      </c>
      <c r="W17" s="1785">
        <f t="shared" si="4"/>
        <v>1935.4460353852576</v>
      </c>
      <c r="X17" s="1786">
        <f t="shared" ref="X17:X29" si="25">(N17+Q17)*H17/V17</f>
        <v>0.1831642668091932</v>
      </c>
      <c r="Y17" s="1789">
        <f>VLOOKUP(E17,[11]核心假设及结论!$C$25:$E$45,3,0)</f>
        <v>0.2</v>
      </c>
      <c r="Z17" s="1790">
        <f t="shared" si="6"/>
        <v>462911.24999999994</v>
      </c>
      <c r="AA17" s="1790">
        <f t="shared" si="6"/>
        <v>338968.63999999996</v>
      </c>
      <c r="AB17" s="1790">
        <f t="shared" si="6"/>
        <v>363182.96</v>
      </c>
      <c r="AC17" s="1790">
        <f t="shared" si="6"/>
        <v>387381.36000000004</v>
      </c>
      <c r="AD17" s="1790">
        <f t="shared" si="6"/>
        <v>411595.68000000005</v>
      </c>
      <c r="AE17" s="1790">
        <f t="shared" si="6"/>
        <v>435810</v>
      </c>
      <c r="AF17" s="1790">
        <f t="shared" si="6"/>
        <v>460024.31999999995</v>
      </c>
      <c r="AG17" s="1794">
        <v>290.773398241206</v>
      </c>
      <c r="AH17" s="1794">
        <v>212.92</v>
      </c>
      <c r="AI17" s="1794">
        <v>228.13</v>
      </c>
      <c r="AJ17" s="1794">
        <v>243.33</v>
      </c>
      <c r="AK17" s="1794">
        <v>258.54000000000002</v>
      </c>
      <c r="AL17" s="1794">
        <v>273.75</v>
      </c>
      <c r="AM17" s="1794">
        <v>288.95999999999998</v>
      </c>
      <c r="AN17" s="1795"/>
      <c r="AO17" s="1795"/>
      <c r="AP17" s="1808">
        <f t="shared" si="18"/>
        <v>0.915821334045966</v>
      </c>
      <c r="AQ17" s="1810">
        <f>IF(AP17&gt;[11]核心假设及结论!$B$59,[11]核心假设及结论!$D$59,IF(AP17&lt;=[11]核心假设及结论!$B$58,[11]核心假设及结论!$D$57,[11]核心假设及结论!$D$58))</f>
        <v>1.0342640124442799</v>
      </c>
      <c r="AR17" s="1809">
        <f t="shared" si="19"/>
        <v>290.773398241206</v>
      </c>
      <c r="AS17" s="1809">
        <f>AH17*(AS$2&lt;=YEAR($K17))+AR17*$AQ17*(AS$2=YEAR($K17)+1)+INDEX([11]核心假设及结论!$E$17:$E$21,MATCH($D17,[11]核心假设及结论!$B$17:$B$21,0))*(AS$2&gt;YEAR($K17)+1)*AR17</f>
        <v>212.92</v>
      </c>
      <c r="AT17" s="1809">
        <f>AI17*(AT$2&lt;=YEAR($K17))+AS17*$AQ17*(AT$2=YEAR($K17)+1)+INDEX([11]核心假设及结论!$E$17:$E$21,MATCH($D17,[11]核心假设及结论!$B$17:$B$21,0))*(AT$2&gt;YEAR($K17)+1)*AS17</f>
        <v>228.13</v>
      </c>
      <c r="AU17" s="1809">
        <f>AJ17*(AU$2&lt;=YEAR($K17))+AT17*$AQ17*(AU$2=YEAR($K17)+1)+INDEX([11]核心假设及结论!$E$17:$E$21,MATCH($D17,[11]核心假设及结论!$B$17:$B$21,0))*(AU$2&gt;YEAR($K17)+1)*AT17</f>
        <v>243.33</v>
      </c>
      <c r="AV17" s="1809">
        <f>AK17*(AV$2&lt;=YEAR($K17))+AU17*$AQ17*(AV$2=YEAR($K17)+1)+INDEX([11]核心假设及结论!$E$17:$E$21,MATCH($D17,[11]核心假设及结论!$B$17:$B$21,0))*(AV$2&gt;YEAR($K17)+1)*AU17</f>
        <v>258.54000000000002</v>
      </c>
      <c r="AW17" s="1809">
        <f>AL17*(AW$2&lt;=YEAR($K17))+AV17*$AQ17*(AW$2=YEAR($K17)+1)+INDEX([11]核心假设及结论!$E$17:$E$21,MATCH($D17,[11]核心假设及结论!$B$17:$B$21,0))*(AW$2&gt;YEAR($K17)+1)*AV17</f>
        <v>273.75</v>
      </c>
      <c r="AX17" s="1809">
        <f>AM17*(AX$2&lt;=YEAR($K17))+AW17*$AQ17*(AX$2=YEAR($K17)+1)+INDEX([11]核心假设及结论!$E$17:$E$21,MATCH($D17,[11]核心假设及结论!$B$17:$B$21,0))*(AX$2&gt;YEAR($K17)+1)*AW17</f>
        <v>288.95999999999998</v>
      </c>
      <c r="AZ17" s="1746">
        <f t="shared" si="7"/>
        <v>48713</v>
      </c>
      <c r="BA17" s="1817">
        <f t="shared" si="8"/>
        <v>45658</v>
      </c>
      <c r="BB17" s="1817">
        <f t="shared" si="9"/>
        <v>45791</v>
      </c>
      <c r="BC17" s="1817">
        <f t="shared" si="10"/>
        <v>46022</v>
      </c>
      <c r="BD17" s="1818">
        <f t="shared" si="11"/>
        <v>134</v>
      </c>
      <c r="BE17" s="1818">
        <f t="shared" si="12"/>
        <v>231</v>
      </c>
      <c r="BG17" s="1777">
        <f>(AR17*$BD17*$H17*12/365+BE17*AS17*$H17*12/365)/10000</f>
        <v>461.36503015890412</v>
      </c>
      <c r="BH17" s="1777">
        <f t="shared" ref="BH17:BM32" si="26">(AS17*$BD17*$H17*12/365+$BE17*AT17*$H17*12/365)/10000</f>
        <v>425.15198307945207</v>
      </c>
      <c r="BI17" s="1777">
        <f t="shared" si="26"/>
        <v>454.19707660273974</v>
      </c>
      <c r="BJ17" s="1777">
        <f t="shared" si="26"/>
        <v>483.24724707945205</v>
      </c>
      <c r="BK17" s="1777">
        <f t="shared" si="26"/>
        <v>512.304431079452</v>
      </c>
      <c r="BL17" s="1777">
        <f t="shared" si="26"/>
        <v>541.36161507945212</v>
      </c>
      <c r="BM17" s="1777">
        <f t="shared" si="26"/>
        <v>202.66276892054796</v>
      </c>
      <c r="BO17" s="1739">
        <f t="shared" si="15"/>
        <v>2033</v>
      </c>
      <c r="BP17" s="1742">
        <f>_xlfn.IFNA(INDEX($AR17:$AX17,MATCH(BO17,$AR$2:$AX$2,0))*12/365*[11]核心假设及结论!$C$70*$H17,0)</f>
        <v>0</v>
      </c>
      <c r="BR17" s="1739">
        <f t="shared" si="20"/>
        <v>2046</v>
      </c>
      <c r="BS17" s="1742">
        <f>_xlfn.IFNA(INDEX($AR17:$AX17,MATCH(BR17,$AR$2:$AX$2,0))*12/365*[11]核心假设及结论!$C$70*$H17,0)</f>
        <v>0</v>
      </c>
      <c r="BU17" s="1739">
        <f t="shared" si="21"/>
        <v>2059</v>
      </c>
      <c r="BV17" s="1742">
        <f>_xlfn.IFNA(INDEX($AR17:$AX17,MATCH(BU17,$AR$2:$AX$2,0))*12/365*[11]核心假设及结论!$C$70*$H17,0)</f>
        <v>0</v>
      </c>
      <c r="BX17" s="1739">
        <f t="shared" si="22"/>
        <v>2072</v>
      </c>
      <c r="BY17" s="1742">
        <f>_xlfn.IFNA(INDEX($AR17:$AX17,MATCH(BX17,$AR$2:$AX$2,0))*12/365*[11]核心假设及结论!$C$70*$H17,0)</f>
        <v>0</v>
      </c>
      <c r="CA17" s="1739">
        <f t="shared" si="23"/>
        <v>2085</v>
      </c>
      <c r="CB17" s="1742">
        <f>_xlfn.IFNA(INDEX($AR17:$AX17,MATCH(CA17,$AR$2:$AX$2,0))*12/365*[11]核心假设及结论!$C$70*$H17,0)</f>
        <v>0</v>
      </c>
    </row>
    <row r="18" spans="1:80" ht="30" customHeight="1">
      <c r="A18" s="1756" t="s">
        <v>1666</v>
      </c>
      <c r="B18" s="1757" t="s">
        <v>1705</v>
      </c>
      <c r="C18" s="1756" t="s">
        <v>1706</v>
      </c>
      <c r="D18" s="1756" t="s">
        <v>1698</v>
      </c>
      <c r="E18" s="1758" t="s">
        <v>1698</v>
      </c>
      <c r="F18" s="1759"/>
      <c r="G18" s="1760" t="s">
        <v>1661</v>
      </c>
      <c r="H18" s="1761">
        <v>1588</v>
      </c>
      <c r="I18" s="1761" t="s">
        <v>1678</v>
      </c>
      <c r="J18" s="1773">
        <v>45352</v>
      </c>
      <c r="K18" s="1773">
        <v>47360</v>
      </c>
      <c r="L18" s="1764">
        <f t="shared" si="1"/>
        <v>66</v>
      </c>
      <c r="M18" s="1774">
        <f t="shared" si="16"/>
        <v>322189.32</v>
      </c>
      <c r="N18" s="1775">
        <f t="shared" si="17"/>
        <v>129.02000000000001</v>
      </c>
      <c r="O18" s="1760">
        <v>204883.76</v>
      </c>
      <c r="P18" s="1776">
        <v>7.0000000000000007E-2</v>
      </c>
      <c r="Q18" s="1783">
        <f t="shared" si="2"/>
        <v>66.149999999999991</v>
      </c>
      <c r="R18" s="1784">
        <v>105046.2</v>
      </c>
      <c r="S18" s="1777">
        <f t="shared" si="3"/>
        <v>7.7200000000000006</v>
      </c>
      <c r="T18" s="1784">
        <v>12259.36</v>
      </c>
      <c r="U18" s="1777"/>
      <c r="V18" s="1785">
        <v>1512075.4741666701</v>
      </c>
      <c r="W18" s="1785">
        <f t="shared" si="4"/>
        <v>952.18858574727335</v>
      </c>
      <c r="X18" s="1786">
        <f t="shared" si="25"/>
        <v>0.20496990083832128</v>
      </c>
      <c r="Y18" s="1789">
        <f>VLOOKUP(E18,[11]核心假设及结论!$C$25:$E$45,3,0)</f>
        <v>0.2</v>
      </c>
      <c r="Z18" s="1790">
        <f t="shared" si="6"/>
        <v>210981.68000000002</v>
      </c>
      <c r="AA18" s="1790">
        <f t="shared" si="6"/>
        <v>217571.87999999998</v>
      </c>
      <c r="AB18" s="1790">
        <f t="shared" si="6"/>
        <v>224162.08</v>
      </c>
      <c r="AC18" s="1790">
        <f t="shared" si="6"/>
        <v>230768.16</v>
      </c>
      <c r="AD18" s="1790">
        <f t="shared" si="6"/>
        <v>237850.64</v>
      </c>
      <c r="AE18" s="1790">
        <f t="shared" si="6"/>
        <v>0</v>
      </c>
      <c r="AF18" s="1790">
        <f t="shared" si="6"/>
        <v>0</v>
      </c>
      <c r="AG18" s="1794">
        <v>132.86000000000001</v>
      </c>
      <c r="AH18" s="1794">
        <v>137.01</v>
      </c>
      <c r="AI18" s="1794">
        <v>141.16</v>
      </c>
      <c r="AJ18" s="1794">
        <v>145.32</v>
      </c>
      <c r="AK18" s="1794">
        <v>149.78</v>
      </c>
      <c r="AL18" s="1794">
        <v>0</v>
      </c>
      <c r="AM18" s="1794">
        <v>0</v>
      </c>
      <c r="AN18" s="1797"/>
      <c r="AO18" s="1797"/>
      <c r="AP18" s="1808">
        <f t="shared" si="18"/>
        <v>1.0248495041916064</v>
      </c>
      <c r="AQ18" s="1812">
        <f>IF(AP18&gt;[11]核心假设及结论!$B$62,[11]核心假设及结论!$D$62,IF(AP18&lt;=[11]核心假设及结论!$B$61,[11]核心假设及结论!$D$60,[11]核心假设及结论!$D$61))</f>
        <v>1.0489999999999999</v>
      </c>
      <c r="AR18" s="1809">
        <f t="shared" si="19"/>
        <v>132.86000000000001</v>
      </c>
      <c r="AS18" s="1809">
        <f>AH18*(AS$2&lt;=YEAR($K18))+AR18*$AQ18*(AS$2=YEAR($K18)+1)+INDEX([11]核心假设及结论!$E$17:$E$21,MATCH($D18,[11]核心假设及结论!$B$17:$B$21,0))*(AS$2&gt;YEAR($K18)+1)*AR18</f>
        <v>137.01</v>
      </c>
      <c r="AT18" s="1809">
        <f>AI18*(AT$2&lt;=YEAR($K18))+AS18*$AQ18*(AT$2=YEAR($K18)+1)+INDEX([11]核心假设及结论!$E$17:$E$21,MATCH($D18,[11]核心假设及结论!$B$17:$B$21,0))*(AT$2&gt;YEAR($K18)+1)*AS18</f>
        <v>141.16</v>
      </c>
      <c r="AU18" s="1809">
        <f>AJ18*(AU$2&lt;=YEAR($K18))+AT18*$AQ18*(AU$2=YEAR($K18)+1)+INDEX([11]核心假设及结论!$E$17:$E$21,MATCH($D18,[11]核心假设及结论!$B$17:$B$21,0))*(AU$2&gt;YEAR($K18)+1)*AT18</f>
        <v>145.32</v>
      </c>
      <c r="AV18" s="1809">
        <f>AK18*(AV$2&lt;=YEAR($K18))+AU18*$AQ18*(AV$2=YEAR($K18)+1)+INDEX([11]核心假设及结论!$E$17:$E$21,MATCH($D18,[11]核心假设及结论!$B$17:$B$21,0))*(AV$2&gt;YEAR($K18)+1)*AU18</f>
        <v>149.78</v>
      </c>
      <c r="AW18" s="1811">
        <f>AL18*(AW$2&lt;=YEAR($K18))+AV18*$AQ18*(AW$2=YEAR($K18)+1)+INDEX([11]核心假设及结论!$E$17:$E$21,MATCH($D18,[11]核心假设及结论!$B$17:$B$21,0))*(AW$2&gt;YEAR($K18)+1)*AV18</f>
        <v>157.11921999999998</v>
      </c>
      <c r="AX18" s="1809">
        <f>AM18*(AX$2&lt;=YEAR($K18))+AW18*$AQ18*(AX$2=YEAR($K18)+1)+INDEX([11]核心假设及结论!$E$17:$E$21,MATCH($D18,[11]核心假设及结论!$B$17:$B$21,0))*(AX$2&gt;YEAR($K18)+1)*AW18</f>
        <v>161.92980284923433</v>
      </c>
      <c r="AZ18" s="1746">
        <f t="shared" si="7"/>
        <v>47360</v>
      </c>
      <c r="BA18" s="1817">
        <f t="shared" si="8"/>
        <v>45658</v>
      </c>
      <c r="BB18" s="1817">
        <f t="shared" si="9"/>
        <v>45899</v>
      </c>
      <c r="BC18" s="1817">
        <f t="shared" si="10"/>
        <v>46022</v>
      </c>
      <c r="BD18" s="1818">
        <f t="shared" si="11"/>
        <v>242</v>
      </c>
      <c r="BE18" s="1818">
        <f t="shared" si="12"/>
        <v>123</v>
      </c>
      <c r="BG18" s="1777">
        <f>(AR18*$BD18*$H18*12/365+BE18*AS18*$H18*12/365)/10000</f>
        <v>255.84298454794521</v>
      </c>
      <c r="BH18" s="1777">
        <f t="shared" si="26"/>
        <v>263.75122454794518</v>
      </c>
      <c r="BI18" s="1777">
        <f t="shared" si="26"/>
        <v>271.66588615890407</v>
      </c>
      <c r="BJ18" s="1777">
        <f t="shared" si="26"/>
        <v>279.78583048767121</v>
      </c>
      <c r="BK18" s="1777">
        <f t="shared" si="26"/>
        <v>290.13372955818085</v>
      </c>
      <c r="BL18" s="1777">
        <f t="shared" si="26"/>
        <v>302.4955547863359</v>
      </c>
      <c r="BM18" s="1777">
        <f t="shared" si="26"/>
        <v>204.58841265451844</v>
      </c>
      <c r="BO18" s="1739">
        <f t="shared" si="15"/>
        <v>2029</v>
      </c>
      <c r="BP18" s="1742">
        <f>_xlfn.IFNA(INDEX($AR18:$AX18,MATCH(BO18,$AR$2:$AX$2,0))*12/365*[11]核心假设及结论!$C$70*$H18,0)</f>
        <v>234592.41205479455</v>
      </c>
      <c r="BR18" s="1739">
        <f t="shared" si="20"/>
        <v>2035</v>
      </c>
      <c r="BS18" s="1742">
        <f>_xlfn.IFNA(INDEX($AR18:$AX18,MATCH(BR18,$AR$2:$AX$2,0))*12/365*[11]核心假设及结论!$C$70*$H18,0)</f>
        <v>0</v>
      </c>
      <c r="BU18" s="1739">
        <f t="shared" si="21"/>
        <v>2041</v>
      </c>
      <c r="BV18" s="1742">
        <f>_xlfn.IFNA(INDEX($AR18:$AX18,MATCH(BU18,$AR$2:$AX$2,0))*12/365*[11]核心假设及结论!$C$70*$H18,0)</f>
        <v>0</v>
      </c>
      <c r="BX18" s="1739">
        <f t="shared" si="22"/>
        <v>2047</v>
      </c>
      <c r="BY18" s="1742">
        <f>_xlfn.IFNA(INDEX($AR18:$AX18,MATCH(BX18,$AR$2:$AX$2,0))*12/365*[11]核心假设及结论!$C$70*$H18,0)</f>
        <v>0</v>
      </c>
      <c r="CA18" s="1739">
        <f t="shared" si="23"/>
        <v>2053</v>
      </c>
      <c r="CB18" s="1742">
        <f>_xlfn.IFNA(INDEX($AR18:$AX18,MATCH(CA18,$AR$2:$AX$2,0))*12/365*[11]核心假设及结论!$C$70*$H18,0)</f>
        <v>0</v>
      </c>
    </row>
    <row r="19" spans="1:80" ht="30" customHeight="1">
      <c r="A19" s="1756" t="s">
        <v>1687</v>
      </c>
      <c r="B19" s="1757" t="s">
        <v>1707</v>
      </c>
      <c r="C19" s="1756" t="s">
        <v>1708</v>
      </c>
      <c r="D19" s="1756" t="s">
        <v>1685</v>
      </c>
      <c r="E19" s="1758" t="s">
        <v>1709</v>
      </c>
      <c r="F19" s="1759"/>
      <c r="G19" s="1760" t="s">
        <v>1661</v>
      </c>
      <c r="H19" s="1761">
        <v>1470</v>
      </c>
      <c r="I19" s="1761" t="s">
        <v>1678</v>
      </c>
      <c r="J19" s="1773">
        <v>45863</v>
      </c>
      <c r="K19" s="1773">
        <v>47598</v>
      </c>
      <c r="L19" s="1764">
        <f t="shared" si="1"/>
        <v>58</v>
      </c>
      <c r="M19" s="1774">
        <f t="shared" si="16"/>
        <v>321106.8</v>
      </c>
      <c r="N19" s="1775">
        <f t="shared" si="17"/>
        <v>159.69</v>
      </c>
      <c r="O19" s="1760">
        <v>234744.3</v>
      </c>
      <c r="P19" s="1776">
        <v>0.06</v>
      </c>
      <c r="Q19" s="1783">
        <f t="shared" si="2"/>
        <v>52.75</v>
      </c>
      <c r="R19" s="1784">
        <v>77542.5</v>
      </c>
      <c r="S19" s="1777">
        <f t="shared" si="3"/>
        <v>6</v>
      </c>
      <c r="T19" s="1777">
        <v>8820</v>
      </c>
      <c r="U19" s="1777"/>
      <c r="V19" s="1785">
        <v>2981841.2966666701</v>
      </c>
      <c r="W19" s="1785">
        <f t="shared" si="4"/>
        <v>2028.4634671201839</v>
      </c>
      <c r="X19" s="1786">
        <f t="shared" si="25"/>
        <v>0.10472951741231099</v>
      </c>
      <c r="Y19" s="1789">
        <f>VLOOKUP(E19,[11]核心假设及结论!$C$25:$E$45,3,0)</f>
        <v>0.2</v>
      </c>
      <c r="Z19" s="1790">
        <f t="shared" si="6"/>
        <v>246372</v>
      </c>
      <c r="AA19" s="1790">
        <f t="shared" si="6"/>
        <v>205682.4</v>
      </c>
      <c r="AB19" s="1790">
        <f t="shared" si="6"/>
        <v>210151.2</v>
      </c>
      <c r="AC19" s="1790">
        <f t="shared" si="6"/>
        <v>214620</v>
      </c>
      <c r="AD19" s="1790">
        <f t="shared" si="6"/>
        <v>219088.8</v>
      </c>
      <c r="AE19" s="1790">
        <f t="shared" si="6"/>
        <v>223557.6</v>
      </c>
      <c r="AF19" s="1790">
        <f t="shared" si="6"/>
        <v>0</v>
      </c>
      <c r="AG19" s="1794">
        <v>167.6</v>
      </c>
      <c r="AH19" s="1794">
        <v>139.91999999999999</v>
      </c>
      <c r="AI19" s="1794">
        <v>142.96</v>
      </c>
      <c r="AJ19" s="1794">
        <v>146</v>
      </c>
      <c r="AK19" s="1794">
        <v>149.04</v>
      </c>
      <c r="AL19" s="1794">
        <v>152.08000000000001</v>
      </c>
      <c r="AM19" s="1794">
        <v>0</v>
      </c>
      <c r="AN19" s="1795"/>
      <c r="AO19" s="1795"/>
      <c r="AP19" s="1808">
        <f t="shared" si="18"/>
        <v>0.5236475870615549</v>
      </c>
      <c r="AQ19" s="1810">
        <f>IF(AP19&gt;[11]核心假设及结论!$B$59,[11]核心假设及结论!$D$59,IF(AP19&lt;=[11]核心假设及结论!$B$58,[11]核心假设及结论!$D$57,[11]核心假设及结论!$D$58))</f>
        <v>1.0342640124442799</v>
      </c>
      <c r="AR19" s="1809">
        <f t="shared" si="19"/>
        <v>167.6</v>
      </c>
      <c r="AS19" s="1809">
        <f>AH19*(AS$2&lt;=YEAR($K19))+AR19*$AQ19*(AS$2=YEAR($K19)+1)+INDEX([11]核心假设及结论!$E$17:$E$21,MATCH($D19,[11]核心假设及结论!$B$17:$B$21,0))*(AS$2&gt;YEAR($K19)+1)*AR19</f>
        <v>139.91999999999999</v>
      </c>
      <c r="AT19" s="1809">
        <f>AI19*(AT$2&lt;=YEAR($K19))+AS19*$AQ19*(AT$2=YEAR($K19)+1)+INDEX([11]核心假设及结论!$E$17:$E$21,MATCH($D19,[11]核心假设及结论!$B$17:$B$21,0))*(AT$2&gt;YEAR($K19)+1)*AS19</f>
        <v>142.96</v>
      </c>
      <c r="AU19" s="1809">
        <f>AJ19*(AU$2&lt;=YEAR($K19))+AT19*$AQ19*(AU$2=YEAR($K19)+1)+INDEX([11]核心假设及结论!$E$17:$E$21,MATCH($D19,[11]核心假设及结论!$B$17:$B$21,0))*(AU$2&gt;YEAR($K19)+1)*AT19</f>
        <v>146</v>
      </c>
      <c r="AV19" s="1809">
        <f>AK19*(AV$2&lt;=YEAR($K19))+AU19*$AQ19*(AV$2=YEAR($K19)+1)+INDEX([11]核心假设及结论!$E$17:$E$21,MATCH($D19,[11]核心假设及结论!$B$17:$B$21,0))*(AV$2&gt;YEAR($K19)+1)*AU19</f>
        <v>149.04</v>
      </c>
      <c r="AW19" s="1809">
        <f>AL19*(AW$2&lt;=YEAR($K19))+AV19*$AQ19*(AW$2=YEAR($K19)+1)+INDEX([11]核心假设及结论!$E$17:$E$21,MATCH($D19,[11]核心假设及结论!$B$17:$B$21,0))*(AW$2&gt;YEAR($K19)+1)*AV19</f>
        <v>152.08000000000001</v>
      </c>
      <c r="AX19" s="1811">
        <f>AM19*(AX$2&lt;=YEAR($K19))+AW19*$AQ19*(AX$2=YEAR($K19)+1)+INDEX([11]核心假设及结论!$E$17:$E$21,MATCH($D19,[11]核心假设及结论!$B$17:$B$21,0))*(AX$2&gt;YEAR($K19)+1)*AW19</f>
        <v>157.29087101252611</v>
      </c>
      <c r="AZ19" s="1746">
        <f t="shared" si="7"/>
        <v>47598</v>
      </c>
      <c r="BA19" s="1817">
        <f t="shared" si="8"/>
        <v>45658</v>
      </c>
      <c r="BB19" s="1817">
        <f t="shared" si="9"/>
        <v>45772</v>
      </c>
      <c r="BC19" s="1817">
        <f t="shared" si="10"/>
        <v>46022</v>
      </c>
      <c r="BD19" s="1818">
        <f t="shared" si="11"/>
        <v>115</v>
      </c>
      <c r="BE19" s="1818">
        <f t="shared" si="12"/>
        <v>250</v>
      </c>
      <c r="BG19" s="1777">
        <f>(AR19*$BD19*$H19*12/365+BE19*AS19*$H19*12/365)/10000</f>
        <v>262.20289315068493</v>
      </c>
      <c r="BH19" s="1777">
        <f>(AS19*$BD19*$H19*12/365+$BE19*AT19*$H19*12/365)/10000</f>
        <v>250.49186630136984</v>
      </c>
      <c r="BI19" s="1777">
        <f>(AT19*$BD19*$H19*12/365+$BE19*AU19*$H19*12/365)/10000</f>
        <v>255.85442630136987</v>
      </c>
      <c r="BJ19" s="1777">
        <f>(AU19*$BD19*$H19*12/365+$BE19*AV19*$H19*12/365)/10000</f>
        <v>261.2169863013699</v>
      </c>
      <c r="BK19" s="1777">
        <f>(AV19*$BD19*$H19*12/365+$BE19*AW19*$H19*12/365)/10000</f>
        <v>266.57954630136982</v>
      </c>
      <c r="BL19" s="1777">
        <f>(AW19*$BD19*$H19*12/365+$BE19*AX19*$H19*12/365)/10000</f>
        <v>274.56499429184657</v>
      </c>
      <c r="BM19" s="1777">
        <f t="shared" si="26"/>
        <v>87.419249571509724</v>
      </c>
      <c r="BO19" s="1739">
        <f t="shared" si="15"/>
        <v>2030</v>
      </c>
      <c r="BP19" s="1742">
        <f>_xlfn.IFNA(INDEX($AR19:$AX19,MATCH(BO19,$AR$2:$AX$2,0))*12/365*[11]核心假设及结论!$C$70*$H19,0)</f>
        <v>220495.16712328768</v>
      </c>
      <c r="BR19" s="1739">
        <f t="shared" si="20"/>
        <v>2035</v>
      </c>
      <c r="BS19" s="1742">
        <f>_xlfn.IFNA(INDEX($AR19:$AX19,MATCH(BR19,$AR$2:$AX$2,0))*12/365*[11]核心假设及结论!$C$70*$H19,0)</f>
        <v>0</v>
      </c>
      <c r="BU19" s="1739">
        <f t="shared" si="21"/>
        <v>2040</v>
      </c>
      <c r="BV19" s="1742">
        <f>_xlfn.IFNA(INDEX($AR19:$AX19,MATCH(BU19,$AR$2:$AX$2,0))*12/365*[11]核心假设及结论!$C$70*$H19,0)</f>
        <v>0</v>
      </c>
      <c r="BX19" s="1739">
        <f t="shared" si="22"/>
        <v>2045</v>
      </c>
      <c r="BY19" s="1742">
        <f>_xlfn.IFNA(INDEX($AR19:$AX19,MATCH(BX19,$AR$2:$AX$2,0))*12/365*[11]核心假设及结论!$C$70*$H19,0)</f>
        <v>0</v>
      </c>
      <c r="CA19" s="1739">
        <f t="shared" si="23"/>
        <v>2050</v>
      </c>
      <c r="CB19" s="1742">
        <f>_xlfn.IFNA(INDEX($AR19:$AX19,MATCH(CA19,$AR$2:$AX$2,0))*12/365*[11]核心假设及结论!$C$70*$H19,0)</f>
        <v>0</v>
      </c>
    </row>
    <row r="20" spans="1:80" ht="30" customHeight="1">
      <c r="A20" s="1756" t="s">
        <v>1666</v>
      </c>
      <c r="B20" s="1757" t="s">
        <v>1710</v>
      </c>
      <c r="C20" s="1756" t="s">
        <v>1711</v>
      </c>
      <c r="D20" s="1756" t="s">
        <v>1698</v>
      </c>
      <c r="E20" s="1758" t="s">
        <v>1698</v>
      </c>
      <c r="F20" s="1762"/>
      <c r="G20" s="1760" t="s">
        <v>1661</v>
      </c>
      <c r="H20" s="1761">
        <v>1317</v>
      </c>
      <c r="I20" s="1761" t="s">
        <v>1678</v>
      </c>
      <c r="J20" s="1773">
        <v>44856</v>
      </c>
      <c r="K20" s="1773">
        <v>45951</v>
      </c>
      <c r="L20" s="1764">
        <f t="shared" si="1"/>
        <v>36</v>
      </c>
      <c r="M20" s="1774">
        <f t="shared" si="16"/>
        <v>260015.96849999999</v>
      </c>
      <c r="N20" s="1775">
        <f t="shared" si="17"/>
        <v>124.55999999999999</v>
      </c>
      <c r="O20" s="1760">
        <v>164045.51999999999</v>
      </c>
      <c r="P20" s="1776">
        <v>0.1</v>
      </c>
      <c r="Q20" s="1783">
        <f t="shared" si="2"/>
        <v>66.570499999999996</v>
      </c>
      <c r="R20" s="1784">
        <v>87673.348499999993</v>
      </c>
      <c r="S20" s="1777">
        <f t="shared" si="3"/>
        <v>6.3000000000000007</v>
      </c>
      <c r="T20" s="1784">
        <v>8297.1</v>
      </c>
      <c r="U20" s="1777"/>
      <c r="V20" s="1785">
        <v>1098228.9424999999</v>
      </c>
      <c r="W20" s="1785">
        <f t="shared" si="4"/>
        <v>833.88682042520873</v>
      </c>
      <c r="X20" s="1786">
        <f t="shared" si="25"/>
        <v>0.22920436601041408</v>
      </c>
      <c r="Y20" s="1789">
        <f>VLOOKUP(E20,[11]核心假设及结论!$C$25:$E$45,3,0)</f>
        <v>0.2</v>
      </c>
      <c r="Z20" s="1790">
        <f t="shared" si="6"/>
        <v>168246.75</v>
      </c>
      <c r="AA20" s="1790">
        <f t="shared" si="6"/>
        <v>0</v>
      </c>
      <c r="AB20" s="1790">
        <f t="shared" si="6"/>
        <v>0</v>
      </c>
      <c r="AC20" s="1790">
        <f t="shared" si="6"/>
        <v>0</v>
      </c>
      <c r="AD20" s="1790">
        <f t="shared" si="6"/>
        <v>0</v>
      </c>
      <c r="AE20" s="1790">
        <f t="shared" si="6"/>
        <v>0</v>
      </c>
      <c r="AF20" s="1790">
        <f t="shared" si="6"/>
        <v>0</v>
      </c>
      <c r="AG20" s="1794">
        <v>127.75</v>
      </c>
      <c r="AH20" s="1794">
        <v>0</v>
      </c>
      <c r="AI20" s="1794">
        <v>0</v>
      </c>
      <c r="AJ20" s="1794">
        <v>0</v>
      </c>
      <c r="AK20" s="1794">
        <v>0</v>
      </c>
      <c r="AL20" s="1794">
        <v>0</v>
      </c>
      <c r="AM20" s="1794">
        <v>0</v>
      </c>
      <c r="AN20" s="1797"/>
      <c r="AO20" s="1797"/>
      <c r="AP20" s="1808">
        <f t="shared" si="18"/>
        <v>1.1460218300520704</v>
      </c>
      <c r="AQ20" s="1812">
        <f>IF(AP20&gt;[11]核心假设及结论!$B$62,[11]核心假设及结论!$D$62,IF(AP20&lt;=[11]核心假设及结论!$B$61,[11]核心假设及结论!$D$60,[11]核心假设及结论!$D$61))</f>
        <v>1.0489999999999999</v>
      </c>
      <c r="AR20" s="1809">
        <f t="shared" si="19"/>
        <v>127.75</v>
      </c>
      <c r="AS20" s="1811">
        <f>AH20*(AS$2&lt;=YEAR($K20))+AR20*$AQ20*(AS$2=YEAR($K20)+1)+INDEX([11]核心假设及结论!$E$17:$E$21,MATCH($D20,[11]核心假设及结论!$B$17:$B$21,0))*(AS$2&gt;YEAR($K20)+1)*AR20</f>
        <v>134.00975</v>
      </c>
      <c r="AT20" s="1809">
        <f>AI20*(AT$2&lt;=YEAR($K20))+AS20*$AQ20*(AT$2=YEAR($K20)+1)+INDEX([11]核心假设及结论!$E$17:$E$21,MATCH($D20,[11]核心假设及结论!$B$17:$B$21,0))*(AT$2&gt;YEAR($K20)+1)*AS20</f>
        <v>138.11278083849436</v>
      </c>
      <c r="AU20" s="1809">
        <f>AJ20*(AU$2&lt;=YEAR($K20))+AT20*$AQ20*(AU$2=YEAR($K20)+1)+INDEX([11]核心假设及结论!$E$17:$E$21,MATCH($D20,[11]核心假设及结论!$B$17:$B$21,0))*(AU$2&gt;YEAR($K20)+1)*AT20</f>
        <v>142.34143583539239</v>
      </c>
      <c r="AV20" s="1809">
        <f>AK20*(AV$2&lt;=YEAR($K20))+AU20*$AQ20*(AV$2=YEAR($K20)+1)+INDEX([11]核心假设及结论!$E$17:$E$21,MATCH($D20,[11]核心假设及结论!$B$17:$B$21,0))*(AV$2&gt;YEAR($K20)+1)*AU20</f>
        <v>146.69956127647546</v>
      </c>
      <c r="AW20" s="1809">
        <f>AL20*(AW$2&lt;=YEAR($K20))+AV20*$AQ20*(AW$2=YEAR($K20)+1)+INDEX([11]核心假设及结论!$E$17:$E$21,MATCH($D20,[11]核心假设及结论!$B$17:$B$21,0))*(AW$2&gt;YEAR($K20)+1)*AV20</f>
        <v>151.19112121081588</v>
      </c>
      <c r="AX20" s="1809">
        <f>AM20*(AX$2&lt;=YEAR($K20))+AW20*$AQ20*(AX$2=YEAR($K20)+1)+INDEX([11]核心假设及结论!$E$17:$E$21,MATCH($D20,[11]核心假设及结论!$B$17:$B$21,0))*(AX$2&gt;YEAR($K20)+1)*AW20</f>
        <v>155.82020105638321</v>
      </c>
      <c r="AZ20" s="1746">
        <f t="shared" si="7"/>
        <v>45951</v>
      </c>
      <c r="BA20" s="1817">
        <f t="shared" si="8"/>
        <v>45658</v>
      </c>
      <c r="BB20" s="1817">
        <f t="shared" si="9"/>
        <v>45951</v>
      </c>
      <c r="BC20" s="1817">
        <f t="shared" si="10"/>
        <v>46022</v>
      </c>
      <c r="BD20" s="1818">
        <f t="shared" si="11"/>
        <v>294</v>
      </c>
      <c r="BE20" s="1818">
        <f t="shared" si="12"/>
        <v>71</v>
      </c>
      <c r="BG20" s="1777">
        <f>(AR20*$BD20*$H20*12/365+BE20*AS20*$H20*12/365)/10000</f>
        <v>203.82047406000001</v>
      </c>
      <c r="BH20" s="1777">
        <f t="shared" ref="BH20:BM35" si="27">(AS20*$BD20*$H20*12/365+$BE20*AT20*$H20*12/365)/10000</f>
        <v>213.05036376448794</v>
      </c>
      <c r="BI20" s="1777">
        <f t="shared" si="27"/>
        <v>219.5734131148385</v>
      </c>
      <c r="BJ20" s="1777">
        <f t="shared" si="27"/>
        <v>226.29618131135888</v>
      </c>
      <c r="BK20" s="1777">
        <f t="shared" si="27"/>
        <v>233.22478322692112</v>
      </c>
      <c r="BL20" s="1777">
        <f t="shared" si="27"/>
        <v>240.36552095593879</v>
      </c>
      <c r="BM20" s="1777">
        <f t="shared" si="26"/>
        <v>198.35595685028866</v>
      </c>
      <c r="BO20" s="1739">
        <f t="shared" si="15"/>
        <v>2025</v>
      </c>
      <c r="BP20" s="1742">
        <f>_xlfn.IFNA(INDEX($AR20:$AX20,MATCH(BO20,$AR$2:$AX$2,0))*12/365*[11]核心假设及结论!$C$70*$H20,0)</f>
        <v>165942</v>
      </c>
      <c r="BR20" s="1739">
        <f t="shared" si="20"/>
        <v>2028</v>
      </c>
      <c r="BS20" s="1742">
        <f>_xlfn.IFNA(INDEX($AR20:$AX20,MATCH(BR20,$AR$2:$AX$2,0))*12/365*[11]核心假设及结论!$C$70*$H20,0)</f>
        <v>184895.67550212666</v>
      </c>
      <c r="BU20" s="1739">
        <f t="shared" si="21"/>
        <v>2031</v>
      </c>
      <c r="BV20" s="1742">
        <f>_xlfn.IFNA(INDEX($AR20:$AX20,MATCH(BU20,$AR$2:$AX$2,0))*12/365*[11]核心假设及结论!$C$70*$H20,0)</f>
        <v>202404.03760233536</v>
      </c>
      <c r="BX20" s="1739">
        <f t="shared" si="22"/>
        <v>2034</v>
      </c>
      <c r="BY20" s="1742">
        <f>_xlfn.IFNA(INDEX($AR20:$AX20,MATCH(BX20,$AR$2:$AX$2,0))*12/365*[11]核心假设及结论!$C$70*$H20,0)</f>
        <v>0</v>
      </c>
      <c r="CA20" s="1739">
        <f t="shared" si="23"/>
        <v>2037</v>
      </c>
      <c r="CB20" s="1742">
        <f>_xlfn.IFNA(INDEX($AR20:$AX20,MATCH(CA20,$AR$2:$AX$2,0))*12/365*[11]核心假设及结论!$C$70*$H20,0)</f>
        <v>0</v>
      </c>
    </row>
    <row r="21" spans="1:80" ht="30" customHeight="1">
      <c r="A21" s="1756" t="s">
        <v>1666</v>
      </c>
      <c r="B21" s="1757" t="s">
        <v>1712</v>
      </c>
      <c r="C21" s="1756" t="s">
        <v>1713</v>
      </c>
      <c r="D21" s="1756" t="s">
        <v>1676</v>
      </c>
      <c r="E21" s="1758" t="s">
        <v>1677</v>
      </c>
      <c r="F21" s="1759"/>
      <c r="G21" s="1760" t="s">
        <v>1661</v>
      </c>
      <c r="H21" s="1761">
        <v>1279</v>
      </c>
      <c r="I21" s="1761" t="s">
        <v>1678</v>
      </c>
      <c r="J21" s="1773">
        <v>45261</v>
      </c>
      <c r="K21" s="1773">
        <v>46690</v>
      </c>
      <c r="L21" s="1764">
        <f t="shared" si="1"/>
        <v>47</v>
      </c>
      <c r="M21" s="1774">
        <f t="shared" si="16"/>
        <v>273206.61716148001</v>
      </c>
      <c r="N21" s="1775">
        <f t="shared" si="17"/>
        <v>141.54</v>
      </c>
      <c r="O21" s="1760">
        <v>181029.66</v>
      </c>
      <c r="P21" s="1776">
        <v>0.15</v>
      </c>
      <c r="Q21" s="1783">
        <f t="shared" si="2"/>
        <v>56.34</v>
      </c>
      <c r="R21" s="1784">
        <v>72058.86</v>
      </c>
      <c r="S21" s="1777">
        <f t="shared" si="3"/>
        <v>15.729552119999999</v>
      </c>
      <c r="T21" s="1784">
        <v>20118.09716148</v>
      </c>
      <c r="U21" s="1777"/>
      <c r="V21" s="1785">
        <v>945086.83833333303</v>
      </c>
      <c r="W21" s="1785">
        <f t="shared" si="4"/>
        <v>738.92637868126121</v>
      </c>
      <c r="X21" s="1786">
        <f t="shared" si="25"/>
        <v>0.26779393145112812</v>
      </c>
      <c r="Y21" s="1789">
        <f>VLOOKUP(E21,[11]核心假设及结论!$C$25:$E$45,3,0)</f>
        <v>0.25</v>
      </c>
      <c r="Z21" s="1790">
        <f t="shared" si="6"/>
        <v>190622.16</v>
      </c>
      <c r="AA21" s="1790">
        <f t="shared" si="6"/>
        <v>190622.16</v>
      </c>
      <c r="AB21" s="1790">
        <f t="shared" si="6"/>
        <v>198411.27</v>
      </c>
      <c r="AC21" s="1790">
        <f t="shared" si="6"/>
        <v>0</v>
      </c>
      <c r="AD21" s="1790">
        <f t="shared" si="6"/>
        <v>0</v>
      </c>
      <c r="AE21" s="1790">
        <f t="shared" si="6"/>
        <v>0</v>
      </c>
      <c r="AF21" s="1790">
        <f t="shared" si="6"/>
        <v>0</v>
      </c>
      <c r="AG21" s="1794">
        <v>149.04</v>
      </c>
      <c r="AH21" s="1794">
        <v>149.04</v>
      </c>
      <c r="AI21" s="1794">
        <v>155.13</v>
      </c>
      <c r="AJ21" s="1794">
        <v>0</v>
      </c>
      <c r="AK21" s="1794">
        <v>0</v>
      </c>
      <c r="AL21" s="1794">
        <v>0</v>
      </c>
      <c r="AM21" s="1794">
        <v>0</v>
      </c>
      <c r="AN21" s="1797"/>
      <c r="AO21" s="1797"/>
      <c r="AP21" s="1808">
        <f t="shared" si="18"/>
        <v>1.0711757258045125</v>
      </c>
      <c r="AQ21" s="1808">
        <f>IF(AP21&gt;[11]核心假设及结论!$B$65,[11]核心假设及结论!$D$65,IF(AP21&lt;=[11]核心假设及结论!$B$64,[11]核心假设及结论!$D$63,[11]核心假设及结论!$D$64))</f>
        <v>0.754</v>
      </c>
      <c r="AR21" s="1809">
        <f t="shared" si="19"/>
        <v>149.04</v>
      </c>
      <c r="AS21" s="1809">
        <f>AH21*(AS$2&lt;=YEAR($K21))+AR21*$AQ21*(AS$2=YEAR($K21)+1)+INDEX([11]核心假设及结论!$E$17:$E$21,MATCH($D21,[11]核心假设及结论!$B$17:$B$21,0))*(AS$2&gt;YEAR($K21)+1)*AR21</f>
        <v>149.04</v>
      </c>
      <c r="AT21" s="1809">
        <f>AI21*(AT$2&lt;=YEAR($K21))+AS21*$AQ21*(AT$2=YEAR($K21)+1)+INDEX([11]核心假设及结论!$E$17:$E$21,MATCH($D21,[11]核心假设及结论!$B$17:$B$21,0))*(AT$2&gt;YEAR($K21)+1)*AS21</f>
        <v>155.13</v>
      </c>
      <c r="AU21" s="1811">
        <f>AJ21*(AU$2&lt;=YEAR($K21))+AT21*$AQ21*(AU$2=YEAR($K21)+1)+INDEX([11]核心假设及结论!$E$17:$E$21,MATCH($D21,[11]核心假设及结论!$B$17:$B$21,0))*(AU$2&gt;YEAR($K21)+1)*AT21</f>
        <v>116.96802</v>
      </c>
      <c r="AV21" s="1809">
        <f>AK21*(AV$2&lt;=YEAR($K21))+AU21*$AQ21*(AV$2=YEAR($K21)+1)+INDEX([11]核心假设及结论!$E$17:$E$21,MATCH($D21,[11]核心假设及结论!$B$17:$B$21,0))*(AV$2&gt;YEAR($K21)+1)*AU21</f>
        <v>121.01219952590932</v>
      </c>
      <c r="AW21" s="1809">
        <f>AL21*(AW$2&lt;=YEAR($K21))+AV21*$AQ21*(AW$2=YEAR($K21)+1)+INDEX([11]核心假设及结论!$E$17:$E$21,MATCH($D21,[11]核心假设及结论!$B$17:$B$21,0))*(AW$2&gt;YEAR($K21)+1)*AV21</f>
        <v>125.19620691278256</v>
      </c>
      <c r="AX21" s="1809">
        <f>AM21*(AX$2&lt;=YEAR($K21))+AW21*$AQ21*(AX$2=YEAR($K21)+1)+INDEX([11]核心假设及结论!$E$17:$E$21,MATCH($D21,[11]核心假设及结论!$B$17:$B$21,0))*(AX$2&gt;YEAR($K21)+1)*AW21</f>
        <v>129.52487672114711</v>
      </c>
      <c r="AZ21" s="1746">
        <f t="shared" si="7"/>
        <v>46690</v>
      </c>
      <c r="BA21" s="1817">
        <f t="shared" si="8"/>
        <v>45658</v>
      </c>
      <c r="BB21" s="1817">
        <f t="shared" si="9"/>
        <v>45960</v>
      </c>
      <c r="BC21" s="1817">
        <f t="shared" si="10"/>
        <v>46022</v>
      </c>
      <c r="BD21" s="1818">
        <f t="shared" si="11"/>
        <v>303</v>
      </c>
      <c r="BE21" s="1818">
        <f t="shared" si="12"/>
        <v>62</v>
      </c>
      <c r="BG21" s="1777">
        <f>(AR21*$BD21*$H21*12/365+BE21*AS21*$H21*12/365)/10000</f>
        <v>228.74659199999999</v>
      </c>
      <c r="BH21" s="1777">
        <f t="shared" si="27"/>
        <v>230.33429003835613</v>
      </c>
      <c r="BI21" s="1777">
        <f t="shared" si="27"/>
        <v>228.14447625192329</v>
      </c>
      <c r="BJ21" s="1777">
        <f t="shared" si="27"/>
        <v>180.57685796628675</v>
      </c>
      <c r="BK21" s="1777">
        <f t="shared" si="27"/>
        <v>186.82031863049477</v>
      </c>
      <c r="BL21" s="1777">
        <f t="shared" si="27"/>
        <v>193.27964749345489</v>
      </c>
      <c r="BM21" s="1777">
        <f t="shared" si="26"/>
        <v>165.02690021879405</v>
      </c>
      <c r="BO21" s="1739">
        <f t="shared" si="15"/>
        <v>2027</v>
      </c>
      <c r="BP21" s="1742">
        <f>_xlfn.IFNA(INDEX($AR21:$AX21,MATCH(BO21,$AR$2:$AX$2,0))*12/365*[11]核心假设及结论!$C$70*$H21,0)</f>
        <v>195693.30739726024</v>
      </c>
      <c r="BR21" s="1739">
        <f t="shared" si="20"/>
        <v>2031</v>
      </c>
      <c r="BS21" s="1742">
        <f>_xlfn.IFNA(INDEX($AR21:$AX21,MATCH(BR21,$AR$2:$AX$2,0))*12/365*[11]核心假设及结论!$C$70*$H21,0)</f>
        <v>163392.97051365749</v>
      </c>
      <c r="BU21" s="1739">
        <f t="shared" si="21"/>
        <v>2035</v>
      </c>
      <c r="BV21" s="1742">
        <f>_xlfn.IFNA(INDEX($AR21:$AX21,MATCH(BU21,$AR$2:$AX$2,0))*12/365*[11]核心假设及结论!$C$70*$H21,0)</f>
        <v>0</v>
      </c>
      <c r="BX21" s="1739">
        <f t="shared" si="22"/>
        <v>2039</v>
      </c>
      <c r="BY21" s="1742">
        <f>_xlfn.IFNA(INDEX($AR21:$AX21,MATCH(BX21,$AR$2:$AX$2,0))*12/365*[11]核心假设及结论!$C$70*$H21,0)</f>
        <v>0</v>
      </c>
      <c r="CA21" s="1739">
        <f t="shared" si="23"/>
        <v>2043</v>
      </c>
      <c r="CB21" s="1742">
        <f>_xlfn.IFNA(INDEX($AR21:$AX21,MATCH(CA21,$AR$2:$AX$2,0))*12/365*[11]核心假设及结论!$C$70*$H21,0)</f>
        <v>0</v>
      </c>
    </row>
    <row r="22" spans="1:80" ht="30" customHeight="1">
      <c r="A22" s="1756" t="s">
        <v>1666</v>
      </c>
      <c r="B22" s="1757" t="s">
        <v>1714</v>
      </c>
      <c r="C22" s="1756" t="s">
        <v>1715</v>
      </c>
      <c r="D22" s="1756" t="s">
        <v>1698</v>
      </c>
      <c r="E22" s="1758" t="s">
        <v>1698</v>
      </c>
      <c r="F22" s="1759"/>
      <c r="G22" s="1760" t="s">
        <v>1661</v>
      </c>
      <c r="H22" s="1761">
        <v>1162</v>
      </c>
      <c r="I22" s="1761" t="s">
        <v>1678</v>
      </c>
      <c r="J22" s="1773">
        <v>45471</v>
      </c>
      <c r="K22" s="1773">
        <v>47661</v>
      </c>
      <c r="L22" s="1764">
        <f t="shared" si="1"/>
        <v>72</v>
      </c>
      <c r="M22" s="1774">
        <f t="shared" si="16"/>
        <v>275730.98</v>
      </c>
      <c r="N22" s="1775">
        <f t="shared" si="17"/>
        <v>167.29000000000002</v>
      </c>
      <c r="O22" s="1760">
        <v>194390.98</v>
      </c>
      <c r="P22" s="1776">
        <v>7.0000000000000007E-2</v>
      </c>
      <c r="Q22" s="1783">
        <f t="shared" si="2"/>
        <v>63</v>
      </c>
      <c r="R22" s="1784">
        <v>73206</v>
      </c>
      <c r="S22" s="1777">
        <f t="shared" si="3"/>
        <v>7</v>
      </c>
      <c r="T22" s="1777">
        <v>8134</v>
      </c>
      <c r="U22" s="1777"/>
      <c r="V22" s="1785"/>
      <c r="W22" s="1785">
        <f t="shared" si="4"/>
        <v>0</v>
      </c>
      <c r="X22" s="1786" t="e">
        <f t="shared" si="25"/>
        <v>#DIV/0!</v>
      </c>
      <c r="Y22" s="1789">
        <f>VLOOKUP(E22,[11]核心假设及结论!$C$25:$E$45,3,0)</f>
        <v>0.2</v>
      </c>
      <c r="Z22" s="1790">
        <f t="shared" si="6"/>
        <v>194390.97999999998</v>
      </c>
      <c r="AA22" s="1790">
        <f t="shared" si="6"/>
        <v>194390.97999999998</v>
      </c>
      <c r="AB22" s="1790">
        <f t="shared" si="6"/>
        <v>204291.22</v>
      </c>
      <c r="AC22" s="1790">
        <f t="shared" si="6"/>
        <v>204291.22</v>
      </c>
      <c r="AD22" s="1790">
        <f t="shared" si="6"/>
        <v>214191.46000000002</v>
      </c>
      <c r="AE22" s="1790">
        <f t="shared" si="6"/>
        <v>214191.46000000002</v>
      </c>
      <c r="AF22" s="1790">
        <f t="shared" si="6"/>
        <v>0</v>
      </c>
      <c r="AG22" s="1794">
        <v>167.29</v>
      </c>
      <c r="AH22" s="1794">
        <v>167.29</v>
      </c>
      <c r="AI22" s="1794">
        <v>175.81</v>
      </c>
      <c r="AJ22" s="1794">
        <v>175.81</v>
      </c>
      <c r="AK22" s="1794">
        <v>184.33</v>
      </c>
      <c r="AL22" s="1794">
        <v>184.33</v>
      </c>
      <c r="AM22" s="1794">
        <v>0</v>
      </c>
      <c r="AN22" s="1795"/>
      <c r="AO22" s="1795"/>
      <c r="AP22" s="1808">
        <f t="shared" si="18"/>
        <v>1.25</v>
      </c>
      <c r="AQ22" s="1812">
        <f>IF(AP22&gt;[11]核心假设及结论!$B$62,[11]核心假设及结论!$D$62,IF(AP22&lt;=[11]核心假设及结论!$B$61,[11]核心假设及结论!$D$60,[11]核心假设及结论!$D$61))</f>
        <v>1.0489999999999999</v>
      </c>
      <c r="AR22" s="1809">
        <f t="shared" si="19"/>
        <v>167.29</v>
      </c>
      <c r="AS22" s="1809">
        <f>AH22*(AS$2&lt;=YEAR($K22))+AR22*$AQ22*(AS$2=YEAR($K22)+1)+INDEX([11]核心假设及结论!$E$17:$E$21,MATCH($D22,[11]核心假设及结论!$B$17:$B$21,0))*(AS$2&gt;YEAR($K22)+1)*AR22</f>
        <v>167.29</v>
      </c>
      <c r="AT22" s="1809">
        <f>AI22*(AT$2&lt;=YEAR($K22))+AS22*$AQ22*(AT$2=YEAR($K22)+1)+INDEX([11]核心假设及结论!$E$17:$E$21,MATCH($D22,[11]核心假设及结论!$B$17:$B$21,0))*(AT$2&gt;YEAR($K22)+1)*AS22</f>
        <v>175.81</v>
      </c>
      <c r="AU22" s="1809">
        <f>AJ22*(AU$2&lt;=YEAR($K22))+AT22*$AQ22*(AU$2=YEAR($K22)+1)+INDEX([11]核心假设及结论!$E$17:$E$21,MATCH($D22,[11]核心假设及结论!$B$17:$B$21,0))*(AU$2&gt;YEAR($K22)+1)*AT22</f>
        <v>175.81</v>
      </c>
      <c r="AV22" s="1809">
        <f>AK22*(AV$2&lt;=YEAR($K22))+AU22*$AQ22*(AV$2=YEAR($K22)+1)+INDEX([11]核心假设及结论!$E$17:$E$21,MATCH($D22,[11]核心假设及结论!$B$17:$B$21,0))*(AV$2&gt;YEAR($K22)+1)*AU22</f>
        <v>184.33</v>
      </c>
      <c r="AW22" s="1809">
        <f>AL22*(AW$2&lt;=YEAR($K22))+AV22*$AQ22*(AW$2=YEAR($K22)+1)+INDEX([11]核心假设及结论!$E$17:$E$21,MATCH($D22,[11]核心假设及结论!$B$17:$B$21,0))*(AW$2&gt;YEAR($K22)+1)*AV22</f>
        <v>184.33</v>
      </c>
      <c r="AX22" s="1811">
        <f>AM22*(AX$2&lt;=YEAR($K22))+AW22*$AQ22*(AX$2=YEAR($K22)+1)+INDEX([11]核心假设及结论!$E$17:$E$21,MATCH($D22,[11]核心假设及结论!$B$17:$B$21,0))*(AX$2&gt;YEAR($K22)+1)*AW22</f>
        <v>193.36216999999999</v>
      </c>
      <c r="AZ22" s="1746">
        <f t="shared" si="7"/>
        <v>47661</v>
      </c>
      <c r="BA22" s="1817">
        <f t="shared" si="8"/>
        <v>45658</v>
      </c>
      <c r="BB22" s="1817">
        <f t="shared" si="9"/>
        <v>45835</v>
      </c>
      <c r="BC22" s="1817">
        <f t="shared" si="10"/>
        <v>46022</v>
      </c>
      <c r="BD22" s="1818">
        <f t="shared" si="11"/>
        <v>178</v>
      </c>
      <c r="BE22" s="1818">
        <f t="shared" si="12"/>
        <v>187</v>
      </c>
      <c r="BG22" s="1777">
        <f t="shared" ref="BG22:BG85" si="28">(AR22*$BD22*$H22*12/365+BE22*AS22*$H22*12/365)/10000</f>
        <v>233.26917599999999</v>
      </c>
      <c r="BH22" s="1777">
        <f t="shared" si="27"/>
        <v>239.35578930410958</v>
      </c>
      <c r="BI22" s="1777">
        <f t="shared" si="27"/>
        <v>245.14946400000002</v>
      </c>
      <c r="BJ22" s="1777">
        <f t="shared" si="27"/>
        <v>251.23607730410961</v>
      </c>
      <c r="BK22" s="1777">
        <f t="shared" si="27"/>
        <v>257.02975199999997</v>
      </c>
      <c r="BL22" s="1777">
        <f t="shared" si="27"/>
        <v>263.48225506185207</v>
      </c>
      <c r="BM22" s="1777">
        <f t="shared" si="26"/>
        <v>131.48797082998357</v>
      </c>
      <c r="BO22" s="1739">
        <f t="shared" si="15"/>
        <v>2030</v>
      </c>
      <c r="BP22" s="1742">
        <f>_xlfn.IFNA(INDEX($AR22:$AX22,MATCH(BO22,$AR$2:$AX$2,0))*12/365*[11]核心假设及结论!$C$70*$H22,0)</f>
        <v>211257.33041095891</v>
      </c>
      <c r="BR22" s="1739">
        <f t="shared" si="20"/>
        <v>2036</v>
      </c>
      <c r="BS22" s="1742">
        <f>_xlfn.IFNA(INDEX($AR22:$AX22,MATCH(BR22,$AR$2:$AX$2,0))*12/365*[11]核心假设及结论!$C$70*$H22,0)</f>
        <v>0</v>
      </c>
      <c r="BU22" s="1739">
        <f t="shared" si="21"/>
        <v>2042</v>
      </c>
      <c r="BV22" s="1742">
        <f>_xlfn.IFNA(INDEX($AR22:$AX22,MATCH(BU22,$AR$2:$AX$2,0))*12/365*[11]核心假设及结论!$C$70*$H22,0)</f>
        <v>0</v>
      </c>
      <c r="BX22" s="1739">
        <f t="shared" si="22"/>
        <v>2048</v>
      </c>
      <c r="BY22" s="1742">
        <f>_xlfn.IFNA(INDEX($AR22:$AX22,MATCH(BX22,$AR$2:$AX$2,0))*12/365*[11]核心假设及结论!$C$70*$H22,0)</f>
        <v>0</v>
      </c>
      <c r="CA22" s="1739">
        <f t="shared" si="23"/>
        <v>2054</v>
      </c>
      <c r="CB22" s="1742">
        <f>_xlfn.IFNA(INDEX($AR22:$AX22,MATCH(CA22,$AR$2:$AX$2,0))*12/365*[11]核心假设及结论!$C$70*$H22,0)</f>
        <v>0</v>
      </c>
    </row>
    <row r="23" spans="1:80" ht="30" customHeight="1">
      <c r="A23" s="1756" t="s">
        <v>1662</v>
      </c>
      <c r="B23" s="1757" t="s">
        <v>1716</v>
      </c>
      <c r="C23" s="1756" t="s">
        <v>1717</v>
      </c>
      <c r="D23" s="1756" t="s">
        <v>1685</v>
      </c>
      <c r="E23" s="1758" t="s">
        <v>1718</v>
      </c>
      <c r="F23" s="1759"/>
      <c r="G23" s="1760" t="s">
        <v>1661</v>
      </c>
      <c r="H23" s="1761">
        <v>1032</v>
      </c>
      <c r="I23" s="1761" t="s">
        <v>1678</v>
      </c>
      <c r="J23" s="1773">
        <v>44364</v>
      </c>
      <c r="K23" s="1773">
        <v>46189</v>
      </c>
      <c r="L23" s="1764">
        <f t="shared" si="1"/>
        <v>60</v>
      </c>
      <c r="M23" s="1774">
        <f t="shared" si="16"/>
        <v>775536.88020000001</v>
      </c>
      <c r="N23" s="1775">
        <f t="shared" si="17"/>
        <v>638.75</v>
      </c>
      <c r="O23" s="1760">
        <v>659190</v>
      </c>
      <c r="P23" s="1776">
        <v>0.16</v>
      </c>
      <c r="Q23" s="1783">
        <f t="shared" si="2"/>
        <v>95</v>
      </c>
      <c r="R23" s="1784">
        <v>98040</v>
      </c>
      <c r="S23" s="1777">
        <f t="shared" si="3"/>
        <v>17.739225000000001</v>
      </c>
      <c r="T23" s="1784">
        <v>18306.8802</v>
      </c>
      <c r="U23" s="1777"/>
      <c r="V23" s="1785">
        <v>2702749.5866666702</v>
      </c>
      <c r="W23" s="1785">
        <f t="shared" si="4"/>
        <v>2618.9433979328201</v>
      </c>
      <c r="X23" s="1786">
        <f t="shared" si="25"/>
        <v>0.28017023986817063</v>
      </c>
      <c r="Y23" s="1789">
        <f>VLOOKUP(E23,[11]核心假设及结论!$C$25:$E$45,3,0)</f>
        <v>0.2</v>
      </c>
      <c r="Z23" s="1790">
        <f t="shared" si="6"/>
        <v>711615.6</v>
      </c>
      <c r="AA23" s="1790">
        <f t="shared" si="6"/>
        <v>768736.79999999993</v>
      </c>
      <c r="AB23" s="1790">
        <f t="shared" si="6"/>
        <v>0</v>
      </c>
      <c r="AC23" s="1790">
        <f t="shared" si="6"/>
        <v>0</v>
      </c>
      <c r="AD23" s="1790">
        <f t="shared" si="6"/>
        <v>0</v>
      </c>
      <c r="AE23" s="1790">
        <f t="shared" si="6"/>
        <v>0</v>
      </c>
      <c r="AF23" s="1790">
        <f t="shared" si="6"/>
        <v>0</v>
      </c>
      <c r="AG23" s="1794">
        <v>689.55</v>
      </c>
      <c r="AH23" s="1794">
        <v>744.9</v>
      </c>
      <c r="AI23" s="1794">
        <v>0</v>
      </c>
      <c r="AJ23" s="1794">
        <v>0</v>
      </c>
      <c r="AK23" s="1794">
        <v>0</v>
      </c>
      <c r="AL23" s="1794">
        <v>0</v>
      </c>
      <c r="AM23" s="1794">
        <v>0</v>
      </c>
      <c r="AN23" s="1797"/>
      <c r="AO23" s="1797"/>
      <c r="AP23" s="1808">
        <f t="shared" si="18"/>
        <v>1.400851199340853</v>
      </c>
      <c r="AQ23" s="1810">
        <f>IF(AP23&gt;[11]核心假设及结论!$B$59,[11]核心假设及结论!$D$59,IF(AP23&lt;=[11]核心假设及结论!$B$58,[11]核心假设及结论!$D$57,[11]核心假设及结论!$D$58))</f>
        <v>1.0069999999999999</v>
      </c>
      <c r="AR23" s="1809">
        <f t="shared" si="19"/>
        <v>689.55</v>
      </c>
      <c r="AS23" s="1809">
        <f>AH23*(AS$2&lt;=YEAR($K23))+AR23*$AQ23*(AS$2=YEAR($K23)+1)+INDEX([11]核心假设及结论!$E$17:$E$21,MATCH($D23,[11]核心假设及结论!$B$17:$B$21,0))*(AS$2&gt;YEAR($K23)+1)*AR23</f>
        <v>744.9</v>
      </c>
      <c r="AT23" s="1811">
        <f>AI23*(AT$2&lt;=YEAR($K23))+AS23*$AQ23*(AT$2=YEAR($K23)+1)+INDEX([11]核心假设及结论!$E$17:$E$21,MATCH($D23,[11]核心假设及结论!$B$17:$B$21,0))*(AT$2&gt;YEAR($K23)+1)*AS23</f>
        <v>750.11429999999984</v>
      </c>
      <c r="AU23" s="1809">
        <f>AJ23*(AU$2&lt;=YEAR($K23))+AT23*$AQ23*(AU$2=YEAR($K23)+1)+INDEX([11]核心假设及结论!$E$17:$E$21,MATCH($D23,[11]核心假设及结论!$B$17:$B$21,0))*(AU$2&gt;YEAR($K23)+1)*AT23</f>
        <v>770.42326286974446</v>
      </c>
      <c r="AV23" s="1809">
        <f>AK23*(AV$2&lt;=YEAR($K23))+AU23*$AQ23*(AV$2=YEAR($K23)+1)+INDEX([11]核心假设及结论!$E$17:$E$21,MATCH($D23,[11]核心假设及结论!$B$17:$B$21,0))*(AV$2&gt;YEAR($K23)+1)*AU23</f>
        <v>791.28208057207212</v>
      </c>
      <c r="AW23" s="1809">
        <f>AL23*(AW$2&lt;=YEAR($K23))+AV23*$AQ23*(AW$2=YEAR($K23)+1)+INDEX([11]核心假设及结论!$E$17:$E$21,MATCH($D23,[11]核心假设及结论!$B$17:$B$21,0))*(AW$2&gt;YEAR($K23)+1)*AV23</f>
        <v>812.70564014670299</v>
      </c>
      <c r="AX23" s="1809">
        <f>AM23*(AX$2&lt;=YEAR($K23))+AW23*$AQ23*(AX$2=YEAR($K23)+1)+INDEX([11]核心假设及结论!$E$17:$E$21,MATCH($D23,[11]核心假设及结论!$B$17:$B$21,0))*(AX$2&gt;YEAR($K23)+1)*AW23</f>
        <v>834.70923169238006</v>
      </c>
      <c r="AZ23" s="1746">
        <f t="shared" si="7"/>
        <v>46189</v>
      </c>
      <c r="BA23" s="1817">
        <f t="shared" si="8"/>
        <v>45658</v>
      </c>
      <c r="BB23" s="1817">
        <f t="shared" si="9"/>
        <v>45824</v>
      </c>
      <c r="BC23" s="1817">
        <f t="shared" si="10"/>
        <v>46022</v>
      </c>
      <c r="BD23" s="1818">
        <f t="shared" si="11"/>
        <v>167</v>
      </c>
      <c r="BE23" s="1818">
        <f t="shared" si="12"/>
        <v>198</v>
      </c>
      <c r="BG23" s="1777">
        <f t="shared" si="28"/>
        <v>891.12227375342457</v>
      </c>
      <c r="BH23" s="1777">
        <f t="shared" si="27"/>
        <v>925.98707245413675</v>
      </c>
      <c r="BI23" s="1777">
        <f t="shared" si="27"/>
        <v>942.58489894011655</v>
      </c>
      <c r="BJ23" s="1777">
        <f t="shared" si="27"/>
        <v>968.10490531002131</v>
      </c>
      <c r="BK23" s="1777">
        <f t="shared" si="27"/>
        <v>994.31585286289305</v>
      </c>
      <c r="BL23" s="1777">
        <f t="shared" si="27"/>
        <v>1021.2364484795755</v>
      </c>
      <c r="BM23" s="1777">
        <f t="shared" si="26"/>
        <v>472.95494080041061</v>
      </c>
      <c r="BO23" s="1739">
        <f t="shared" si="15"/>
        <v>2026</v>
      </c>
      <c r="BP23" s="1742">
        <f>_xlfn.IFNA(INDEX($AR23:$AX23,MATCH(BO23,$AR$2:$AX$2,0))*12/365*[11]核心假设及结论!$C$70*$H23,0)</f>
        <v>758206.1589041095</v>
      </c>
      <c r="BR23" s="1739">
        <f t="shared" si="20"/>
        <v>2031</v>
      </c>
      <c r="BS23" s="1742">
        <f>_xlfn.IFNA(INDEX($AR23:$AX23,MATCH(BR23,$AR$2:$AX$2,0))*12/365*[11]核心假设及结论!$C$70*$H23,0)</f>
        <v>849619.6541324741</v>
      </c>
      <c r="BU23" s="1739">
        <f t="shared" si="21"/>
        <v>2036</v>
      </c>
      <c r="BV23" s="1742">
        <f>_xlfn.IFNA(INDEX($AR23:$AX23,MATCH(BU23,$AR$2:$AX$2,0))*12/365*[11]核心假设及结论!$C$70*$H23,0)</f>
        <v>0</v>
      </c>
      <c r="BX23" s="1739">
        <f t="shared" si="22"/>
        <v>2041</v>
      </c>
      <c r="BY23" s="1742">
        <f>_xlfn.IFNA(INDEX($AR23:$AX23,MATCH(BX23,$AR$2:$AX$2,0))*12/365*[11]核心假设及结论!$C$70*$H23,0)</f>
        <v>0</v>
      </c>
      <c r="CA23" s="1739">
        <f t="shared" si="23"/>
        <v>2046</v>
      </c>
      <c r="CB23" s="1742">
        <f>_xlfn.IFNA(INDEX($AR23:$AX23,MATCH(CA23,$AR$2:$AX$2,0))*12/365*[11]核心假设及结论!$C$70*$H23,0)</f>
        <v>0</v>
      </c>
    </row>
    <row r="24" spans="1:80" ht="30" customHeight="1">
      <c r="A24" s="1756" t="s">
        <v>1662</v>
      </c>
      <c r="B24" s="1757" t="s">
        <v>1719</v>
      </c>
      <c r="C24" s="1756" t="s">
        <v>1720</v>
      </c>
      <c r="D24" s="1756" t="s">
        <v>1685</v>
      </c>
      <c r="E24" s="1758" t="s">
        <v>1721</v>
      </c>
      <c r="F24" s="1759"/>
      <c r="G24" s="1760" t="s">
        <v>1661</v>
      </c>
      <c r="H24" s="1761">
        <v>1003</v>
      </c>
      <c r="I24" s="1761" t="s">
        <v>1678</v>
      </c>
      <c r="J24" s="1773">
        <v>44854</v>
      </c>
      <c r="K24" s="1773">
        <v>46679</v>
      </c>
      <c r="L24" s="1764">
        <f t="shared" si="1"/>
        <v>60</v>
      </c>
      <c r="M24" s="1774">
        <f t="shared" si="16"/>
        <v>479734.9</v>
      </c>
      <c r="N24" s="1775">
        <f t="shared" si="17"/>
        <v>365.3</v>
      </c>
      <c r="O24" s="1760">
        <v>366395.9</v>
      </c>
      <c r="P24" s="1776">
        <v>0.19</v>
      </c>
      <c r="Q24" s="1783">
        <f t="shared" si="2"/>
        <v>95</v>
      </c>
      <c r="R24" s="1784">
        <v>95285</v>
      </c>
      <c r="S24" s="1777">
        <f t="shared" si="3"/>
        <v>18</v>
      </c>
      <c r="T24" s="1784">
        <v>18054</v>
      </c>
      <c r="U24" s="1777"/>
      <c r="V24" s="1785">
        <v>1836908.16666667</v>
      </c>
      <c r="W24" s="1785">
        <f t="shared" si="4"/>
        <v>1831.4139248919939</v>
      </c>
      <c r="X24" s="1786">
        <f t="shared" si="25"/>
        <v>0.25133586336968899</v>
      </c>
      <c r="Y24" s="1789">
        <f>VLOOKUP(E24,[11]核心假设及结论!$C$25:$E$45,3,0)</f>
        <v>0.25</v>
      </c>
      <c r="Z24" s="1790">
        <f t="shared" si="6"/>
        <v>383176.08999999997</v>
      </c>
      <c r="AA24" s="1790">
        <f t="shared" si="6"/>
        <v>394158.94</v>
      </c>
      <c r="AB24" s="1790">
        <f t="shared" si="6"/>
        <v>411861.89</v>
      </c>
      <c r="AC24" s="1790">
        <f t="shared" si="6"/>
        <v>0</v>
      </c>
      <c r="AD24" s="1790">
        <f t="shared" si="6"/>
        <v>0</v>
      </c>
      <c r="AE24" s="1790">
        <f t="shared" si="6"/>
        <v>0</v>
      </c>
      <c r="AF24" s="1790">
        <f t="shared" si="6"/>
        <v>0</v>
      </c>
      <c r="AG24" s="1794">
        <v>382.03</v>
      </c>
      <c r="AH24" s="1794">
        <v>392.98</v>
      </c>
      <c r="AI24" s="1794">
        <v>410.63</v>
      </c>
      <c r="AJ24" s="1794">
        <v>0</v>
      </c>
      <c r="AK24" s="1794">
        <v>0</v>
      </c>
      <c r="AL24" s="1794">
        <v>0</v>
      </c>
      <c r="AM24" s="1794">
        <v>0</v>
      </c>
      <c r="AN24" s="1797"/>
      <c r="AO24" s="1797"/>
      <c r="AP24" s="1808">
        <f t="shared" si="18"/>
        <v>1.005343453478756</v>
      </c>
      <c r="AQ24" s="1810">
        <f>IF(AP24&gt;[11]核心假设及结论!$B$59,[11]核心假设及结论!$D$59,IF(AP24&lt;=[11]核心假设及结论!$B$58,[11]核心假设及结论!$D$57,[11]核心假设及结论!$D$58))</f>
        <v>1.0069999999999999</v>
      </c>
      <c r="AR24" s="1809">
        <f t="shared" si="19"/>
        <v>382.03</v>
      </c>
      <c r="AS24" s="1809">
        <f>AH24*(AS$2&lt;=YEAR($K24))+AR24*$AQ24*(AS$2=YEAR($K24)+1)+INDEX([11]核心假设及结论!$E$17:$E$21,MATCH($D24,[11]核心假设及结论!$B$17:$B$21,0))*(AS$2&gt;YEAR($K24)+1)*AR24</f>
        <v>392.98</v>
      </c>
      <c r="AT24" s="1809">
        <f>AI24*(AT$2&lt;=YEAR($K24))+AS24*$AQ24*(AT$2=YEAR($K24)+1)+INDEX([11]核心假设及结论!$E$17:$E$21,MATCH($D24,[11]核心假设及结论!$B$17:$B$21,0))*(AT$2&gt;YEAR($K24)+1)*AS24</f>
        <v>410.63</v>
      </c>
      <c r="AU24" s="1811">
        <f>AJ24*(AU$2&lt;=YEAR($K24))+AT24*$AQ24*(AU$2=YEAR($K24)+1)+INDEX([11]核心假设及结论!$E$17:$E$21,MATCH($D24,[11]核心假设及结论!$B$17:$B$21,0))*(AU$2&gt;YEAR($K24)+1)*AT24</f>
        <v>413.50440999999995</v>
      </c>
      <c r="AV24" s="1809">
        <f>AK24*(AV$2&lt;=YEAR($K24))+AU24*$AQ24*(AV$2=YEAR($K24)+1)+INDEX([11]核心假设及结论!$E$17:$E$21,MATCH($D24,[11]核心假设及结论!$B$17:$B$21,0))*(AV$2&gt;YEAR($K24)+1)*AU24</f>
        <v>424.6998314299949</v>
      </c>
      <c r="AW24" s="1809">
        <f>AL24*(AW$2&lt;=YEAR($K24))+AV24*$AQ24*(AW$2=YEAR($K24)+1)+INDEX([11]核心假设及结论!$E$17:$E$21,MATCH($D24,[11]核心假设及结论!$B$17:$B$21,0))*(AW$2&gt;YEAR($K24)+1)*AV24</f>
        <v>436.19836319681843</v>
      </c>
      <c r="AX24" s="1809">
        <f>AM24*(AX$2&lt;=YEAR($K24))+AW24*$AQ24*(AX$2=YEAR($K24)+1)+INDEX([11]核心假设及结论!$E$17:$E$21,MATCH($D24,[11]核心假设及结论!$B$17:$B$21,0))*(AX$2&gt;YEAR($K24)+1)*AW24</f>
        <v>448.00821185855915</v>
      </c>
      <c r="AZ24" s="1746">
        <f t="shared" si="7"/>
        <v>46679</v>
      </c>
      <c r="BA24" s="1817">
        <f t="shared" si="8"/>
        <v>45658</v>
      </c>
      <c r="BB24" s="1817">
        <f t="shared" si="9"/>
        <v>45949</v>
      </c>
      <c r="BC24" s="1817">
        <f t="shared" si="10"/>
        <v>46022</v>
      </c>
      <c r="BD24" s="1818">
        <f t="shared" si="11"/>
        <v>292</v>
      </c>
      <c r="BE24" s="1818">
        <f t="shared" si="12"/>
        <v>73</v>
      </c>
      <c r="BG24" s="1777">
        <f t="shared" si="28"/>
        <v>462.44719199999997</v>
      </c>
      <c r="BH24" s="1777">
        <f t="shared" si="27"/>
        <v>477.23943600000001</v>
      </c>
      <c r="BI24" s="1777">
        <f t="shared" si="27"/>
        <v>494.92619597520002</v>
      </c>
      <c r="BJ24" s="1777">
        <f t="shared" si="27"/>
        <v>500.38886972262833</v>
      </c>
      <c r="BK24" s="1777">
        <f t="shared" si="27"/>
        <v>513.93664367605163</v>
      </c>
      <c r="BL24" s="1777">
        <f t="shared" si="27"/>
        <v>527.85121671354489</v>
      </c>
      <c r="BM24" s="1777">
        <f t="shared" si="26"/>
        <v>431.37814703436942</v>
      </c>
      <c r="BO24" s="1739">
        <f t="shared" si="15"/>
        <v>2027</v>
      </c>
      <c r="BP24" s="1742">
        <f>_xlfn.IFNA(INDEX($AR24:$AX24,MATCH(BO24,$AR$2:$AX$2,0))*12/365*[11]核心假设及结论!$C$70*$H24,0)</f>
        <v>406219.94630136981</v>
      </c>
      <c r="BR24" s="1739">
        <f t="shared" si="20"/>
        <v>2032</v>
      </c>
      <c r="BS24" s="1742">
        <f>_xlfn.IFNA(INDEX($AR24:$AX24,MATCH(BR24,$AR$2:$AX$2,0))*12/365*[11]核心假设及结论!$C$70*$H24,0)</f>
        <v>0</v>
      </c>
      <c r="BU24" s="1739">
        <f t="shared" si="21"/>
        <v>2037</v>
      </c>
      <c r="BV24" s="1742">
        <f>_xlfn.IFNA(INDEX($AR24:$AX24,MATCH(BU24,$AR$2:$AX$2,0))*12/365*[11]核心假设及结论!$C$70*$H24,0)</f>
        <v>0</v>
      </c>
      <c r="BX24" s="1739">
        <f t="shared" si="22"/>
        <v>2042</v>
      </c>
      <c r="BY24" s="1742">
        <f>_xlfn.IFNA(INDEX($AR24:$AX24,MATCH(BX24,$AR$2:$AX$2,0))*12/365*[11]核心假设及结论!$C$70*$H24,0)</f>
        <v>0</v>
      </c>
      <c r="CA24" s="1739">
        <f t="shared" si="23"/>
        <v>2047</v>
      </c>
      <c r="CB24" s="1742">
        <f>_xlfn.IFNA(INDEX($AR24:$AX24,MATCH(CA24,$AR$2:$AX$2,0))*12/365*[11]核心假设及结论!$C$70*$H24,0)</f>
        <v>0</v>
      </c>
    </row>
    <row r="25" spans="1:80" ht="30" customHeight="1">
      <c r="A25" s="1763" t="s">
        <v>1687</v>
      </c>
      <c r="B25" s="1757" t="s">
        <v>1722</v>
      </c>
      <c r="C25" s="1764" t="s">
        <v>1723</v>
      </c>
      <c r="D25" s="1764" t="s">
        <v>1685</v>
      </c>
      <c r="E25" s="1764" t="s">
        <v>1692</v>
      </c>
      <c r="F25" s="1765"/>
      <c r="G25" s="1760" t="s">
        <v>1661</v>
      </c>
      <c r="H25" s="1761">
        <v>995</v>
      </c>
      <c r="I25" s="1763" t="s">
        <v>1678</v>
      </c>
      <c r="J25" s="1773">
        <v>45817</v>
      </c>
      <c r="K25" s="1773">
        <v>48648</v>
      </c>
      <c r="L25" s="1764">
        <f t="shared" si="1"/>
        <v>94</v>
      </c>
      <c r="M25" s="1774">
        <f t="shared" si="16"/>
        <v>0</v>
      </c>
      <c r="N25" s="1775">
        <f t="shared" si="17"/>
        <v>0</v>
      </c>
      <c r="O25" s="1777">
        <v>0</v>
      </c>
      <c r="P25" s="1763">
        <v>0.09</v>
      </c>
      <c r="Q25" s="1783">
        <f t="shared" si="2"/>
        <v>0</v>
      </c>
      <c r="R25" s="1763"/>
      <c r="S25" s="1777">
        <f t="shared" si="3"/>
        <v>0</v>
      </c>
      <c r="T25" s="1763"/>
      <c r="U25" s="1763"/>
      <c r="V25" s="1785"/>
      <c r="W25" s="1785">
        <f t="shared" si="4"/>
        <v>0</v>
      </c>
      <c r="X25" s="1786" t="e">
        <f t="shared" si="25"/>
        <v>#DIV/0!</v>
      </c>
      <c r="Y25" s="1789">
        <f>VLOOKUP(E25,[11]核心假设及结论!$C$25:$E$45,3,0)</f>
        <v>0.2</v>
      </c>
      <c r="Z25" s="1790">
        <f t="shared" si="6"/>
        <v>181587.5</v>
      </c>
      <c r="AA25" s="1790">
        <f t="shared" si="6"/>
        <v>181587.5</v>
      </c>
      <c r="AB25" s="1790">
        <f t="shared" si="6"/>
        <v>181587.5</v>
      </c>
      <c r="AC25" s="1790">
        <f t="shared" si="6"/>
        <v>181587.5</v>
      </c>
      <c r="AD25" s="1790">
        <f t="shared" si="6"/>
        <v>196721.45</v>
      </c>
      <c r="AE25" s="1790">
        <f t="shared" si="6"/>
        <v>196721.45</v>
      </c>
      <c r="AF25" s="1790">
        <f t="shared" si="6"/>
        <v>196721.45</v>
      </c>
      <c r="AG25" s="1794">
        <f>AH25</f>
        <v>182.5</v>
      </c>
      <c r="AH25" s="1799">
        <v>182.5</v>
      </c>
      <c r="AI25" s="1799">
        <v>182.5</v>
      </c>
      <c r="AJ25" s="1799">
        <v>182.5</v>
      </c>
      <c r="AK25" s="1799">
        <v>197.71</v>
      </c>
      <c r="AL25" s="1799">
        <v>197.71</v>
      </c>
      <c r="AM25" s="1799">
        <v>197.71</v>
      </c>
      <c r="AN25" s="1764"/>
      <c r="AO25" s="1764"/>
      <c r="AP25" s="1808">
        <f t="shared" si="18"/>
        <v>1.25</v>
      </c>
      <c r="AQ25" s="1810">
        <f>IF(AP25&gt;[11]核心假设及结论!$B$59,[11]核心假设及结论!$D$59,IF(AP25&lt;=[11]核心假设及结论!$B$58,[11]核心假设及结论!$D$57,[11]核心假设及结论!$D$58))</f>
        <v>1.0069999999999999</v>
      </c>
      <c r="AR25" s="1809">
        <f t="shared" si="19"/>
        <v>182.5</v>
      </c>
      <c r="AS25" s="1809">
        <f>AH25*(AS$2&lt;=YEAR($K25))+AR25*$AQ25*(AS$2=YEAR($K25)+1)+INDEX([11]核心假设及结论!$E$17:$E$21,MATCH($D25,[11]核心假设及结论!$B$17:$B$21,0))*(AS$2&gt;YEAR($K25)+1)*AR25</f>
        <v>182.5</v>
      </c>
      <c r="AT25" s="1809">
        <f>AI25*(AT$2&lt;=YEAR($K25))+AS25*$AQ25*(AT$2=YEAR($K25)+1)+INDEX([11]核心假设及结论!$E$17:$E$21,MATCH($D25,[11]核心假设及结论!$B$17:$B$21,0))*(AT$2&gt;YEAR($K25)+1)*AS25</f>
        <v>182.5</v>
      </c>
      <c r="AU25" s="1809">
        <f>AJ25*(AU$2&lt;=YEAR($K25))+AT25*$AQ25*(AU$2=YEAR($K25)+1)+INDEX([11]核心假设及结论!$E$17:$E$21,MATCH($D25,[11]核心假设及结论!$B$17:$B$21,0))*(AU$2&gt;YEAR($K25)+1)*AT25</f>
        <v>182.5</v>
      </c>
      <c r="AV25" s="1809">
        <f>AK25*(AV$2&lt;=YEAR($K25))+AU25*$AQ25*(AV$2=YEAR($K25)+1)+INDEX([11]核心假设及结论!$E$17:$E$21,MATCH($D25,[11]核心假设及结论!$B$17:$B$21,0))*(AV$2&gt;YEAR($K25)+1)*AU25</f>
        <v>197.71</v>
      </c>
      <c r="AW25" s="1809">
        <f>AL25*(AW$2&lt;=YEAR($K25))+AV25*$AQ25*(AW$2=YEAR($K25)+1)+INDEX([11]核心假设及结论!$E$17:$E$21,MATCH($D25,[11]核心假设及结论!$B$17:$B$21,0))*(AW$2&gt;YEAR($K25)+1)*AV25</f>
        <v>197.71</v>
      </c>
      <c r="AX25" s="1809">
        <f>AM25*(AX$2&lt;=YEAR($K25))+AW25*$AQ25*(AX$2=YEAR($K25)+1)+INDEX([11]核心假设及结论!$E$17:$E$21,MATCH($D25,[11]核心假设及结论!$B$17:$B$21,0))*(AX$2&gt;YEAR($K25)+1)*AW25</f>
        <v>197.71</v>
      </c>
      <c r="AZ25" s="1746">
        <f t="shared" si="7"/>
        <v>48648</v>
      </c>
      <c r="BA25" s="1817">
        <f t="shared" si="8"/>
        <v>45658</v>
      </c>
      <c r="BB25" s="1817">
        <f t="shared" si="9"/>
        <v>45726</v>
      </c>
      <c r="BC25" s="1817">
        <f t="shared" si="10"/>
        <v>46022</v>
      </c>
      <c r="BD25" s="1818">
        <f t="shared" si="11"/>
        <v>69</v>
      </c>
      <c r="BE25" s="1818">
        <f t="shared" si="12"/>
        <v>296</v>
      </c>
      <c r="BG25" s="1777">
        <f t="shared" si="28"/>
        <v>217.905</v>
      </c>
      <c r="BH25" s="1777">
        <f t="shared" si="27"/>
        <v>217.905</v>
      </c>
      <c r="BI25" s="1777">
        <f t="shared" si="27"/>
        <v>217.905</v>
      </c>
      <c r="BJ25" s="1777">
        <f t="shared" si="27"/>
        <v>232.63261380821922</v>
      </c>
      <c r="BK25" s="1777">
        <f t="shared" si="27"/>
        <v>236.06574000000003</v>
      </c>
      <c r="BL25" s="1777">
        <f t="shared" si="27"/>
        <v>236.06574000000003</v>
      </c>
      <c r="BM25" s="1777">
        <f t="shared" si="26"/>
        <v>44.62612619178082</v>
      </c>
      <c r="BO25" s="1739">
        <f t="shared" si="15"/>
        <v>2033</v>
      </c>
      <c r="BP25" s="1742">
        <f>_xlfn.IFNA(INDEX($AR25:$AX25,MATCH(BO25,$AR$2:$AX$2,0))*12/365*[11]核心假设及结论!$C$70*$H25,0)</f>
        <v>0</v>
      </c>
      <c r="BR25" s="1739">
        <f t="shared" si="20"/>
        <v>2041</v>
      </c>
      <c r="BS25" s="1742">
        <f>_xlfn.IFNA(INDEX($AR25:$AX25,MATCH(BR25,$AR$2:$AX$2,0))*12/365*[11]核心假设及结论!$C$70*$H25,0)</f>
        <v>0</v>
      </c>
      <c r="BU25" s="1739">
        <f t="shared" si="21"/>
        <v>2049</v>
      </c>
      <c r="BV25" s="1742">
        <f>_xlfn.IFNA(INDEX($AR25:$AX25,MATCH(BU25,$AR$2:$AX$2,0))*12/365*[11]核心假设及结论!$C$70*$H25,0)</f>
        <v>0</v>
      </c>
      <c r="BX25" s="1739">
        <f t="shared" si="22"/>
        <v>2057</v>
      </c>
      <c r="BY25" s="1742">
        <f>_xlfn.IFNA(INDEX($AR25:$AX25,MATCH(BX25,$AR$2:$AX$2,0))*12/365*[11]核心假设及结论!$C$70*$H25,0)</f>
        <v>0</v>
      </c>
      <c r="CA25" s="1739">
        <f t="shared" si="23"/>
        <v>2065</v>
      </c>
      <c r="CB25" s="1742">
        <f>_xlfn.IFNA(INDEX($AR25:$AX25,MATCH(CA25,$AR$2:$AX$2,0))*12/365*[11]核心假设及结论!$C$70*$H25,0)</f>
        <v>0</v>
      </c>
    </row>
    <row r="26" spans="1:80" ht="30" customHeight="1">
      <c r="A26" s="1763" t="s">
        <v>1662</v>
      </c>
      <c r="B26" s="1757" t="s">
        <v>1724</v>
      </c>
      <c r="C26" s="1764" t="s">
        <v>1725</v>
      </c>
      <c r="D26" s="1764" t="s">
        <v>1685</v>
      </c>
      <c r="E26" s="1764" t="s">
        <v>1726</v>
      </c>
      <c r="F26" s="1765"/>
      <c r="G26" s="1763" t="s">
        <v>1682</v>
      </c>
      <c r="H26" s="1761">
        <v>981</v>
      </c>
      <c r="I26" s="1763" t="s">
        <v>1678</v>
      </c>
      <c r="J26" s="1773">
        <v>46023</v>
      </c>
      <c r="K26" s="1773">
        <v>49458</v>
      </c>
      <c r="L26" s="1764">
        <f t="shared" si="1"/>
        <v>113</v>
      </c>
      <c r="M26" s="1774">
        <f t="shared" si="16"/>
        <v>0</v>
      </c>
      <c r="N26" s="1775">
        <f t="shared" si="17"/>
        <v>0</v>
      </c>
      <c r="O26" s="1777">
        <v>0</v>
      </c>
      <c r="P26" s="1763">
        <v>0</v>
      </c>
      <c r="Q26" s="1783">
        <f t="shared" si="2"/>
        <v>0</v>
      </c>
      <c r="R26" s="1763">
        <v>0</v>
      </c>
      <c r="S26" s="1777">
        <f t="shared" si="3"/>
        <v>0</v>
      </c>
      <c r="T26" s="1763">
        <v>0</v>
      </c>
      <c r="U26" s="1763"/>
      <c r="V26" s="1785"/>
      <c r="W26" s="1785">
        <f t="shared" si="4"/>
        <v>0</v>
      </c>
      <c r="X26" s="1786" t="e">
        <f t="shared" si="25"/>
        <v>#DIV/0!</v>
      </c>
      <c r="Y26" s="1789">
        <f>VLOOKUP(E26,[11]核心假设及结论!$C$25:$E$45,3,0)</f>
        <v>0.1</v>
      </c>
      <c r="Z26" s="1790">
        <f t="shared" si="6"/>
        <v>0</v>
      </c>
      <c r="AA26" s="1790">
        <f t="shared" si="6"/>
        <v>568980</v>
      </c>
      <c r="AB26" s="1790">
        <f t="shared" si="6"/>
        <v>580359.6</v>
      </c>
      <c r="AC26" s="1790">
        <f t="shared" si="6"/>
        <v>591966.79200000002</v>
      </c>
      <c r="AD26" s="1790">
        <f t="shared" si="6"/>
        <v>603806.12783999997</v>
      </c>
      <c r="AE26" s="1790">
        <f t="shared" si="6"/>
        <v>615882.25039679999</v>
      </c>
      <c r="AF26" s="1790">
        <f t="shared" si="6"/>
        <v>628199.89540473605</v>
      </c>
      <c r="AG26" s="1794">
        <v>0</v>
      </c>
      <c r="AH26" s="1799">
        <v>580</v>
      </c>
      <c r="AI26" s="1799">
        <v>591.6</v>
      </c>
      <c r="AJ26" s="1799">
        <v>603.43200000000002</v>
      </c>
      <c r="AK26" s="1799">
        <v>615.50063999999998</v>
      </c>
      <c r="AL26" s="1799">
        <v>627.81065279999996</v>
      </c>
      <c r="AM26" s="1799">
        <v>640.366865856</v>
      </c>
      <c r="AN26" s="1764"/>
      <c r="AO26" s="1764"/>
      <c r="AP26" s="1808">
        <f t="shared" si="18"/>
        <v>1.25</v>
      </c>
      <c r="AQ26" s="1810">
        <f>IF(AP26&gt;[11]核心假设及结论!$B$59,[11]核心假设及结论!$D$59,IF(AP26&lt;=[11]核心假设及结论!$B$58,[11]核心假设及结论!$D$57,[11]核心假设及结论!$D$58))</f>
        <v>1.0069999999999999</v>
      </c>
      <c r="AR26" s="1809">
        <f t="shared" si="19"/>
        <v>0</v>
      </c>
      <c r="AS26" s="1809">
        <f>AH26*(AS$2&lt;=YEAR($K26))+AR26*$AQ26*(AS$2=YEAR($K26)+1)+INDEX([11]核心假设及结论!$E$17:$E$21,MATCH($D26,[11]核心假设及结论!$B$17:$B$21,0))*(AS$2&gt;YEAR($K26)+1)*AR26</f>
        <v>580</v>
      </c>
      <c r="AT26" s="1809">
        <f>AI26*(AT$2&lt;=YEAR($K26))+AS26*$AQ26*(AT$2=YEAR($K26)+1)+INDEX([11]核心假设及结论!$E$17:$E$21,MATCH($D26,[11]核心假设及结论!$B$17:$B$21,0))*(AT$2&gt;YEAR($K26)+1)*AS26</f>
        <v>591.6</v>
      </c>
      <c r="AU26" s="1809">
        <f>AJ26*(AU$2&lt;=YEAR($K26))+AT26*$AQ26*(AU$2=YEAR($K26)+1)+INDEX([11]核心假设及结论!$E$17:$E$21,MATCH($D26,[11]核心假设及结论!$B$17:$B$21,0))*(AU$2&gt;YEAR($K26)+1)*AT26</f>
        <v>603.43200000000002</v>
      </c>
      <c r="AV26" s="1809">
        <f>AK26*(AV$2&lt;=YEAR($K26))+AU26*$AQ26*(AV$2=YEAR($K26)+1)+INDEX([11]核心假设及结论!$E$17:$E$21,MATCH($D26,[11]核心假设及结论!$B$17:$B$21,0))*(AV$2&gt;YEAR($K26)+1)*AU26</f>
        <v>615.50063999999998</v>
      </c>
      <c r="AW26" s="1809">
        <f>AL26*(AW$2&lt;=YEAR($K26))+AV26*$AQ26*(AW$2=YEAR($K26)+1)+INDEX([11]核心假设及结论!$E$17:$E$21,MATCH($D26,[11]核心假设及结论!$B$17:$B$21,0))*(AW$2&gt;YEAR($K26)+1)*AV26</f>
        <v>627.81065279999996</v>
      </c>
      <c r="AX26" s="1809">
        <f>AM26*(AX$2&lt;=YEAR($K26))+AW26*$AQ26*(AX$2=YEAR($K26)+1)+INDEX([11]核心假设及结论!$E$17:$E$21,MATCH($D26,[11]核心假设及结论!$B$17:$B$21,0))*(AX$2&gt;YEAR($K26)+1)*AW26</f>
        <v>640.366865856</v>
      </c>
      <c r="AZ26" s="1746">
        <f t="shared" si="7"/>
        <v>49458</v>
      </c>
      <c r="BA26" s="1817">
        <f t="shared" si="8"/>
        <v>45658</v>
      </c>
      <c r="BB26" s="1817">
        <f t="shared" si="9"/>
        <v>45806</v>
      </c>
      <c r="BC26" s="1817">
        <f t="shared" si="10"/>
        <v>46022</v>
      </c>
      <c r="BD26" s="1818">
        <f t="shared" si="11"/>
        <v>149</v>
      </c>
      <c r="BE26" s="1818">
        <f t="shared" si="12"/>
        <v>216</v>
      </c>
      <c r="BG26" s="1777">
        <f t="shared" si="28"/>
        <v>404.05374246575343</v>
      </c>
      <c r="BH26" s="1777">
        <f t="shared" si="27"/>
        <v>690.85707484931504</v>
      </c>
      <c r="BI26" s="1777">
        <f t="shared" si="27"/>
        <v>704.67421634630136</v>
      </c>
      <c r="BJ26" s="1777">
        <f t="shared" si="27"/>
        <v>718.76770067322741</v>
      </c>
      <c r="BK26" s="1777">
        <f t="shared" si="27"/>
        <v>733.14305468669204</v>
      </c>
      <c r="BL26" s="1777">
        <f t="shared" si="27"/>
        <v>747.80591578042583</v>
      </c>
      <c r="BM26" s="1777">
        <f t="shared" si="26"/>
        <v>307.73189396812819</v>
      </c>
      <c r="BO26" s="1739">
        <f t="shared" si="15"/>
        <v>2035</v>
      </c>
      <c r="BP26" s="1742">
        <f>_xlfn.IFNA(INDEX($AR26:$AX26,MATCH(BO26,$AR$2:$AX$2,0))*12/365*[11]核心假设及结论!$C$70*$H26,0)</f>
        <v>0</v>
      </c>
      <c r="BR26" s="1739">
        <f t="shared" si="20"/>
        <v>2044</v>
      </c>
      <c r="BS26" s="1742">
        <f>_xlfn.IFNA(INDEX($AR26:$AX26,MATCH(BR26,$AR$2:$AX$2,0))*12/365*[11]核心假设及结论!$C$70*$H26,0)</f>
        <v>0</v>
      </c>
      <c r="BU26" s="1739">
        <f t="shared" si="21"/>
        <v>2053</v>
      </c>
      <c r="BV26" s="1742">
        <f>_xlfn.IFNA(INDEX($AR26:$AX26,MATCH(BU26,$AR$2:$AX$2,0))*12/365*[11]核心假设及结论!$C$70*$H26,0)</f>
        <v>0</v>
      </c>
      <c r="BX26" s="1739">
        <f t="shared" si="22"/>
        <v>2062</v>
      </c>
      <c r="BY26" s="1742">
        <f>_xlfn.IFNA(INDEX($AR26:$AX26,MATCH(BX26,$AR$2:$AX$2,0))*12/365*[11]核心假设及结论!$C$70*$H26,0)</f>
        <v>0</v>
      </c>
      <c r="CA26" s="1739">
        <f t="shared" si="23"/>
        <v>2071</v>
      </c>
      <c r="CB26" s="1742">
        <f>_xlfn.IFNA(INDEX($AR26:$AX26,MATCH(CA26,$AR$2:$AX$2,0))*12/365*[11]核心假设及结论!$C$70*$H26,0)</f>
        <v>0</v>
      </c>
    </row>
    <row r="27" spans="1:80" ht="30" customHeight="1">
      <c r="A27" s="1756" t="s">
        <v>1666</v>
      </c>
      <c r="B27" s="1757" t="s">
        <v>1727</v>
      </c>
      <c r="C27" s="1756" t="s">
        <v>1728</v>
      </c>
      <c r="D27" s="1756" t="s">
        <v>1676</v>
      </c>
      <c r="E27" s="1758" t="s">
        <v>1677</v>
      </c>
      <c r="F27" s="1759"/>
      <c r="G27" s="1760" t="s">
        <v>1661</v>
      </c>
      <c r="H27" s="1761">
        <v>910</v>
      </c>
      <c r="I27" s="1761" t="s">
        <v>1678</v>
      </c>
      <c r="J27" s="1773">
        <v>44914</v>
      </c>
      <c r="K27" s="1773">
        <v>47105</v>
      </c>
      <c r="L27" s="1764">
        <f t="shared" si="1"/>
        <v>72</v>
      </c>
      <c r="M27" s="1774">
        <f t="shared" si="16"/>
        <v>174601.7</v>
      </c>
      <c r="N27" s="1775">
        <f t="shared" si="17"/>
        <v>155.22</v>
      </c>
      <c r="O27" s="1760">
        <v>141250.20000000001</v>
      </c>
      <c r="P27" s="1776">
        <v>0.08</v>
      </c>
      <c r="Q27" s="1783">
        <f t="shared" si="2"/>
        <v>31.65</v>
      </c>
      <c r="R27" s="1784">
        <v>28801.5</v>
      </c>
      <c r="S27" s="1777">
        <f t="shared" si="3"/>
        <v>5</v>
      </c>
      <c r="T27" s="1784">
        <v>4550</v>
      </c>
      <c r="U27" s="1777"/>
      <c r="V27" s="1785">
        <v>1354792.8908333301</v>
      </c>
      <c r="W27" s="1785">
        <f t="shared" si="4"/>
        <v>1488.783396520143</v>
      </c>
      <c r="X27" s="1786">
        <f t="shared" si="25"/>
        <v>0.12551859487201883</v>
      </c>
      <c r="Y27" s="1789">
        <f>VLOOKUP(E27,[11]核心假设及结论!$C$25:$E$45,3,0)</f>
        <v>0.25</v>
      </c>
      <c r="Z27" s="1790">
        <f t="shared" si="6"/>
        <v>141250.20000000001</v>
      </c>
      <c r="AA27" s="1790">
        <f t="shared" si="6"/>
        <v>146764.79999999999</v>
      </c>
      <c r="AB27" s="1790">
        <f t="shared" si="6"/>
        <v>149385.60000000001</v>
      </c>
      <c r="AC27" s="1790">
        <f t="shared" si="6"/>
        <v>154909.29999999999</v>
      </c>
      <c r="AD27" s="1790">
        <f t="shared" si="6"/>
        <v>0</v>
      </c>
      <c r="AE27" s="1790">
        <f t="shared" si="6"/>
        <v>0</v>
      </c>
      <c r="AF27" s="1790">
        <f t="shared" si="6"/>
        <v>0</v>
      </c>
      <c r="AG27" s="1794">
        <v>155.22</v>
      </c>
      <c r="AH27" s="1794">
        <v>161.28</v>
      </c>
      <c r="AI27" s="1794">
        <v>164.16</v>
      </c>
      <c r="AJ27" s="1794">
        <v>170.23</v>
      </c>
      <c r="AK27" s="1794">
        <v>0</v>
      </c>
      <c r="AL27" s="1794">
        <v>0</v>
      </c>
      <c r="AM27" s="1794">
        <v>0</v>
      </c>
      <c r="AN27" s="1797"/>
      <c r="AO27" s="1797"/>
      <c r="AP27" s="1808">
        <f t="shared" si="18"/>
        <v>0.50207437948807532</v>
      </c>
      <c r="AQ27" s="1808">
        <f>IF(AP27&gt;[11]核心假设及结论!$B$65,[11]核心假设及结论!$D$65,IF(AP27&lt;=[11]核心假设及结论!$B$64,[11]核心假设及结论!$D$63,[11]核心假设及结论!$D$64))</f>
        <v>1</v>
      </c>
      <c r="AR27" s="1809">
        <f t="shared" si="19"/>
        <v>155.22</v>
      </c>
      <c r="AS27" s="1809">
        <f>AH27*(AS$2&lt;=YEAR($K27))+AR27*$AQ27*(AS$2=YEAR($K27)+1)+INDEX([11]核心假设及结论!$E$17:$E$21,MATCH($D27,[11]核心假设及结论!$B$17:$B$21,0))*(AS$2&gt;YEAR($K27)+1)*AR27</f>
        <v>161.28</v>
      </c>
      <c r="AT27" s="1809">
        <f>AI27*(AT$2&lt;=YEAR($K27))+AS27*$AQ27*(AT$2=YEAR($K27)+1)+INDEX([11]核心假设及结论!$E$17:$E$21,MATCH($D27,[11]核心假设及结论!$B$17:$B$21,0))*(AT$2&gt;YEAR($K27)+1)*AS27</f>
        <v>164.16</v>
      </c>
      <c r="AU27" s="1809">
        <f>AJ27*(AU$2&lt;=YEAR($K27))+AT27*$AQ27*(AU$2=YEAR($K27)+1)+INDEX([11]核心假设及结论!$E$17:$E$21,MATCH($D27,[11]核心假设及结论!$B$17:$B$21,0))*(AU$2&gt;YEAR($K27)+1)*AT27</f>
        <v>170.23</v>
      </c>
      <c r="AV27" s="1811">
        <f>AK27*(AV$2&lt;=YEAR($K27))+AU27*$AQ27*(AV$2=YEAR($K27)+1)+INDEX([11]核心假设及结论!$E$17:$E$21,MATCH($D27,[11]核心假设及结论!$B$17:$B$21,0))*(AV$2&gt;YEAR($K27)+1)*AU27</f>
        <v>170.23</v>
      </c>
      <c r="AW27" s="1809">
        <f>AL27*(AW$2&lt;=YEAR($K27))+AV27*$AQ27*(AW$2=YEAR($K27)+1)+INDEX([11]核心假设及结论!$E$17:$E$21,MATCH($D27,[11]核心假设及结论!$B$17:$B$21,0))*(AW$2&gt;YEAR($K27)+1)*AV27</f>
        <v>176.1157171446994</v>
      </c>
      <c r="AX27" s="1809">
        <f>AM27*(AX$2&lt;=YEAR($K27))+AW27*$AQ27*(AX$2=YEAR($K27)+1)+INDEX([11]核心假设及结论!$E$17:$E$21,MATCH($D27,[11]核心假设及结论!$B$17:$B$21,0))*(AX$2&gt;YEAR($K27)+1)*AW27</f>
        <v>182.20493347466234</v>
      </c>
      <c r="AZ27" s="1746">
        <f t="shared" si="7"/>
        <v>47105</v>
      </c>
      <c r="BA27" s="1817">
        <f t="shared" si="8"/>
        <v>45658</v>
      </c>
      <c r="BB27" s="1817">
        <f t="shared" si="9"/>
        <v>46009</v>
      </c>
      <c r="BC27" s="1817">
        <f t="shared" si="10"/>
        <v>46022</v>
      </c>
      <c r="BD27" s="1818">
        <f t="shared" si="11"/>
        <v>352</v>
      </c>
      <c r="BE27" s="1818">
        <f t="shared" si="12"/>
        <v>13</v>
      </c>
      <c r="BG27" s="1777">
        <f t="shared" si="28"/>
        <v>169.73593249315067</v>
      </c>
      <c r="BH27" s="1777">
        <f t="shared" si="27"/>
        <v>176.22977227397263</v>
      </c>
      <c r="BI27" s="1777">
        <f t="shared" si="27"/>
        <v>179.49880142465756</v>
      </c>
      <c r="BJ27" s="1777">
        <f t="shared" si="27"/>
        <v>185.89116000000001</v>
      </c>
      <c r="BK27" s="1777">
        <f t="shared" si="27"/>
        <v>186.12007408379768</v>
      </c>
      <c r="BL27" s="1777">
        <f t="shared" si="27"/>
        <v>192.55519193028616</v>
      </c>
      <c r="BM27" s="1777">
        <f t="shared" si="26"/>
        <v>191.88126342116328</v>
      </c>
      <c r="BO27" s="1739">
        <f t="shared" si="15"/>
        <v>2028</v>
      </c>
      <c r="BP27" s="1742">
        <f>_xlfn.IFNA(INDEX($AR27:$AX27,MATCH(BO27,$AR$2:$AX$2,0))*12/365*[11]核心假设及结论!$C$70*$H27,0)</f>
        <v>152787.25479452053</v>
      </c>
      <c r="BR27" s="1739">
        <f t="shared" si="20"/>
        <v>2034</v>
      </c>
      <c r="BS27" s="1742">
        <f>_xlfn.IFNA(INDEX($AR27:$AX27,MATCH(BR27,$AR$2:$AX$2,0))*12/365*[11]核心假设及结论!$C$70*$H27,0)</f>
        <v>0</v>
      </c>
      <c r="BU27" s="1739">
        <f t="shared" si="21"/>
        <v>2040</v>
      </c>
      <c r="BV27" s="1742">
        <f>_xlfn.IFNA(INDEX($AR27:$AX27,MATCH(BU27,$AR$2:$AX$2,0))*12/365*[11]核心假设及结论!$C$70*$H27,0)</f>
        <v>0</v>
      </c>
      <c r="BX27" s="1739">
        <f t="shared" si="22"/>
        <v>2046</v>
      </c>
      <c r="BY27" s="1742">
        <f>_xlfn.IFNA(INDEX($AR27:$AX27,MATCH(BX27,$AR$2:$AX$2,0))*12/365*[11]核心假设及结论!$C$70*$H27,0)</f>
        <v>0</v>
      </c>
      <c r="CA27" s="1739">
        <f t="shared" si="23"/>
        <v>2052</v>
      </c>
      <c r="CB27" s="1742">
        <f>_xlfn.IFNA(INDEX($AR27:$AX27,MATCH(CA27,$AR$2:$AX$2,0))*12/365*[11]核心假设及结论!$C$70*$H27,0)</f>
        <v>0</v>
      </c>
    </row>
    <row r="28" spans="1:80" ht="30" customHeight="1">
      <c r="A28" s="1763" t="s">
        <v>1666</v>
      </c>
      <c r="B28" s="1757" t="s">
        <v>1729</v>
      </c>
      <c r="C28" s="1764" t="s">
        <v>1730</v>
      </c>
      <c r="D28" s="1764" t="s">
        <v>1676</v>
      </c>
      <c r="E28" s="1764" t="s">
        <v>1677</v>
      </c>
      <c r="F28" s="1765"/>
      <c r="G28" s="1763" t="s">
        <v>1682</v>
      </c>
      <c r="H28" s="1761">
        <v>888</v>
      </c>
      <c r="I28" s="1763" t="s">
        <v>1678</v>
      </c>
      <c r="J28" s="1773">
        <v>45536</v>
      </c>
      <c r="K28" s="1773">
        <v>47361</v>
      </c>
      <c r="L28" s="1764">
        <f t="shared" si="1"/>
        <v>60</v>
      </c>
      <c r="M28" s="1774">
        <f t="shared" si="16"/>
        <v>159973.20000000001</v>
      </c>
      <c r="N28" s="1775">
        <f t="shared" si="17"/>
        <v>120.14999999999999</v>
      </c>
      <c r="O28" s="1777">
        <v>106693.2</v>
      </c>
      <c r="P28" s="1763">
        <v>0</v>
      </c>
      <c r="Q28" s="1783">
        <f t="shared" si="2"/>
        <v>50</v>
      </c>
      <c r="R28" s="1763">
        <v>44400</v>
      </c>
      <c r="S28" s="1777">
        <f t="shared" si="3"/>
        <v>10</v>
      </c>
      <c r="T28" s="1763">
        <v>8880</v>
      </c>
      <c r="U28" s="1763"/>
      <c r="V28" s="1785"/>
      <c r="W28" s="1785">
        <f t="shared" si="4"/>
        <v>0</v>
      </c>
      <c r="X28" s="1786" t="e">
        <f t="shared" si="25"/>
        <v>#DIV/0!</v>
      </c>
      <c r="Y28" s="1789">
        <f>VLOOKUP(E28,[11]核心假设及结论!$C$25:$E$45,3,0)</f>
        <v>0.25</v>
      </c>
      <c r="Z28" s="1790">
        <f t="shared" si="6"/>
        <v>106693.20000000001</v>
      </c>
      <c r="AA28" s="1790">
        <f t="shared" si="6"/>
        <v>111284.15999999999</v>
      </c>
      <c r="AB28" s="1790">
        <f t="shared" si="6"/>
        <v>111284.15999999999</v>
      </c>
      <c r="AC28" s="1790">
        <f t="shared" si="6"/>
        <v>116949.59999999999</v>
      </c>
      <c r="AD28" s="1790">
        <f t="shared" si="6"/>
        <v>116949.59999999999</v>
      </c>
      <c r="AE28" s="1790">
        <f t="shared" si="6"/>
        <v>0</v>
      </c>
      <c r="AF28" s="1790">
        <f t="shared" si="6"/>
        <v>0</v>
      </c>
      <c r="AG28" s="1794">
        <v>120.15</v>
      </c>
      <c r="AH28" s="1794">
        <v>125.32</v>
      </c>
      <c r="AI28" s="1794">
        <v>125.32</v>
      </c>
      <c r="AJ28" s="1794">
        <v>131.69999999999999</v>
      </c>
      <c r="AK28" s="1794">
        <v>131.69999999999999</v>
      </c>
      <c r="AL28" s="1794">
        <v>0</v>
      </c>
      <c r="AM28" s="1794">
        <v>0</v>
      </c>
      <c r="AN28" s="1764"/>
      <c r="AO28" s="1764"/>
      <c r="AP28" s="1808">
        <f t="shared" si="18"/>
        <v>1.25</v>
      </c>
      <c r="AQ28" s="1808">
        <f>IF(AP28&gt;[11]核心假设及结论!$B$65,[11]核心假设及结论!$D$65,IF(AP28&lt;=[11]核心假设及结论!$B$64,[11]核心假设及结论!$D$63,[11]核心假设及结论!$D$64))</f>
        <v>0.754</v>
      </c>
      <c r="AR28" s="1809">
        <f t="shared" si="19"/>
        <v>120.15</v>
      </c>
      <c r="AS28" s="1809">
        <f>AH28*(AS$2&lt;=YEAR($K28))+AR28*$AQ28*(AS$2=YEAR($K28)+1)+INDEX([11]核心假设及结论!$E$17:$E$21,MATCH($D28,[11]核心假设及结论!$B$17:$B$21,0))*(AS$2&gt;YEAR($K28)+1)*AR28</f>
        <v>125.32</v>
      </c>
      <c r="AT28" s="1809">
        <f>AI28*(AT$2&lt;=YEAR($K28))+AS28*$AQ28*(AT$2=YEAR($K28)+1)+INDEX([11]核心假设及结论!$E$17:$E$21,MATCH($D28,[11]核心假设及结论!$B$17:$B$21,0))*(AT$2&gt;YEAR($K28)+1)*AS28</f>
        <v>125.32</v>
      </c>
      <c r="AU28" s="1809">
        <f>AJ28*(AU$2&lt;=YEAR($K28))+AT28*$AQ28*(AU$2=YEAR($K28)+1)+INDEX([11]核心假设及结论!$E$17:$E$21,MATCH($D28,[11]核心假设及结论!$B$17:$B$21,0))*(AU$2&gt;YEAR($K28)+1)*AT28</f>
        <v>131.69999999999999</v>
      </c>
      <c r="AV28" s="1809">
        <f>AK28*(AV$2&lt;=YEAR($K28))+AU28*$AQ28*(AV$2=YEAR($K28)+1)+INDEX([11]核心假设及结论!$E$17:$E$21,MATCH($D28,[11]核心假设及结论!$B$17:$B$21,0))*(AV$2&gt;YEAR($K28)+1)*AU28</f>
        <v>131.69999999999999</v>
      </c>
      <c r="AW28" s="1811">
        <f>AL28*(AW$2&lt;=YEAR($K28))+AV28*$AQ28*(AW$2=YEAR($K28)+1)+INDEX([11]核心假设及结论!$E$17:$E$21,MATCH($D28,[11]核心假设及结论!$B$17:$B$21,0))*(AW$2&gt;YEAR($K28)+1)*AV28</f>
        <v>99.301799999999986</v>
      </c>
      <c r="AX28" s="1809">
        <f>AM28*(AX$2&lt;=YEAR($K28))+AW28*$AQ28*(AX$2=YEAR($K28)+1)+INDEX([11]核心假设及结论!$E$17:$E$21,MATCH($D28,[11]核心假设及结论!$B$17:$B$21,0))*(AX$2&gt;YEAR($K28)+1)*AW28</f>
        <v>102.73516842365922</v>
      </c>
      <c r="AZ28" s="1746">
        <f t="shared" si="7"/>
        <v>47361</v>
      </c>
      <c r="BA28" s="1817">
        <f t="shared" si="8"/>
        <v>45658</v>
      </c>
      <c r="BB28" s="1817">
        <f t="shared" si="9"/>
        <v>45900</v>
      </c>
      <c r="BC28" s="1817">
        <f t="shared" si="10"/>
        <v>46022</v>
      </c>
      <c r="BD28" s="1818">
        <f t="shared" si="11"/>
        <v>243</v>
      </c>
      <c r="BE28" s="1818">
        <f t="shared" si="12"/>
        <v>122</v>
      </c>
      <c r="BG28" s="1777">
        <f t="shared" si="28"/>
        <v>129.87325518904112</v>
      </c>
      <c r="BH28" s="1777">
        <f t="shared" si="27"/>
        <v>133.54099199999999</v>
      </c>
      <c r="BI28" s="1777">
        <f t="shared" si="27"/>
        <v>135.81337670136986</v>
      </c>
      <c r="BJ28" s="1777">
        <f t="shared" si="27"/>
        <v>140.33951999999996</v>
      </c>
      <c r="BK28" s="1777">
        <f t="shared" si="27"/>
        <v>128.80015102947942</v>
      </c>
      <c r="BL28" s="1777">
        <f t="shared" si="27"/>
        <v>107.03887172891686</v>
      </c>
      <c r="BM28" s="1777">
        <f t="shared" si="26"/>
        <v>72.883086848649469</v>
      </c>
      <c r="BO28" s="1739">
        <f t="shared" si="15"/>
        <v>2029</v>
      </c>
      <c r="BP28" s="1742">
        <f>_xlfn.IFNA(INDEX($AR28:$AX28,MATCH(BO28,$AR$2:$AX$2,0))*12/365*[11]核心假设及结论!$C$70*$H28,0)</f>
        <v>115347.55068493148</v>
      </c>
      <c r="BR28" s="1739">
        <f t="shared" si="20"/>
        <v>2034</v>
      </c>
      <c r="BS28" s="1742">
        <f>_xlfn.IFNA(INDEX($AR28:$AX28,MATCH(BR28,$AR$2:$AX$2,0))*12/365*[11]核心假设及结论!$C$70*$H28,0)</f>
        <v>0</v>
      </c>
      <c r="BU28" s="1739">
        <f t="shared" si="21"/>
        <v>2039</v>
      </c>
      <c r="BV28" s="1742">
        <f>_xlfn.IFNA(INDEX($AR28:$AX28,MATCH(BU28,$AR$2:$AX$2,0))*12/365*[11]核心假设及结论!$C$70*$H28,0)</f>
        <v>0</v>
      </c>
      <c r="BX28" s="1739">
        <f t="shared" si="22"/>
        <v>2044</v>
      </c>
      <c r="BY28" s="1742">
        <f>_xlfn.IFNA(INDEX($AR28:$AX28,MATCH(BX28,$AR$2:$AX$2,0))*12/365*[11]核心假设及结论!$C$70*$H28,0)</f>
        <v>0</v>
      </c>
      <c r="CA28" s="1739">
        <f t="shared" si="23"/>
        <v>2049</v>
      </c>
      <c r="CB28" s="1742">
        <f>_xlfn.IFNA(INDEX($AR28:$AX28,MATCH(CA28,$AR$2:$AX$2,0))*12/365*[11]核心假设及结论!$C$70*$H28,0)</f>
        <v>0</v>
      </c>
    </row>
    <row r="29" spans="1:80" ht="30" customHeight="1">
      <c r="A29" s="1756" t="s">
        <v>1687</v>
      </c>
      <c r="B29" s="1757" t="s">
        <v>1731</v>
      </c>
      <c r="C29" s="1756" t="s">
        <v>1732</v>
      </c>
      <c r="D29" s="1756" t="s">
        <v>1676</v>
      </c>
      <c r="E29" s="1758" t="s">
        <v>1677</v>
      </c>
      <c r="F29" s="1759"/>
      <c r="G29" s="1760" t="s">
        <v>1661</v>
      </c>
      <c r="H29" s="1761">
        <v>867</v>
      </c>
      <c r="I29" s="1761" t="s">
        <v>1678</v>
      </c>
      <c r="J29" s="1773">
        <v>44201</v>
      </c>
      <c r="K29" s="1773">
        <v>46026</v>
      </c>
      <c r="L29" s="1764">
        <f t="shared" si="1"/>
        <v>60</v>
      </c>
      <c r="M29" s="1774">
        <f t="shared" si="16"/>
        <v>226573.11000000002</v>
      </c>
      <c r="N29" s="1775">
        <f t="shared" si="17"/>
        <v>197.71</v>
      </c>
      <c r="O29" s="1760">
        <v>171414.57</v>
      </c>
      <c r="P29" s="1776">
        <v>0.12</v>
      </c>
      <c r="Q29" s="1783">
        <f t="shared" si="2"/>
        <v>45</v>
      </c>
      <c r="R29" s="1784">
        <v>39015</v>
      </c>
      <c r="S29" s="1777">
        <f t="shared" si="3"/>
        <v>18.62</v>
      </c>
      <c r="T29" s="1784">
        <v>16143.54</v>
      </c>
      <c r="U29" s="1777"/>
      <c r="V29" s="1785">
        <v>227456.64249999999</v>
      </c>
      <c r="W29" s="1785">
        <f t="shared" si="4"/>
        <v>262.34906862745095</v>
      </c>
      <c r="X29" s="1786">
        <f t="shared" si="25"/>
        <v>0.92514145855291963</v>
      </c>
      <c r="Y29" s="1789">
        <f>VLOOKUP(E29,[11]核心假设及结论!$C$25:$E$45,3,0)</f>
        <v>0.25</v>
      </c>
      <c r="Z29" s="1790">
        <f t="shared" si="6"/>
        <v>171414.57</v>
      </c>
      <c r="AA29" s="1790">
        <f t="shared" si="6"/>
        <v>184601.63999999998</v>
      </c>
      <c r="AB29" s="1790">
        <f t="shared" si="6"/>
        <v>0</v>
      </c>
      <c r="AC29" s="1790">
        <f t="shared" si="6"/>
        <v>0</v>
      </c>
      <c r="AD29" s="1790">
        <f t="shared" si="6"/>
        <v>0</v>
      </c>
      <c r="AE29" s="1790">
        <f t="shared" si="6"/>
        <v>0</v>
      </c>
      <c r="AF29" s="1790">
        <f t="shared" si="6"/>
        <v>0</v>
      </c>
      <c r="AG29" s="1794">
        <v>197.71</v>
      </c>
      <c r="AH29" s="1794">
        <v>212.92</v>
      </c>
      <c r="AI29" s="1794">
        <v>0</v>
      </c>
      <c r="AJ29" s="1794">
        <v>0</v>
      </c>
      <c r="AK29" s="1794">
        <v>0</v>
      </c>
      <c r="AL29" s="1794">
        <v>0</v>
      </c>
      <c r="AM29" s="1794">
        <v>0</v>
      </c>
      <c r="AN29" s="1797"/>
      <c r="AO29" s="1797"/>
      <c r="AP29" s="1808">
        <f t="shared" si="18"/>
        <v>3.7005658342116785</v>
      </c>
      <c r="AQ29" s="1808">
        <f>IF(AP29&gt;[11]核心假设及结论!$B$65,[11]核心假设及结论!$D$65,IF(AP29&lt;=[11]核心假设及结论!$B$64,[11]核心假设及结论!$D$63,[11]核心假设及结论!$D$64))</f>
        <v>0.72793038402688603</v>
      </c>
      <c r="AR29" s="1809">
        <f t="shared" si="19"/>
        <v>197.71</v>
      </c>
      <c r="AS29" s="1809">
        <f>AH29*(AS$2&lt;=YEAR($K29))+AR29*$AQ29*(AS$2=YEAR($K29)+1)+INDEX([11]核心假设及结论!$E$17:$E$21,MATCH($D29,[11]核心假设及结论!$B$17:$B$21,0))*(AS$2&gt;YEAR($K29)+1)*AR29</f>
        <v>212.92</v>
      </c>
      <c r="AT29" s="1811">
        <f>AI29*(AT$2&lt;=YEAR($K29))+AS29*$AQ29*(AT$2=YEAR($K29)+1)+INDEX([11]核心假设及结论!$E$17:$E$21,MATCH($D29,[11]核心假设及结论!$B$17:$B$21,0))*(AT$2&gt;YEAR($K29)+1)*AS29</f>
        <v>154.99093736700456</v>
      </c>
      <c r="AU29" s="1809">
        <f>AJ29*(AU$2&lt;=YEAR($K29))+AT29*$AQ29*(AU$2=YEAR($K29)+1)+INDEX([11]核心假设及结论!$E$17:$E$21,MATCH($D29,[11]核心假设及结论!$B$17:$B$21,0))*(AU$2&gt;YEAR($K29)+1)*AT29</f>
        <v>160.34976258778829</v>
      </c>
      <c r="AV29" s="1809">
        <f>AK29*(AV$2&lt;=YEAR($K29))+AU29*$AQ29*(AV$2=YEAR($K29)+1)+INDEX([11]核心假设及结论!$E$17:$E$21,MATCH($D29,[11]核心假设及结论!$B$17:$B$21,0))*(AV$2&gt;YEAR($K29)+1)*AU29</f>
        <v>165.8938696594644</v>
      </c>
      <c r="AW29" s="1809">
        <f>AL29*(AW$2&lt;=YEAR($K29))+AV29*$AQ29*(AW$2=YEAR($K29)+1)+INDEX([11]核心假设及结论!$E$17:$E$21,MATCH($D29,[11]核心假设及结论!$B$17:$B$21,0))*(AW$2&gt;YEAR($K29)+1)*AV29</f>
        <v>171.62966471823924</v>
      </c>
      <c r="AX29" s="1809">
        <f>AM29*(AX$2&lt;=YEAR($K29))+AW29*$AQ29*(AX$2=YEAR($K29)+1)+INDEX([11]核心假设及结论!$E$17:$E$21,MATCH($D29,[11]核心假设及结论!$B$17:$B$21,0))*(AX$2&gt;YEAR($K29)+1)*AW29</f>
        <v>177.56377539303895</v>
      </c>
      <c r="AZ29" s="1746">
        <f t="shared" si="7"/>
        <v>46026</v>
      </c>
      <c r="BA29" s="1817">
        <f t="shared" si="8"/>
        <v>45658</v>
      </c>
      <c r="BB29" s="1817">
        <f t="shared" si="9"/>
        <v>45661</v>
      </c>
      <c r="BC29" s="1817">
        <f t="shared" si="10"/>
        <v>46022</v>
      </c>
      <c r="BD29" s="1818">
        <f t="shared" si="11"/>
        <v>4</v>
      </c>
      <c r="BE29" s="1818">
        <f t="shared" si="12"/>
        <v>361</v>
      </c>
      <c r="BG29" s="1777">
        <f t="shared" si="28"/>
        <v>221.34854899726025</v>
      </c>
      <c r="BH29" s="1777">
        <f t="shared" si="27"/>
        <v>161.91305777650408</v>
      </c>
      <c r="BI29" s="1777">
        <f t="shared" si="27"/>
        <v>166.76679357979029</v>
      </c>
      <c r="BJ29" s="1777">
        <f t="shared" si="27"/>
        <v>172.532770059489</v>
      </c>
      <c r="BK29" s="1777">
        <f t="shared" si="27"/>
        <v>178.49810568048187</v>
      </c>
      <c r="BL29" s="1777">
        <f t="shared" si="27"/>
        <v>184.66969330252252</v>
      </c>
      <c r="BM29" s="1777">
        <f t="shared" si="26"/>
        <v>2.0245189251388247</v>
      </c>
      <c r="BO29" s="1739">
        <f t="shared" si="15"/>
        <v>2026</v>
      </c>
      <c r="BP29" s="1742">
        <f>_xlfn.IFNA(INDEX($AR29:$AX29,MATCH(BO29,$AR$2:$AX$2,0))*12/365*[11]核心假设及结论!$C$70*$H29,0)</f>
        <v>182072.8504109589</v>
      </c>
      <c r="BR29" s="1739">
        <f t="shared" si="20"/>
        <v>2031</v>
      </c>
      <c r="BS29" s="1742">
        <f>_xlfn.IFNA(INDEX($AR29:$AX29,MATCH(BR29,$AR$2:$AX$2,0))*12/365*[11]核心假设及结论!$C$70*$H29,0)</f>
        <v>151838.91938541183</v>
      </c>
      <c r="BU29" s="1739">
        <f t="shared" si="21"/>
        <v>2036</v>
      </c>
      <c r="BV29" s="1742">
        <f>_xlfn.IFNA(INDEX($AR29:$AX29,MATCH(BU29,$AR$2:$AX$2,0))*12/365*[11]核心假设及结论!$C$70*$H29,0)</f>
        <v>0</v>
      </c>
      <c r="BX29" s="1739">
        <f t="shared" si="22"/>
        <v>2041</v>
      </c>
      <c r="BY29" s="1742">
        <f>_xlfn.IFNA(INDEX($AR29:$AX29,MATCH(BX29,$AR$2:$AX$2,0))*12/365*[11]核心假设及结论!$C$70*$H29,0)</f>
        <v>0</v>
      </c>
      <c r="CA29" s="1739">
        <f t="shared" si="23"/>
        <v>2046</v>
      </c>
      <c r="CB29" s="1742">
        <f>_xlfn.IFNA(INDEX($AR29:$AX29,MATCH(CA29,$AR$2:$AX$2,0))*12/365*[11]核心假设及结论!$C$70*$H29,0)</f>
        <v>0</v>
      </c>
    </row>
    <row r="30" spans="1:80" ht="30" customHeight="1">
      <c r="A30" s="1756" t="s">
        <v>1687</v>
      </c>
      <c r="B30" s="1757" t="s">
        <v>1733</v>
      </c>
      <c r="C30" s="1756" t="s">
        <v>1734</v>
      </c>
      <c r="D30" s="1756" t="s">
        <v>1685</v>
      </c>
      <c r="E30" s="1758" t="s">
        <v>1735</v>
      </c>
      <c r="F30" s="1759"/>
      <c r="G30" s="1760" t="s">
        <v>1661</v>
      </c>
      <c r="H30" s="1761">
        <v>799</v>
      </c>
      <c r="I30" s="1761" t="s">
        <v>1736</v>
      </c>
      <c r="J30" s="1773">
        <v>45488</v>
      </c>
      <c r="K30" s="1773">
        <v>46948</v>
      </c>
      <c r="L30" s="1764">
        <f t="shared" si="1"/>
        <v>48</v>
      </c>
      <c r="M30" s="1774">
        <f t="shared" si="16"/>
        <v>111260.75</v>
      </c>
      <c r="N30" s="1775">
        <f t="shared" si="17"/>
        <v>91.25</v>
      </c>
      <c r="O30" s="1760">
        <v>72908.75</v>
      </c>
      <c r="P30" s="1776">
        <v>0.02</v>
      </c>
      <c r="Q30" s="1783">
        <f t="shared" si="2"/>
        <v>40</v>
      </c>
      <c r="R30" s="1784">
        <v>31960</v>
      </c>
      <c r="S30" s="1777">
        <f t="shared" si="3"/>
        <v>8</v>
      </c>
      <c r="T30" s="1784">
        <v>6392</v>
      </c>
      <c r="U30" s="1777"/>
      <c r="V30" s="1785"/>
      <c r="W30" s="1785">
        <f t="shared" si="4"/>
        <v>0</v>
      </c>
      <c r="X30" s="1786" t="e">
        <f>(N30+Q30+S30)*H30/V30</f>
        <v>#DIV/0!</v>
      </c>
      <c r="Y30" s="1789">
        <f>VLOOKUP(E30,[11]核心假设及结论!$C$25:$E$45,3,0)</f>
        <v>0.2</v>
      </c>
      <c r="Z30" s="1790">
        <f t="shared" si="6"/>
        <v>72908.75</v>
      </c>
      <c r="AA30" s="1790">
        <f t="shared" si="6"/>
        <v>77287.27</v>
      </c>
      <c r="AB30" s="1790">
        <f t="shared" si="6"/>
        <v>81897.5</v>
      </c>
      <c r="AC30" s="1790">
        <f t="shared" si="6"/>
        <v>86763.41</v>
      </c>
      <c r="AD30" s="1790">
        <f t="shared" si="6"/>
        <v>0</v>
      </c>
      <c r="AE30" s="1790">
        <f t="shared" si="6"/>
        <v>0</v>
      </c>
      <c r="AF30" s="1790">
        <f t="shared" si="6"/>
        <v>0</v>
      </c>
      <c r="AG30" s="1794">
        <v>91.25</v>
      </c>
      <c r="AH30" s="1794">
        <v>96.73</v>
      </c>
      <c r="AI30" s="1794">
        <v>102.5</v>
      </c>
      <c r="AJ30" s="1794">
        <v>108.59</v>
      </c>
      <c r="AK30" s="1794">
        <v>0</v>
      </c>
      <c r="AL30" s="1794">
        <v>0</v>
      </c>
      <c r="AM30" s="1794">
        <v>0</v>
      </c>
      <c r="AN30" s="1797"/>
      <c r="AO30" s="1797"/>
      <c r="AP30" s="1808">
        <f t="shared" si="18"/>
        <v>1.25</v>
      </c>
      <c r="AQ30" s="1810">
        <f>IF(AP30&gt;[11]核心假设及结论!$B$59,[11]核心假设及结论!$D$59,IF(AP30&lt;=[11]核心假设及结论!$B$58,[11]核心假设及结论!$D$57,[11]核心假设及结论!$D$58))</f>
        <v>1.0069999999999999</v>
      </c>
      <c r="AR30" s="1809">
        <f t="shared" si="19"/>
        <v>91.25</v>
      </c>
      <c r="AS30" s="1809">
        <f>AH30*(AS$2&lt;=YEAR($K30))+AR30*$AQ30*(AS$2=YEAR($K30)+1)+INDEX([11]核心假设及结论!$E$17:$E$21,MATCH($D30,[11]核心假设及结论!$B$17:$B$21,0))*(AS$2&gt;YEAR($K30)+1)*AR30</f>
        <v>96.73</v>
      </c>
      <c r="AT30" s="1809">
        <f>AI30*(AT$2&lt;=YEAR($K30))+AS30*$AQ30*(AT$2=YEAR($K30)+1)+INDEX([11]核心假设及结论!$E$17:$E$21,MATCH($D30,[11]核心假设及结论!$B$17:$B$21,0))*(AT$2&gt;YEAR($K30)+1)*AS30</f>
        <v>102.5</v>
      </c>
      <c r="AU30" s="1809">
        <f>AJ30*(AU$2&lt;=YEAR($K30))+AT30*$AQ30*(AU$2=YEAR($K30)+1)+INDEX([11]核心假设及结论!$E$17:$E$21,MATCH($D30,[11]核心假设及结论!$B$17:$B$21,0))*(AU$2&gt;YEAR($K30)+1)*AT30</f>
        <v>108.59</v>
      </c>
      <c r="AV30" s="1811">
        <f>AK30*(AV$2&lt;=YEAR($K30))+AU30*$AQ30*(AV$2=YEAR($K30)+1)+INDEX([11]核心假设及结论!$E$17:$E$21,MATCH($D30,[11]核心假设及结论!$B$17:$B$21,0))*(AV$2&gt;YEAR($K30)+1)*AU30</f>
        <v>109.35012999999999</v>
      </c>
      <c r="AW30" s="1809">
        <f>AL30*(AW$2&lt;=YEAR($K30))+AV30*$AQ30*(AW$2=YEAR($K30)+1)+INDEX([11]核心假设及结论!$E$17:$E$21,MATCH($D30,[11]核心假设及结论!$B$17:$B$21,0))*(AW$2&gt;YEAR($K30)+1)*AV30</f>
        <v>112.31072911132443</v>
      </c>
      <c r="AX30" s="1809">
        <f>AM30*(AX$2&lt;=YEAR($K30))+AW30*$AQ30*(AX$2=YEAR($K30)+1)+INDEX([11]核心假设及结论!$E$17:$E$21,MATCH($D30,[11]核心假设及结论!$B$17:$B$21,0))*(AX$2&gt;YEAR($K30)+1)*AW30</f>
        <v>115.35148493666443</v>
      </c>
      <c r="AZ30" s="1746">
        <f t="shared" si="7"/>
        <v>46948</v>
      </c>
      <c r="BA30" s="1817">
        <f t="shared" si="8"/>
        <v>45658</v>
      </c>
      <c r="BB30" s="1817">
        <f t="shared" si="9"/>
        <v>45852</v>
      </c>
      <c r="BC30" s="1817">
        <f t="shared" si="10"/>
        <v>46022</v>
      </c>
      <c r="BD30" s="1818">
        <f t="shared" si="11"/>
        <v>195</v>
      </c>
      <c r="BE30" s="1818">
        <f t="shared" si="12"/>
        <v>170</v>
      </c>
      <c r="BG30" s="1777">
        <f t="shared" si="28"/>
        <v>89.937672821917801</v>
      </c>
      <c r="BH30" s="1777">
        <f t="shared" si="27"/>
        <v>95.321400493150691</v>
      </c>
      <c r="BI30" s="1777">
        <f t="shared" si="27"/>
        <v>100.99657709589039</v>
      </c>
      <c r="BJ30" s="1777">
        <f t="shared" si="27"/>
        <v>104.4555389848767</v>
      </c>
      <c r="BK30" s="1777">
        <f t="shared" si="27"/>
        <v>106.16700276112175</v>
      </c>
      <c r="BL30" s="1777">
        <f t="shared" si="27"/>
        <v>109.04142032264231</v>
      </c>
      <c r="BM30" s="1777">
        <f t="shared" si="26"/>
        <v>59.087138993612058</v>
      </c>
      <c r="BO30" s="1739">
        <f t="shared" si="15"/>
        <v>2028</v>
      </c>
      <c r="BP30" s="1742">
        <f>_xlfn.IFNA(INDEX($AR30:$AX30,MATCH(BO30,$AR$2:$AX$2,0))*12/365*[11]核心假设及结论!$C$70*$H30,0)</f>
        <v>85574.870136986297</v>
      </c>
      <c r="BR30" s="1739">
        <f t="shared" si="20"/>
        <v>2032</v>
      </c>
      <c r="BS30" s="1742">
        <f>_xlfn.IFNA(INDEX($AR30:$AX30,MATCH(BR30,$AR$2:$AX$2,0))*12/365*[11]核心假设及结论!$C$70*$H30,0)</f>
        <v>0</v>
      </c>
      <c r="BU30" s="1739">
        <f t="shared" si="21"/>
        <v>2036</v>
      </c>
      <c r="BV30" s="1742">
        <f>_xlfn.IFNA(INDEX($AR30:$AX30,MATCH(BU30,$AR$2:$AX$2,0))*12/365*[11]核心假设及结论!$C$70*$H30,0)</f>
        <v>0</v>
      </c>
      <c r="BX30" s="1739">
        <f t="shared" si="22"/>
        <v>2040</v>
      </c>
      <c r="BY30" s="1742">
        <f>_xlfn.IFNA(INDEX($AR30:$AX30,MATCH(BX30,$AR$2:$AX$2,0))*12/365*[11]核心假设及结论!$C$70*$H30,0)</f>
        <v>0</v>
      </c>
      <c r="CA30" s="1739">
        <f t="shared" si="23"/>
        <v>2044</v>
      </c>
      <c r="CB30" s="1742">
        <f>_xlfn.IFNA(INDEX($AR30:$AX30,MATCH(CA30,$AR$2:$AX$2,0))*12/365*[11]核心假设及结论!$C$70*$H30,0)</f>
        <v>0</v>
      </c>
    </row>
    <row r="31" spans="1:80" ht="30" customHeight="1">
      <c r="A31" s="1756" t="s">
        <v>1662</v>
      </c>
      <c r="B31" s="1757" t="s">
        <v>1737</v>
      </c>
      <c r="C31" s="1756" t="s">
        <v>1738</v>
      </c>
      <c r="D31" s="1756" t="s">
        <v>1685</v>
      </c>
      <c r="E31" s="1758" t="s">
        <v>1718</v>
      </c>
      <c r="F31" s="1759"/>
      <c r="G31" s="1760" t="s">
        <v>1661</v>
      </c>
      <c r="H31" s="1761">
        <v>785</v>
      </c>
      <c r="I31" s="1761" t="s">
        <v>1736</v>
      </c>
      <c r="J31" s="1773">
        <v>43914</v>
      </c>
      <c r="K31" s="1773">
        <v>45739</v>
      </c>
      <c r="L31" s="1764">
        <f t="shared" si="1"/>
        <v>60</v>
      </c>
      <c r="M31" s="1774">
        <f t="shared" si="16"/>
        <v>495099.5</v>
      </c>
      <c r="N31" s="1775">
        <f t="shared" si="17"/>
        <v>517.08000000000004</v>
      </c>
      <c r="O31" s="1760">
        <v>405907.8</v>
      </c>
      <c r="P31" s="1776">
        <v>0.16</v>
      </c>
      <c r="Q31" s="1783">
        <f t="shared" si="2"/>
        <v>95</v>
      </c>
      <c r="R31" s="1784">
        <v>74575</v>
      </c>
      <c r="S31" s="1777">
        <f t="shared" si="3"/>
        <v>18.62</v>
      </c>
      <c r="T31" s="1784">
        <v>14616.7</v>
      </c>
      <c r="U31" s="1777"/>
      <c r="V31" s="1785">
        <v>2768559.8774999999</v>
      </c>
      <c r="W31" s="1785">
        <f t="shared" si="4"/>
        <v>3526.8278694267515</v>
      </c>
      <c r="X31" s="1786">
        <f t="shared" ref="X31:X38" si="29">(N31+Q31)*H31/V31</f>
        <v>0.17354972305452696</v>
      </c>
      <c r="Y31" s="1789">
        <f>VLOOKUP(E31,[11]核心假设及结论!$C$25:$E$45,3,0)</f>
        <v>0.2</v>
      </c>
      <c r="Z31" s="1790">
        <f t="shared" si="6"/>
        <v>405907.80000000005</v>
      </c>
      <c r="AA31" s="1790">
        <f t="shared" si="6"/>
        <v>0</v>
      </c>
      <c r="AB31" s="1790">
        <f t="shared" si="6"/>
        <v>0</v>
      </c>
      <c r="AC31" s="1790">
        <f t="shared" si="6"/>
        <v>0</v>
      </c>
      <c r="AD31" s="1790">
        <f t="shared" si="6"/>
        <v>0</v>
      </c>
      <c r="AE31" s="1790">
        <f t="shared" si="6"/>
        <v>0</v>
      </c>
      <c r="AF31" s="1790">
        <f t="shared" si="6"/>
        <v>0</v>
      </c>
      <c r="AG31" s="1794">
        <v>517.08000000000004</v>
      </c>
      <c r="AH31" s="1794">
        <v>0</v>
      </c>
      <c r="AI31" s="1794">
        <v>0</v>
      </c>
      <c r="AJ31" s="1794">
        <v>0</v>
      </c>
      <c r="AK31" s="1794">
        <v>0</v>
      </c>
      <c r="AL31" s="1794">
        <v>0</v>
      </c>
      <c r="AM31" s="1794">
        <v>0</v>
      </c>
      <c r="AN31" s="1797"/>
      <c r="AO31" s="1797"/>
      <c r="AP31" s="1808">
        <f t="shared" si="18"/>
        <v>0.86774861527263469</v>
      </c>
      <c r="AQ31" s="1810">
        <f>IF(AP31&gt;[11]核心假设及结论!$B$59,[11]核心假设及结论!$D$59,IF(AP31&lt;=[11]核心假设及结论!$B$58,[11]核心假设及结论!$D$57,[11]核心假设及结论!$D$58))</f>
        <v>1.0342640124442799</v>
      </c>
      <c r="AR31" s="1809">
        <f t="shared" si="19"/>
        <v>517.08000000000004</v>
      </c>
      <c r="AS31" s="1811">
        <f>AH31*(AS$2&lt;=YEAR($K31))+AR31*$AQ31*(AS$2=YEAR($K31)+1)+INDEX([11]核心假设及结论!$E$17:$E$21,MATCH($D31,[11]核心假设及结论!$B$17:$B$21,0))*(AS$2&gt;YEAR($K31)+1)*AR31</f>
        <v>534.79723555468831</v>
      </c>
      <c r="AT31" s="1809">
        <f>AI31*(AT$2&lt;=YEAR($K31))+AS31*$AQ31*(AT$2=YEAR($K31)+1)+INDEX([11]核心假设及结论!$E$17:$E$21,MATCH($D31,[11]核心假设及结论!$B$17:$B$21,0))*(AT$2&gt;YEAR($K31)+1)*AS31</f>
        <v>549.27659849940517</v>
      </c>
      <c r="AU31" s="1809">
        <f>AJ31*(AU$2&lt;=YEAR($K31))+AT31*$AQ31*(AU$2=YEAR($K31)+1)+INDEX([11]核心假设及结论!$E$17:$E$21,MATCH($D31,[11]核心假设及结论!$B$17:$B$21,0))*(AU$2&gt;YEAR($K31)+1)*AT31</f>
        <v>564.14798282595916</v>
      </c>
      <c r="AV31" s="1809">
        <f>AK31*(AV$2&lt;=YEAR($K31))+AU31*$AQ31*(AV$2=YEAR($K31)+1)+INDEX([11]核心假设及结论!$E$17:$E$21,MATCH($D31,[11]核心假设及结论!$B$17:$B$21,0))*(AV$2&gt;YEAR($K31)+1)*AU31</f>
        <v>579.4220023137276</v>
      </c>
      <c r="AW31" s="1809">
        <f>AL31*(AW$2&lt;=YEAR($K31))+AV31*$AQ31*(AW$2=YEAR($K31)+1)+INDEX([11]核心假设及结论!$E$17:$E$21,MATCH($D31,[11]核心假设及结论!$B$17:$B$21,0))*(AW$2&gt;YEAR($K31)+1)*AV31</f>
        <v>595.10955810476185</v>
      </c>
      <c r="AX31" s="1809">
        <f>AM31*(AX$2&lt;=YEAR($K31))+AW31*$AQ31*(AX$2=YEAR($K31)+1)+INDEX([11]核心假设及结论!$E$17:$E$21,MATCH($D31,[11]核心假设及结论!$B$17:$B$21,0))*(AX$2&gt;YEAR($K31)+1)*AW31</f>
        <v>611.22184648398581</v>
      </c>
      <c r="AZ31" s="1746">
        <f t="shared" si="7"/>
        <v>45739</v>
      </c>
      <c r="BA31" s="1817">
        <f t="shared" si="8"/>
        <v>45658</v>
      </c>
      <c r="BB31" s="1817">
        <f t="shared" si="9"/>
        <v>45739</v>
      </c>
      <c r="BC31" s="1817">
        <f t="shared" si="10"/>
        <v>46022</v>
      </c>
      <c r="BD31" s="1818">
        <f t="shared" si="11"/>
        <v>82</v>
      </c>
      <c r="BE31" s="1818">
        <f t="shared" si="12"/>
        <v>283</v>
      </c>
      <c r="BG31" s="1777">
        <f t="shared" si="28"/>
        <v>500.02954344543053</v>
      </c>
      <c r="BH31" s="1777">
        <f t="shared" si="27"/>
        <v>514.35432589246238</v>
      </c>
      <c r="BI31" s="1777">
        <f t="shared" si="27"/>
        <v>528.28020746336767</v>
      </c>
      <c r="BJ31" s="1777">
        <f t="shared" si="27"/>
        <v>542.58312518963226</v>
      </c>
      <c r="BK31" s="1777">
        <f t="shared" si="27"/>
        <v>557.27328713325369</v>
      </c>
      <c r="BL31" s="1777">
        <f t="shared" si="27"/>
        <v>572.36117773431261</v>
      </c>
      <c r="BM31" s="1777">
        <f t="shared" si="26"/>
        <v>129.35128852002464</v>
      </c>
      <c r="BO31" s="1739">
        <f t="shared" si="15"/>
        <v>2025</v>
      </c>
      <c r="BP31" s="1742">
        <f>_xlfn.IFNA(INDEX($AR31:$AX31,MATCH(BO31,$AR$2:$AX$2,0))*12/365*[11]核心假设及结论!$C$70*$H31,0)</f>
        <v>400347.41917808232</v>
      </c>
      <c r="BR31" s="1739">
        <f t="shared" si="20"/>
        <v>2030</v>
      </c>
      <c r="BS31" s="1742">
        <f>_xlfn.IFNA(INDEX($AR31:$AX31,MATCH(BR31,$AR$2:$AX$2,0))*12/365*[11]核心假设及结论!$C$70*$H31,0)</f>
        <v>460761.53731618001</v>
      </c>
      <c r="BU31" s="1739">
        <f t="shared" si="21"/>
        <v>2035</v>
      </c>
      <c r="BV31" s="1742">
        <f>_xlfn.IFNA(INDEX($AR31:$AX31,MATCH(BU31,$AR$2:$AX$2,0))*12/365*[11]核心假设及结论!$C$70*$H31,0)</f>
        <v>0</v>
      </c>
      <c r="BX31" s="1739">
        <f t="shared" si="22"/>
        <v>2040</v>
      </c>
      <c r="BY31" s="1742">
        <f>_xlfn.IFNA(INDEX($AR31:$AX31,MATCH(BX31,$AR$2:$AX$2,0))*12/365*[11]核心假设及结论!$C$70*$H31,0)</f>
        <v>0</v>
      </c>
      <c r="CA31" s="1739">
        <f t="shared" si="23"/>
        <v>2045</v>
      </c>
      <c r="CB31" s="1742">
        <f>_xlfn.IFNA(INDEX($AR31:$AX31,MATCH(CA31,$AR$2:$AX$2,0))*12/365*[11]核心假设及结论!$C$70*$H31,0)</f>
        <v>0</v>
      </c>
    </row>
    <row r="32" spans="1:80" ht="30" customHeight="1">
      <c r="A32" s="1756" t="s">
        <v>1687</v>
      </c>
      <c r="B32" s="1757" t="s">
        <v>1739</v>
      </c>
      <c r="C32" s="1756" t="s">
        <v>1740</v>
      </c>
      <c r="D32" s="1756" t="s">
        <v>1676</v>
      </c>
      <c r="E32" s="1758" t="s">
        <v>1681</v>
      </c>
      <c r="F32" s="1759"/>
      <c r="G32" s="1760" t="s">
        <v>1661</v>
      </c>
      <c r="H32" s="1761">
        <v>783</v>
      </c>
      <c r="I32" s="1761" t="s">
        <v>1736</v>
      </c>
      <c r="J32" s="1773">
        <v>45179</v>
      </c>
      <c r="K32" s="1773">
        <v>47005</v>
      </c>
      <c r="L32" s="1764">
        <f t="shared" si="1"/>
        <v>60</v>
      </c>
      <c r="M32" s="1774">
        <f t="shared" si="16"/>
        <v>96457.77</v>
      </c>
      <c r="N32" s="1775">
        <f t="shared" si="17"/>
        <v>76.040000000000006</v>
      </c>
      <c r="O32" s="1760">
        <v>59539.32</v>
      </c>
      <c r="P32" s="1776">
        <v>0.08</v>
      </c>
      <c r="Q32" s="1783">
        <f t="shared" si="2"/>
        <v>37.15</v>
      </c>
      <c r="R32" s="1784">
        <v>29088.45</v>
      </c>
      <c r="S32" s="1777">
        <f t="shared" si="3"/>
        <v>10</v>
      </c>
      <c r="T32" s="1777">
        <v>7830</v>
      </c>
      <c r="U32" s="1777"/>
      <c r="V32" s="1785">
        <v>117515.988888889</v>
      </c>
      <c r="W32" s="1785">
        <f t="shared" si="4"/>
        <v>150.08427699730396</v>
      </c>
      <c r="X32" s="1786">
        <f t="shared" si="29"/>
        <v>0.75417626859096842</v>
      </c>
      <c r="Y32" s="1789">
        <f>VLOOKUP(E32,[11]核心假设及结论!$C$25:$E$45,3,0)</f>
        <v>0.25</v>
      </c>
      <c r="Z32" s="1790">
        <f t="shared" si="6"/>
        <v>63587.429999999993</v>
      </c>
      <c r="AA32" s="1790">
        <f t="shared" si="6"/>
        <v>67635.539999999994</v>
      </c>
      <c r="AB32" s="1790">
        <f t="shared" si="6"/>
        <v>71683.649999999994</v>
      </c>
      <c r="AC32" s="1790">
        <f t="shared" si="6"/>
        <v>75739.59</v>
      </c>
      <c r="AD32" s="1790">
        <f t="shared" si="6"/>
        <v>0</v>
      </c>
      <c r="AE32" s="1790">
        <f t="shared" si="6"/>
        <v>0</v>
      </c>
      <c r="AF32" s="1790">
        <f t="shared" si="6"/>
        <v>0</v>
      </c>
      <c r="AG32" s="1794">
        <v>81.209999999999994</v>
      </c>
      <c r="AH32" s="1794">
        <v>86.38</v>
      </c>
      <c r="AI32" s="1794">
        <v>91.55</v>
      </c>
      <c r="AJ32" s="1794">
        <v>96.73</v>
      </c>
      <c r="AK32" s="1794">
        <v>0</v>
      </c>
      <c r="AL32" s="1794">
        <v>0</v>
      </c>
      <c r="AM32" s="1794">
        <v>0</v>
      </c>
      <c r="AN32" s="1795"/>
      <c r="AO32" s="1795"/>
      <c r="AP32" s="1808">
        <f t="shared" si="18"/>
        <v>3.0167050743638737</v>
      </c>
      <c r="AQ32" s="1808">
        <f>IF(AP32&gt;[11]核心假设及结论!$B$65,[11]核心假设及结论!$D$65,IF(AP32&lt;=[11]核心假设及结论!$B$64,[11]核心假设及结论!$D$63,[11]核心假设及结论!$D$64))</f>
        <v>0.72793038402688603</v>
      </c>
      <c r="AR32" s="1809">
        <f t="shared" si="19"/>
        <v>81.209999999999994</v>
      </c>
      <c r="AS32" s="1809">
        <f>AH32*(AS$2&lt;=YEAR($K32))+AR32*$AQ32*(AS$2=YEAR($K32)+1)+INDEX([11]核心假设及结论!$E$17:$E$21,MATCH($D32,[11]核心假设及结论!$B$17:$B$21,0))*(AS$2&gt;YEAR($K32)+1)*AR32</f>
        <v>86.38</v>
      </c>
      <c r="AT32" s="1809">
        <f>AI32*(AT$2&lt;=YEAR($K32))+AS32*$AQ32*(AT$2=YEAR($K32)+1)+INDEX([11]核心假设及结论!$E$17:$E$21,MATCH($D32,[11]核心假设及结论!$B$17:$B$21,0))*(AT$2&gt;YEAR($K32)+1)*AS32</f>
        <v>91.55</v>
      </c>
      <c r="AU32" s="1809">
        <f>AJ32*(AU$2&lt;=YEAR($K32))+AT32*$AQ32*(AU$2=YEAR($K32)+1)+INDEX([11]核心假设及结论!$E$17:$E$21,MATCH($D32,[11]核心假设及结论!$B$17:$B$21,0))*(AU$2&gt;YEAR($K32)+1)*AT32</f>
        <v>96.73</v>
      </c>
      <c r="AV32" s="1811">
        <f>AK32*(AV$2&lt;=YEAR($K32))+AU32*$AQ32*(AV$2=YEAR($K32)+1)+INDEX([11]核心假设及结论!$E$17:$E$21,MATCH($D32,[11]核心假设及结论!$B$17:$B$21,0))*(AV$2&gt;YEAR($K32)+1)*AU32</f>
        <v>70.41270604692069</v>
      </c>
      <c r="AW32" s="1809">
        <f>AL32*(AW$2&lt;=YEAR($K32))+AV32*$AQ32*(AW$2=YEAR($K32)+1)+INDEX([11]核心假设及结论!$E$17:$E$21,MATCH($D32,[11]核心假设及结论!$B$17:$B$21,0))*(AW$2&gt;YEAR($K32)+1)*AV32</f>
        <v>72.847231519428718</v>
      </c>
      <c r="AX32" s="1809">
        <f>AM32*(AX$2&lt;=YEAR($K32))+AW32*$AQ32*(AX$2=YEAR($K32)+1)+INDEX([11]核心假设及结论!$E$17:$E$21,MATCH($D32,[11]核心假设及结论!$B$17:$B$21,0))*(AX$2&gt;YEAR($K32)+1)*AW32</f>
        <v>75.365930923163603</v>
      </c>
      <c r="AZ32" s="1746">
        <f t="shared" si="7"/>
        <v>47005</v>
      </c>
      <c r="BA32" s="1817">
        <f t="shared" si="8"/>
        <v>45658</v>
      </c>
      <c r="BB32" s="1817">
        <f t="shared" si="9"/>
        <v>45909</v>
      </c>
      <c r="BC32" s="1817">
        <f t="shared" si="10"/>
        <v>46022</v>
      </c>
      <c r="BD32" s="1818">
        <f t="shared" si="11"/>
        <v>252</v>
      </c>
      <c r="BE32" s="1818">
        <f t="shared" si="12"/>
        <v>113</v>
      </c>
      <c r="BG32" s="1777">
        <f t="shared" si="28"/>
        <v>77.808816591780825</v>
      </c>
      <c r="BH32" s="1777">
        <f t="shared" si="27"/>
        <v>82.666548591780824</v>
      </c>
      <c r="BI32" s="1777">
        <f t="shared" si="27"/>
        <v>87.527189490410947</v>
      </c>
      <c r="BJ32" s="1777">
        <f t="shared" si="27"/>
        <v>83.232073967097534</v>
      </c>
      <c r="BK32" s="1777">
        <f t="shared" si="27"/>
        <v>66.867957382887909</v>
      </c>
      <c r="BL32" s="1777">
        <f t="shared" si="27"/>
        <v>69.179922860180355</v>
      </c>
      <c r="BM32" s="1777">
        <f t="shared" si="26"/>
        <v>48.890643373265583</v>
      </c>
      <c r="BO32" s="1739">
        <f t="shared" si="15"/>
        <v>2028</v>
      </c>
      <c r="BP32" s="1742">
        <f>_xlfn.IFNA(INDEX($AR32:$AX32,MATCH(BO32,$AR$2:$AX$2,0))*12/365*[11]核心假设及结论!$C$70*$H32,0)</f>
        <v>74702.061369863004</v>
      </c>
      <c r="BR32" s="1739">
        <f t="shared" si="20"/>
        <v>2033</v>
      </c>
      <c r="BS32" s="1742">
        <f>_xlfn.IFNA(INDEX($AR32:$AX32,MATCH(BR32,$AR$2:$AX$2,0))*12/365*[11]核心假设及结论!$C$70*$H32,0)</f>
        <v>0</v>
      </c>
      <c r="BU32" s="1739">
        <f t="shared" si="21"/>
        <v>2038</v>
      </c>
      <c r="BV32" s="1742">
        <f>_xlfn.IFNA(INDEX($AR32:$AX32,MATCH(BU32,$AR$2:$AX$2,0))*12/365*[11]核心假设及结论!$C$70*$H32,0)</f>
        <v>0</v>
      </c>
      <c r="BX32" s="1739">
        <f t="shared" si="22"/>
        <v>2043</v>
      </c>
      <c r="BY32" s="1742">
        <f>_xlfn.IFNA(INDEX($AR32:$AX32,MATCH(BX32,$AR$2:$AX$2,0))*12/365*[11]核心假设及结论!$C$70*$H32,0)</f>
        <v>0</v>
      </c>
      <c r="CA32" s="1739">
        <f t="shared" si="23"/>
        <v>2048</v>
      </c>
      <c r="CB32" s="1742">
        <f>_xlfn.IFNA(INDEX($AR32:$AX32,MATCH(CA32,$AR$2:$AX$2,0))*12/365*[11]核心假设及结论!$C$70*$H32,0)</f>
        <v>0</v>
      </c>
    </row>
    <row r="33" spans="1:80" ht="30" customHeight="1">
      <c r="A33" s="1756" t="s">
        <v>1666</v>
      </c>
      <c r="B33" s="1757" t="s">
        <v>1741</v>
      </c>
      <c r="C33" s="1756" t="s">
        <v>1742</v>
      </c>
      <c r="D33" s="1756" t="s">
        <v>1698</v>
      </c>
      <c r="E33" s="1758" t="s">
        <v>1698</v>
      </c>
      <c r="F33" s="1759"/>
      <c r="G33" s="1760" t="s">
        <v>1661</v>
      </c>
      <c r="H33" s="1761">
        <v>746</v>
      </c>
      <c r="I33" s="1761" t="s">
        <v>1736</v>
      </c>
      <c r="J33" s="1773">
        <v>43405</v>
      </c>
      <c r="K33" s="1773">
        <v>46326</v>
      </c>
      <c r="L33" s="1764">
        <f t="shared" si="1"/>
        <v>96</v>
      </c>
      <c r="M33" s="1774">
        <f t="shared" si="16"/>
        <v>193661.6</v>
      </c>
      <c r="N33" s="1775">
        <f t="shared" si="17"/>
        <v>167.6</v>
      </c>
      <c r="O33" s="1760">
        <v>125029.6</v>
      </c>
      <c r="P33" s="1776">
        <v>5.5E-2</v>
      </c>
      <c r="Q33" s="1783">
        <f t="shared" si="2"/>
        <v>85</v>
      </c>
      <c r="R33" s="1784">
        <v>63410</v>
      </c>
      <c r="S33" s="1777">
        <f t="shared" si="3"/>
        <v>7</v>
      </c>
      <c r="T33" s="1784">
        <v>5222</v>
      </c>
      <c r="U33" s="1777"/>
      <c r="V33" s="1785">
        <v>3205693.34416667</v>
      </c>
      <c r="W33" s="1785">
        <f t="shared" si="4"/>
        <v>4297.1760645665818</v>
      </c>
      <c r="X33" s="1786">
        <f t="shared" si="29"/>
        <v>5.8782790419707305E-2</v>
      </c>
      <c r="Y33" s="1789">
        <f>VLOOKUP(E33,[11]核心假设及结论!$C$25:$E$45,3,0)</f>
        <v>0.2</v>
      </c>
      <c r="Z33" s="1790">
        <f t="shared" si="6"/>
        <v>125029.59999999999</v>
      </c>
      <c r="AA33" s="1790">
        <f t="shared" si="6"/>
        <v>131378.06</v>
      </c>
      <c r="AB33" s="1790">
        <f t="shared" si="6"/>
        <v>0</v>
      </c>
      <c r="AC33" s="1790">
        <f t="shared" si="6"/>
        <v>0</v>
      </c>
      <c r="AD33" s="1790">
        <f t="shared" si="6"/>
        <v>0</v>
      </c>
      <c r="AE33" s="1790">
        <f t="shared" si="6"/>
        <v>0</v>
      </c>
      <c r="AF33" s="1790">
        <f t="shared" si="6"/>
        <v>0</v>
      </c>
      <c r="AG33" s="1794">
        <v>167.6</v>
      </c>
      <c r="AH33" s="1794">
        <v>176.11</v>
      </c>
      <c r="AI33" s="1794">
        <v>0</v>
      </c>
      <c r="AJ33" s="1794">
        <v>0</v>
      </c>
      <c r="AK33" s="1794">
        <v>0</v>
      </c>
      <c r="AL33" s="1794">
        <v>0</v>
      </c>
      <c r="AM33" s="1794">
        <v>0</v>
      </c>
      <c r="AN33" s="1797"/>
      <c r="AO33" s="1797"/>
      <c r="AP33" s="1808">
        <f t="shared" si="18"/>
        <v>0.29391395209853649</v>
      </c>
      <c r="AQ33" s="1812">
        <f>IF(AP33&gt;[11]核心假设及结论!$B$62,[11]核心假设及结论!$D$62,IF(AP33&lt;=[11]核心假设及结论!$B$61,[11]核心假设及结论!$D$60,[11]核心假设及结论!$D$61))</f>
        <v>1.0811176582269599</v>
      </c>
      <c r="AR33" s="1809">
        <f t="shared" si="19"/>
        <v>167.6</v>
      </c>
      <c r="AS33" s="1809">
        <f>AH33*(AS$2&lt;=YEAR($K33))+AR33*$AQ33*(AS$2=YEAR($K33)+1)+INDEX([11]核心假设及结论!$E$17:$E$21,MATCH($D33,[11]核心假设及结论!$B$17:$B$21,0))*(AS$2&gt;YEAR($K33)+1)*AR33</f>
        <v>176.11</v>
      </c>
      <c r="AT33" s="1811">
        <f>AI33*(AT$2&lt;=YEAR($K33))+AS33*$AQ33*(AT$2=YEAR($K33)+1)+INDEX([11]核心假设及结论!$E$17:$E$21,MATCH($D33,[11]核心假设及结论!$B$17:$B$21,0))*(AT$2&gt;YEAR($K33)+1)*AS33</f>
        <v>190.39563079034994</v>
      </c>
      <c r="AU33" s="1809">
        <f>AJ33*(AU$2&lt;=YEAR($K33))+AT33*$AQ33*(AU$2=YEAR($K33)+1)+INDEX([11]核心假设及结论!$E$17:$E$21,MATCH($D33,[11]核心假设及结论!$B$17:$B$21,0))*(AU$2&gt;YEAR($K33)+1)*AT33</f>
        <v>196.2250509978154</v>
      </c>
      <c r="AV33" s="1809">
        <f>AK33*(AV$2&lt;=YEAR($K33))+AU33*$AQ33*(AV$2=YEAR($K33)+1)+INDEX([11]核心假设及结论!$E$17:$E$21,MATCH($D33,[11]核心假设及结论!$B$17:$B$21,0))*(AV$2&gt;YEAR($K33)+1)*AU33</f>
        <v>202.23295292681061</v>
      </c>
      <c r="AW33" s="1809">
        <f>AL33*(AW$2&lt;=YEAR($K33))+AV33*$AQ33*(AW$2=YEAR($K33)+1)+INDEX([11]核心假设及结论!$E$17:$E$21,MATCH($D33,[11]核心假设及结论!$B$17:$B$21,0))*(AW$2&gt;YEAR($K33)+1)*AV33</f>
        <v>208.42480122455376</v>
      </c>
      <c r="AX33" s="1809">
        <f>AM33*(AX$2&lt;=YEAR($K33))+AW33*$AQ33*(AX$2=YEAR($K33)+1)+INDEX([11]核心假设及结论!$E$17:$E$21,MATCH($D33,[11]核心假设及结论!$B$17:$B$21,0))*(AX$2&gt;YEAR($K33)+1)*AW33</f>
        <v>214.80622785158204</v>
      </c>
      <c r="AZ33" s="1746">
        <f t="shared" si="7"/>
        <v>46326</v>
      </c>
      <c r="BA33" s="1817">
        <f t="shared" si="8"/>
        <v>45658</v>
      </c>
      <c r="BB33" s="1817">
        <f t="shared" si="9"/>
        <v>45961</v>
      </c>
      <c r="BC33" s="1817">
        <f t="shared" si="10"/>
        <v>46022</v>
      </c>
      <c r="BD33" s="1818">
        <f t="shared" si="11"/>
        <v>304</v>
      </c>
      <c r="BE33" s="1818">
        <f t="shared" si="12"/>
        <v>61</v>
      </c>
      <c r="BG33" s="1777">
        <f t="shared" si="28"/>
        <v>151.30869060821914</v>
      </c>
      <c r="BH33" s="1777">
        <f t="shared" si="27"/>
        <v>159.79092761012274</v>
      </c>
      <c r="BI33" s="1777">
        <f t="shared" si="27"/>
        <v>171.31430105380375</v>
      </c>
      <c r="BJ33" s="1777">
        <f t="shared" si="27"/>
        <v>176.55950045383895</v>
      </c>
      <c r="BK33" s="1777">
        <f t="shared" si="27"/>
        <v>181.96529425012065</v>
      </c>
      <c r="BL33" s="1777">
        <f t="shared" si="27"/>
        <v>187.53659942637793</v>
      </c>
      <c r="BM33" s="1777">
        <f t="shared" si="27"/>
        <v>160.15764025345706</v>
      </c>
      <c r="BO33" s="1739">
        <f t="shared" si="15"/>
        <v>2026</v>
      </c>
      <c r="BP33" s="1742">
        <f>_xlfn.IFNA(INDEX($AR33:$AX33,MATCH(BO33,$AR$2:$AX$2,0))*12/365*[11]核心假设及结论!$C$70*$H33,0)</f>
        <v>129578.36054794522</v>
      </c>
      <c r="BR33" s="1739">
        <f t="shared" si="20"/>
        <v>2034</v>
      </c>
      <c r="BS33" s="1742">
        <f>_xlfn.IFNA(INDEX($AR33:$AX33,MATCH(BR33,$AR$2:$AX$2,0))*12/365*[11]核心假设及结论!$C$70*$H33,0)</f>
        <v>0</v>
      </c>
      <c r="BU33" s="1739">
        <f t="shared" si="21"/>
        <v>2042</v>
      </c>
      <c r="BV33" s="1742">
        <f>_xlfn.IFNA(INDEX($AR33:$AX33,MATCH(BU33,$AR$2:$AX$2,0))*12/365*[11]核心假设及结论!$C$70*$H33,0)</f>
        <v>0</v>
      </c>
      <c r="BX33" s="1739">
        <f t="shared" si="22"/>
        <v>2050</v>
      </c>
      <c r="BY33" s="1742">
        <f>_xlfn.IFNA(INDEX($AR33:$AX33,MATCH(BX33,$AR$2:$AX$2,0))*12/365*[11]核心假设及结论!$C$70*$H33,0)</f>
        <v>0</v>
      </c>
      <c r="CA33" s="1739">
        <f t="shared" si="23"/>
        <v>2058</v>
      </c>
      <c r="CB33" s="1742">
        <f>_xlfn.IFNA(INDEX($AR33:$AX33,MATCH(CA33,$AR$2:$AX$2,0))*12/365*[11]核心假设及结论!$C$70*$H33,0)</f>
        <v>0</v>
      </c>
    </row>
    <row r="34" spans="1:80" ht="30" customHeight="1">
      <c r="A34" s="1756" t="s">
        <v>1662</v>
      </c>
      <c r="B34" s="1757" t="s">
        <v>1743</v>
      </c>
      <c r="C34" s="1756" t="s">
        <v>1744</v>
      </c>
      <c r="D34" s="1756" t="s">
        <v>1685</v>
      </c>
      <c r="E34" s="1758" t="s">
        <v>1745</v>
      </c>
      <c r="F34" s="1759"/>
      <c r="G34" s="1760" t="s">
        <v>1682</v>
      </c>
      <c r="H34" s="1761">
        <v>725</v>
      </c>
      <c r="I34" s="1761" t="s">
        <v>1736</v>
      </c>
      <c r="J34" s="1773">
        <v>45565</v>
      </c>
      <c r="K34" s="1773">
        <v>47299</v>
      </c>
      <c r="L34" s="1764">
        <f t="shared" si="1"/>
        <v>58</v>
      </c>
      <c r="M34" s="1774">
        <f t="shared" si="16"/>
        <v>408318.75</v>
      </c>
      <c r="N34" s="1775">
        <f t="shared" si="17"/>
        <v>486.67</v>
      </c>
      <c r="O34" s="1760">
        <v>352835.75</v>
      </c>
      <c r="P34" s="1776">
        <v>0</v>
      </c>
      <c r="Q34" s="1783">
        <f t="shared" si="2"/>
        <v>64.337931034482764</v>
      </c>
      <c r="R34" s="1784">
        <v>46645</v>
      </c>
      <c r="S34" s="1777">
        <f t="shared" si="3"/>
        <v>12.190344827586207</v>
      </c>
      <c r="T34" s="1784">
        <v>8838</v>
      </c>
      <c r="U34" s="1777"/>
      <c r="V34" s="1785">
        <v>23099583.333333299</v>
      </c>
      <c r="W34" s="1785">
        <f t="shared" si="4"/>
        <v>31861.494252873516</v>
      </c>
      <c r="X34" s="1786">
        <f t="shared" si="29"/>
        <v>1.729385089918652E-2</v>
      </c>
      <c r="Y34" s="1789" t="e">
        <f>VLOOKUP(E34,[11]核心假设及结论!$C$25:$E$45,3,0)</f>
        <v>#N/A</v>
      </c>
      <c r="Z34" s="1790">
        <f t="shared" si="6"/>
        <v>352835.75</v>
      </c>
      <c r="AA34" s="1790">
        <f t="shared" si="6"/>
        <v>363863</v>
      </c>
      <c r="AB34" s="1790">
        <f t="shared" si="6"/>
        <v>374883.00000000006</v>
      </c>
      <c r="AC34" s="1790">
        <f t="shared" si="6"/>
        <v>385910.25</v>
      </c>
      <c r="AD34" s="1790">
        <f t="shared" si="6"/>
        <v>369937.49999999988</v>
      </c>
      <c r="AE34" s="1790">
        <f t="shared" si="6"/>
        <v>0</v>
      </c>
      <c r="AF34" s="1790">
        <f t="shared" si="6"/>
        <v>0</v>
      </c>
      <c r="AG34" s="1794">
        <v>486.67</v>
      </c>
      <c r="AH34" s="1794">
        <v>501.88</v>
      </c>
      <c r="AI34" s="1794">
        <v>517.08000000000004</v>
      </c>
      <c r="AJ34" s="1794">
        <v>532.29</v>
      </c>
      <c r="AK34" s="1794">
        <v>510.258620689655</v>
      </c>
      <c r="AL34" s="1794">
        <v>0</v>
      </c>
      <c r="AM34" s="1794">
        <v>0</v>
      </c>
      <c r="AN34" s="1797"/>
      <c r="AO34" s="1797"/>
      <c r="AP34" s="1808">
        <f t="shared" si="18"/>
        <v>1.25</v>
      </c>
      <c r="AQ34" s="1810">
        <f>IF(AP34&gt;[11]核心假设及结论!$B$59,[11]核心假设及结论!$D$59,IF(AP34&lt;=[11]核心假设及结论!$B$58,[11]核心假设及结论!$D$57,[11]核心假设及结论!$D$58))</f>
        <v>1.0069999999999999</v>
      </c>
      <c r="AR34" s="1809">
        <f t="shared" si="19"/>
        <v>486.67</v>
      </c>
      <c r="AS34" s="1809">
        <f>AH34*(AS$2&lt;=YEAR($K34))+AR34*$AQ34*(AS$2=YEAR($K34)+1)+INDEX([11]核心假设及结论!$E$17:$E$21,MATCH($D34,[11]核心假设及结论!$B$17:$B$21,0))*(AS$2&gt;YEAR($K34)+1)*AR34</f>
        <v>501.88</v>
      </c>
      <c r="AT34" s="1809">
        <f>AI34*(AT$2&lt;=YEAR($K34))+AS34*$AQ34*(AT$2=YEAR($K34)+1)+INDEX([11]核心假设及结论!$E$17:$E$21,MATCH($D34,[11]核心假设及结论!$B$17:$B$21,0))*(AT$2&gt;YEAR($K34)+1)*AS34</f>
        <v>517.08000000000004</v>
      </c>
      <c r="AU34" s="1809">
        <f>AJ34*(AU$2&lt;=YEAR($K34))+AT34*$AQ34*(AU$2=YEAR($K34)+1)+INDEX([11]核心假设及结论!$E$17:$E$21,MATCH($D34,[11]核心假设及结论!$B$17:$B$21,0))*(AU$2&gt;YEAR($K34)+1)*AT34</f>
        <v>532.29</v>
      </c>
      <c r="AV34" s="1809">
        <f>AK34*(AV$2&lt;=YEAR($K34))+AU34*$AQ34*(AV$2=YEAR($K34)+1)+INDEX([11]核心假设及结论!$E$17:$E$21,MATCH($D34,[11]核心假设及结论!$B$17:$B$21,0))*(AV$2&gt;YEAR($K34)+1)*AU34</f>
        <v>510.258620689655</v>
      </c>
      <c r="AW34" s="1811">
        <f>AL34*(AW$2&lt;=YEAR($K34))+AV34*$AQ34*(AW$2=YEAR($K34)+1)+INDEX([11]核心假设及结论!$E$17:$E$21,MATCH($D34,[11]核心假设及结论!$B$17:$B$21,0))*(AW$2&gt;YEAR($K34)+1)*AV34</f>
        <v>513.83043103448256</v>
      </c>
      <c r="AX34" s="1809">
        <f>AM34*(AX$2&lt;=YEAR($K34))+AW34*$AQ34*(AX$2=YEAR($K34)+1)+INDEX([11]核心假设及结论!$E$17:$E$21,MATCH($D34,[11]核心假设及结论!$B$17:$B$21,0))*(AX$2&gt;YEAR($K34)+1)*AW34</f>
        <v>527.74212841876681</v>
      </c>
      <c r="AZ34" s="1746">
        <f t="shared" si="7"/>
        <v>47299</v>
      </c>
      <c r="BA34" s="1817">
        <f t="shared" si="8"/>
        <v>45658</v>
      </c>
      <c r="BB34" s="1817">
        <f t="shared" si="9"/>
        <v>45838</v>
      </c>
      <c r="BC34" s="1817">
        <f t="shared" si="10"/>
        <v>46022</v>
      </c>
      <c r="BD34" s="1818">
        <f t="shared" si="11"/>
        <v>181</v>
      </c>
      <c r="BE34" s="1818">
        <f t="shared" si="12"/>
        <v>184</v>
      </c>
      <c r="BG34" s="1777">
        <f t="shared" si="28"/>
        <v>430.07363095890412</v>
      </c>
      <c r="BH34" s="1777">
        <f t="shared" si="27"/>
        <v>443.30194520547951</v>
      </c>
      <c r="BI34" s="1777">
        <f t="shared" si="27"/>
        <v>456.53033095890413</v>
      </c>
      <c r="BJ34" s="1777">
        <f t="shared" si="27"/>
        <v>453.42988027397246</v>
      </c>
      <c r="BK34" s="1777">
        <f t="shared" si="27"/>
        <v>445.49150794520529</v>
      </c>
      <c r="BL34" s="1777">
        <f t="shared" si="27"/>
        <v>453.13380244459222</v>
      </c>
      <c r="BM34" s="1777">
        <f t="shared" si="27"/>
        <v>227.68096701946081</v>
      </c>
      <c r="BO34" s="1739">
        <f t="shared" si="15"/>
        <v>2029</v>
      </c>
      <c r="BP34" s="1742">
        <f>_xlfn.IFNA(INDEX($AR34:$AX34,MATCH(BO34,$AR$2:$AX$2,0))*12/365*[11]核心假设及结论!$C$70*$H34,0)</f>
        <v>364869.86301369854</v>
      </c>
      <c r="BR34" s="1739">
        <f t="shared" si="20"/>
        <v>2034</v>
      </c>
      <c r="BS34" s="1742">
        <f>_xlfn.IFNA(INDEX($AR34:$AX34,MATCH(BR34,$AR$2:$AX$2,0))*12/365*[11]核心假设及结论!$C$70*$H34,0)</f>
        <v>0</v>
      </c>
      <c r="BU34" s="1739">
        <f t="shared" si="21"/>
        <v>2039</v>
      </c>
      <c r="BV34" s="1742">
        <f>_xlfn.IFNA(INDEX($AR34:$AX34,MATCH(BU34,$AR$2:$AX$2,0))*12/365*[11]核心假设及结论!$C$70*$H34,0)</f>
        <v>0</v>
      </c>
      <c r="BX34" s="1739">
        <f t="shared" si="22"/>
        <v>2044</v>
      </c>
      <c r="BY34" s="1742">
        <f>_xlfn.IFNA(INDEX($AR34:$AX34,MATCH(BX34,$AR$2:$AX$2,0))*12/365*[11]核心假设及结论!$C$70*$H34,0)</f>
        <v>0</v>
      </c>
      <c r="CA34" s="1739">
        <f t="shared" si="23"/>
        <v>2049</v>
      </c>
      <c r="CB34" s="1742">
        <f>_xlfn.IFNA(INDEX($AR34:$AX34,MATCH(CA34,$AR$2:$AX$2,0))*12/365*[11]核心假设及结论!$C$70*$H34,0)</f>
        <v>0</v>
      </c>
    </row>
    <row r="35" spans="1:80" ht="30" customHeight="1">
      <c r="A35" s="1756" t="s">
        <v>1687</v>
      </c>
      <c r="B35" s="1757" t="s">
        <v>1746</v>
      </c>
      <c r="C35" s="1756" t="s">
        <v>1747</v>
      </c>
      <c r="D35" s="1756" t="s">
        <v>1685</v>
      </c>
      <c r="E35" s="1758" t="s">
        <v>1692</v>
      </c>
      <c r="F35" s="1766"/>
      <c r="G35" s="1760" t="s">
        <v>1661</v>
      </c>
      <c r="H35" s="1761">
        <v>715</v>
      </c>
      <c r="I35" s="1761" t="s">
        <v>1736</v>
      </c>
      <c r="J35" s="1773">
        <v>44135</v>
      </c>
      <c r="K35" s="1773">
        <v>47542</v>
      </c>
      <c r="L35" s="1764">
        <f t="shared" si="1"/>
        <v>112</v>
      </c>
      <c r="M35" s="1774">
        <f t="shared" si="16"/>
        <v>353088.45</v>
      </c>
      <c r="N35" s="1775">
        <f t="shared" si="17"/>
        <v>380.21000000000004</v>
      </c>
      <c r="O35" s="1760">
        <v>271850.15000000002</v>
      </c>
      <c r="P35" s="1776">
        <v>0.1</v>
      </c>
      <c r="Q35" s="1783">
        <f t="shared" si="2"/>
        <v>95</v>
      </c>
      <c r="R35" s="1784">
        <v>67925</v>
      </c>
      <c r="S35" s="1777">
        <f t="shared" si="3"/>
        <v>18.619999999999997</v>
      </c>
      <c r="T35" s="1784">
        <v>13313.3</v>
      </c>
      <c r="U35" s="1777"/>
      <c r="V35" s="1785">
        <v>1241753.4833333299</v>
      </c>
      <c r="W35" s="1785">
        <f t="shared" si="4"/>
        <v>1736.7181585081537</v>
      </c>
      <c r="X35" s="1786">
        <f t="shared" si="29"/>
        <v>0.27362528437441275</v>
      </c>
      <c r="Y35" s="1789">
        <f>VLOOKUP(E35,[11]核心假设及结论!$C$25:$E$45,3,0)</f>
        <v>0.2</v>
      </c>
      <c r="Z35" s="1790">
        <f t="shared" si="6"/>
        <v>282725.3</v>
      </c>
      <c r="AA35" s="1790">
        <f t="shared" si="6"/>
        <v>282725.3</v>
      </c>
      <c r="AB35" s="1790">
        <f t="shared" si="6"/>
        <v>288380.95</v>
      </c>
      <c r="AC35" s="1790">
        <f t="shared" si="6"/>
        <v>294143.84999999998</v>
      </c>
      <c r="AD35" s="1790">
        <f t="shared" si="6"/>
        <v>300028.3</v>
      </c>
      <c r="AE35" s="1790">
        <f t="shared" si="6"/>
        <v>306027.14999999997</v>
      </c>
      <c r="AF35" s="1790">
        <f t="shared" si="6"/>
        <v>0</v>
      </c>
      <c r="AG35" s="1794">
        <v>395.42</v>
      </c>
      <c r="AH35" s="1794">
        <v>395.42</v>
      </c>
      <c r="AI35" s="1794">
        <v>403.33</v>
      </c>
      <c r="AJ35" s="1794">
        <v>411.39</v>
      </c>
      <c r="AK35" s="1794">
        <v>419.62</v>
      </c>
      <c r="AL35" s="1794">
        <v>428.01</v>
      </c>
      <c r="AM35" s="1794">
        <v>0</v>
      </c>
      <c r="AN35" s="1797"/>
      <c r="AO35" s="1797"/>
      <c r="AP35" s="1808">
        <f t="shared" si="18"/>
        <v>1.3681264218720637</v>
      </c>
      <c r="AQ35" s="1810">
        <f>IF(AP35&gt;[11]核心假设及结论!$B$59,[11]核心假设及结论!$D$59,IF(AP35&lt;=[11]核心假设及结论!$B$58,[11]核心假设及结论!$D$57,[11]核心假设及结论!$D$58))</f>
        <v>1.0069999999999999</v>
      </c>
      <c r="AR35" s="1809">
        <f t="shared" si="19"/>
        <v>395.42</v>
      </c>
      <c r="AS35" s="1809">
        <f>AH35*(AS$2&lt;=YEAR($K35))+AR35*$AQ35*(AS$2=YEAR($K35)+1)+INDEX([11]核心假设及结论!$E$17:$E$21,MATCH($D35,[11]核心假设及结论!$B$17:$B$21,0))*(AS$2&gt;YEAR($K35)+1)*AR35</f>
        <v>395.42</v>
      </c>
      <c r="AT35" s="1809">
        <f>AI35*(AT$2&lt;=YEAR($K35))+AS35*$AQ35*(AT$2=YEAR($K35)+1)+INDEX([11]核心假设及结论!$E$17:$E$21,MATCH($D35,[11]核心假设及结论!$B$17:$B$21,0))*(AT$2&gt;YEAR($K35)+1)*AS35</f>
        <v>403.33</v>
      </c>
      <c r="AU35" s="1809">
        <f>AJ35*(AU$2&lt;=YEAR($K35))+AT35*$AQ35*(AU$2=YEAR($K35)+1)+INDEX([11]核心假设及结论!$E$17:$E$21,MATCH($D35,[11]核心假设及结论!$B$17:$B$21,0))*(AU$2&gt;YEAR($K35)+1)*AT35</f>
        <v>411.39</v>
      </c>
      <c r="AV35" s="1809">
        <f>AK35*(AV$2&lt;=YEAR($K35))+AU35*$AQ35*(AV$2=YEAR($K35)+1)+INDEX([11]核心假设及结论!$E$17:$E$21,MATCH($D35,[11]核心假设及结论!$B$17:$B$21,0))*(AV$2&gt;YEAR($K35)+1)*AU35</f>
        <v>419.62</v>
      </c>
      <c r="AW35" s="1809">
        <f>AL35*(AW$2&lt;=YEAR($K35))+AV35*$AQ35*(AW$2=YEAR($K35)+1)+INDEX([11]核心假设及结论!$E$17:$E$21,MATCH($D35,[11]核心假设及结论!$B$17:$B$21,0))*(AW$2&gt;YEAR($K35)+1)*AV35</f>
        <v>428.01</v>
      </c>
      <c r="AX35" s="1811">
        <f>AM35*(AX$2&lt;=YEAR($K35))+AW35*$AQ35*(AX$2=YEAR($K35)+1)+INDEX([11]核心假设及结论!$E$17:$E$21,MATCH($D35,[11]核心假设及结论!$B$17:$B$21,0))*(AX$2&gt;YEAR($K35)+1)*AW35</f>
        <v>431.00606999999997</v>
      </c>
      <c r="AZ35" s="1746">
        <f t="shared" si="7"/>
        <v>47542</v>
      </c>
      <c r="BA35" s="1817">
        <f t="shared" si="8"/>
        <v>45658</v>
      </c>
      <c r="BB35" s="1817">
        <f t="shared" si="9"/>
        <v>45716</v>
      </c>
      <c r="BC35" s="1817">
        <f t="shared" si="10"/>
        <v>46022</v>
      </c>
      <c r="BD35" s="1818">
        <f t="shared" si="11"/>
        <v>59</v>
      </c>
      <c r="BE35" s="1818">
        <f t="shared" si="12"/>
        <v>306</v>
      </c>
      <c r="BG35" s="1777">
        <f t="shared" si="28"/>
        <v>339.27035999999998</v>
      </c>
      <c r="BH35" s="1777">
        <f t="shared" si="27"/>
        <v>344.9600988493151</v>
      </c>
      <c r="BI35" s="1777">
        <f t="shared" si="27"/>
        <v>351.85477528767115</v>
      </c>
      <c r="BJ35" s="1777">
        <f t="shared" si="27"/>
        <v>358.89253791780817</v>
      </c>
      <c r="BK35" s="1777">
        <f t="shared" si="27"/>
        <v>366.06896745205478</v>
      </c>
      <c r="BL35" s="1777">
        <f t="shared" si="27"/>
        <v>369.38768188043827</v>
      </c>
      <c r="BM35" s="1777">
        <f t="shared" si="27"/>
        <v>59.776408974082173</v>
      </c>
      <c r="BO35" s="1739">
        <f t="shared" si="15"/>
        <v>2030</v>
      </c>
      <c r="BP35" s="1742">
        <f>_xlfn.IFNA(INDEX($AR35:$AX35,MATCH(BO35,$AR$2:$AX$2,0))*12/365*[11]核心假设及结论!$C$70*$H35,0)</f>
        <v>301834.99726027396</v>
      </c>
      <c r="BR35" s="1739">
        <f t="shared" si="20"/>
        <v>2039</v>
      </c>
      <c r="BS35" s="1742">
        <f>_xlfn.IFNA(INDEX($AR35:$AX35,MATCH(BR35,$AR$2:$AX$2,0))*12/365*[11]核心假设及结论!$C$70*$H35,0)</f>
        <v>0</v>
      </c>
      <c r="BU35" s="1739">
        <f t="shared" si="21"/>
        <v>2048</v>
      </c>
      <c r="BV35" s="1742">
        <f>_xlfn.IFNA(INDEX($AR35:$AX35,MATCH(BU35,$AR$2:$AX$2,0))*12/365*[11]核心假设及结论!$C$70*$H35,0)</f>
        <v>0</v>
      </c>
      <c r="BX35" s="1739">
        <f t="shared" si="22"/>
        <v>2057</v>
      </c>
      <c r="BY35" s="1742">
        <f>_xlfn.IFNA(INDEX($AR35:$AX35,MATCH(BX35,$AR$2:$AX$2,0))*12/365*[11]核心假设及结论!$C$70*$H35,0)</f>
        <v>0</v>
      </c>
      <c r="CA35" s="1739">
        <f t="shared" si="23"/>
        <v>2066</v>
      </c>
      <c r="CB35" s="1742">
        <f>_xlfn.IFNA(INDEX($AR35:$AX35,MATCH(CA35,$AR$2:$AX$2,0))*12/365*[11]核心假设及结论!$C$70*$H35,0)</f>
        <v>0</v>
      </c>
    </row>
    <row r="36" spans="1:80" ht="30" customHeight="1">
      <c r="A36" s="1756" t="s">
        <v>1687</v>
      </c>
      <c r="B36" s="1757" t="s">
        <v>1748</v>
      </c>
      <c r="C36" s="1756" t="s">
        <v>1749</v>
      </c>
      <c r="D36" s="1756" t="s">
        <v>1676</v>
      </c>
      <c r="E36" s="1758" t="s">
        <v>1677</v>
      </c>
      <c r="F36" s="1759"/>
      <c r="G36" s="1760" t="s">
        <v>1661</v>
      </c>
      <c r="H36" s="1761">
        <v>686</v>
      </c>
      <c r="I36" s="1761" t="s">
        <v>1736</v>
      </c>
      <c r="J36" s="1773">
        <v>45108</v>
      </c>
      <c r="K36" s="1773">
        <v>46843</v>
      </c>
      <c r="L36" s="1764">
        <f t="shared" si="1"/>
        <v>57</v>
      </c>
      <c r="M36" s="1774">
        <f t="shared" si="16"/>
        <v>199186.96000000002</v>
      </c>
      <c r="N36" s="1775">
        <f t="shared" si="17"/>
        <v>182.36</v>
      </c>
      <c r="O36" s="1760">
        <v>125098.96</v>
      </c>
      <c r="P36" s="1776">
        <v>0.12</v>
      </c>
      <c r="Q36" s="1783">
        <f t="shared" si="2"/>
        <v>90</v>
      </c>
      <c r="R36" s="1784">
        <v>61740</v>
      </c>
      <c r="S36" s="1777">
        <f t="shared" si="3"/>
        <v>18</v>
      </c>
      <c r="T36" s="1784">
        <v>12348</v>
      </c>
      <c r="U36" s="1777"/>
      <c r="V36" s="1785">
        <v>223696.594166667</v>
      </c>
      <c r="W36" s="1785">
        <f t="shared" si="4"/>
        <v>326.08832968901896</v>
      </c>
      <c r="X36" s="1786">
        <f t="shared" si="29"/>
        <v>0.83523381612504166</v>
      </c>
      <c r="Y36" s="1789">
        <f>VLOOKUP(E36,[11]核心假设及结论!$C$25:$E$45,3,0)</f>
        <v>0.25</v>
      </c>
      <c r="Z36" s="1790">
        <f t="shared" si="6"/>
        <v>125098.96</v>
      </c>
      <c r="AA36" s="1790">
        <f t="shared" si="6"/>
        <v>131458.18</v>
      </c>
      <c r="AB36" s="1790">
        <f t="shared" si="6"/>
        <v>137810.53999999998</v>
      </c>
      <c r="AC36" s="1790">
        <f t="shared" si="6"/>
        <v>143943.38</v>
      </c>
      <c r="AD36" s="1790">
        <f t="shared" si="6"/>
        <v>0</v>
      </c>
      <c r="AE36" s="1790">
        <f t="shared" si="6"/>
        <v>0</v>
      </c>
      <c r="AF36" s="1790">
        <f t="shared" si="6"/>
        <v>0</v>
      </c>
      <c r="AG36" s="1794">
        <v>182.36</v>
      </c>
      <c r="AH36" s="1794">
        <v>191.63</v>
      </c>
      <c r="AI36" s="1794">
        <v>200.89</v>
      </c>
      <c r="AJ36" s="1794">
        <v>209.83</v>
      </c>
      <c r="AK36" s="1794">
        <v>0</v>
      </c>
      <c r="AL36" s="1794">
        <v>0</v>
      </c>
      <c r="AM36" s="1794">
        <v>0</v>
      </c>
      <c r="AN36" s="1797"/>
      <c r="AO36" s="1797"/>
      <c r="AP36" s="1808">
        <f t="shared" si="18"/>
        <v>3.3409352645001666</v>
      </c>
      <c r="AQ36" s="1808">
        <f>IF(AP36&gt;[11]核心假设及结论!$B$65,[11]核心假设及结论!$D$65,IF(AP36&lt;=[11]核心假设及结论!$B$64,[11]核心假设及结论!$D$63,[11]核心假设及结论!$D$64))</f>
        <v>0.72793038402688603</v>
      </c>
      <c r="AR36" s="1809">
        <f t="shared" si="19"/>
        <v>182.36</v>
      </c>
      <c r="AS36" s="1809">
        <f>AH36*(AS$2&lt;=YEAR($K36))+AR36*$AQ36*(AS$2=YEAR($K36)+1)+INDEX([11]核心假设及结论!$E$17:$E$21,MATCH($D36,[11]核心假设及结论!$B$17:$B$21,0))*(AS$2&gt;YEAR($K36)+1)*AR36</f>
        <v>191.63</v>
      </c>
      <c r="AT36" s="1809">
        <f>AI36*(AT$2&lt;=YEAR($K36))+AS36*$AQ36*(AT$2=YEAR($K36)+1)+INDEX([11]核心假设及结论!$E$17:$E$21,MATCH($D36,[11]核心假设及结论!$B$17:$B$21,0))*(AT$2&gt;YEAR($K36)+1)*AS36</f>
        <v>200.89</v>
      </c>
      <c r="AU36" s="1809">
        <f>AJ36*(AU$2&lt;=YEAR($K36))+AT36*$AQ36*(AU$2=YEAR($K36)+1)+INDEX([11]核心假设及结论!$E$17:$E$21,MATCH($D36,[11]核心假设及结论!$B$17:$B$21,0))*(AU$2&gt;YEAR($K36)+1)*AT36</f>
        <v>209.83</v>
      </c>
      <c r="AV36" s="1811">
        <f>AK36*(AV$2&lt;=YEAR($K36))+AU36*$AQ36*(AV$2=YEAR($K36)+1)+INDEX([11]核心假设及结论!$E$17:$E$21,MATCH($D36,[11]核心假设及结论!$B$17:$B$21,0))*(AV$2&gt;YEAR($K36)+1)*AU36</f>
        <v>152.74163248036152</v>
      </c>
      <c r="AW36" s="1809">
        <f>AL36*(AW$2&lt;=YEAR($K36))+AV36*$AQ36*(AW$2=YEAR($K36)+1)+INDEX([11]核心假设及结论!$E$17:$E$21,MATCH($D36,[11]核心假设及结论!$B$17:$B$21,0))*(AW$2&gt;YEAR($K36)+1)*AV36</f>
        <v>158.02268778788098</v>
      </c>
      <c r="AX36" s="1809">
        <f>AM36*(AX$2&lt;=YEAR($K36))+AW36*$AQ36*(AX$2=YEAR($K36)+1)+INDEX([11]核心假设及结论!$E$17:$E$21,MATCH($D36,[11]核心假设及结论!$B$17:$B$21,0))*(AX$2&gt;YEAR($K36)+1)*AW36</f>
        <v>163.48633604473707</v>
      </c>
      <c r="AZ36" s="1746">
        <f t="shared" si="7"/>
        <v>46843</v>
      </c>
      <c r="BA36" s="1817">
        <f t="shared" si="8"/>
        <v>45658</v>
      </c>
      <c r="BB36" s="1817">
        <f t="shared" si="9"/>
        <v>45747</v>
      </c>
      <c r="BC36" s="1817">
        <f t="shared" si="10"/>
        <v>46022</v>
      </c>
      <c r="BD36" s="1818">
        <f t="shared" si="11"/>
        <v>90</v>
      </c>
      <c r="BE36" s="1818">
        <f t="shared" si="12"/>
        <v>275</v>
      </c>
      <c r="BG36" s="1777">
        <f t="shared" si="28"/>
        <v>155.86818378082194</v>
      </c>
      <c r="BH36" s="1777">
        <f t="shared" ref="BH36:BM79" si="30">(AS36*$BD36*$H36*12/365+$BE36*AT36*$H36*12/365)/10000</f>
        <v>163.49304558904109</v>
      </c>
      <c r="BI36" s="1777">
        <f t="shared" si="30"/>
        <v>170.91740745205479</v>
      </c>
      <c r="BJ36" s="1777">
        <f t="shared" si="30"/>
        <v>137.32475561891573</v>
      </c>
      <c r="BK36" s="1777">
        <f t="shared" si="30"/>
        <v>129.01232364006989</v>
      </c>
      <c r="BL36" s="1777">
        <f t="shared" si="30"/>
        <v>133.47293601818112</v>
      </c>
      <c r="BM36" s="1777">
        <f t="shared" si="30"/>
        <v>33.184590862691728</v>
      </c>
      <c r="BO36" s="1739">
        <f t="shared" si="15"/>
        <v>2028</v>
      </c>
      <c r="BP36" s="1742">
        <f>_xlfn.IFNA(INDEX($AR36:$AX36,MATCH(BO36,$AR$2:$AX$2,0))*12/365*[11]核心假设及结论!$C$70*$H36,0)</f>
        <v>141971.55287671232</v>
      </c>
      <c r="BR36" s="1739">
        <f t="shared" si="20"/>
        <v>2033</v>
      </c>
      <c r="BS36" s="1742">
        <f>_xlfn.IFNA(INDEX($AR36:$AX36,MATCH(BR36,$AR$2:$AX$2,0))*12/365*[11]核心假设及结论!$C$70*$H36,0)</f>
        <v>0</v>
      </c>
      <c r="BU36" s="1739">
        <f t="shared" si="21"/>
        <v>2038</v>
      </c>
      <c r="BV36" s="1742">
        <f>_xlfn.IFNA(INDEX($AR36:$AX36,MATCH(BU36,$AR$2:$AX$2,0))*12/365*[11]核心假设及结论!$C$70*$H36,0)</f>
        <v>0</v>
      </c>
      <c r="BX36" s="1739">
        <f t="shared" si="22"/>
        <v>2043</v>
      </c>
      <c r="BY36" s="1742">
        <f>_xlfn.IFNA(INDEX($AR36:$AX36,MATCH(BX36,$AR$2:$AX$2,0))*12/365*[11]核心假设及结论!$C$70*$H36,0)</f>
        <v>0</v>
      </c>
      <c r="CA36" s="1739">
        <f t="shared" si="23"/>
        <v>2048</v>
      </c>
      <c r="CB36" s="1742">
        <f>_xlfn.IFNA(INDEX($AR36:$AX36,MATCH(CA36,$AR$2:$AX$2,0))*12/365*[11]核心假设及结论!$C$70*$H36,0)</f>
        <v>0</v>
      </c>
    </row>
    <row r="37" spans="1:80" ht="30" customHeight="1">
      <c r="A37" s="1756" t="s">
        <v>1687</v>
      </c>
      <c r="B37" s="1757" t="s">
        <v>1750</v>
      </c>
      <c r="C37" s="1756" t="s">
        <v>1751</v>
      </c>
      <c r="D37" s="1756" t="s">
        <v>1676</v>
      </c>
      <c r="E37" s="1758" t="s">
        <v>1677</v>
      </c>
      <c r="F37" s="1759"/>
      <c r="G37" s="1760" t="s">
        <v>1661</v>
      </c>
      <c r="H37" s="1761">
        <v>683</v>
      </c>
      <c r="I37" s="1761" t="s">
        <v>1736</v>
      </c>
      <c r="J37" s="1773">
        <v>44376</v>
      </c>
      <c r="K37" s="1773">
        <v>47297</v>
      </c>
      <c r="L37" s="1764">
        <f t="shared" si="1"/>
        <v>96</v>
      </c>
      <c r="M37" s="1774">
        <f t="shared" si="16"/>
        <v>78545</v>
      </c>
      <c r="N37" s="1775">
        <f t="shared" si="17"/>
        <v>70</v>
      </c>
      <c r="O37" s="1760">
        <v>47810</v>
      </c>
      <c r="P37" s="1776">
        <v>0.06</v>
      </c>
      <c r="Q37" s="1783">
        <f t="shared" si="2"/>
        <v>45</v>
      </c>
      <c r="R37" s="1784">
        <v>30735</v>
      </c>
      <c r="S37" s="1777">
        <f t="shared" si="3"/>
        <v>0</v>
      </c>
      <c r="T37" s="1784">
        <v>0</v>
      </c>
      <c r="U37" s="1777"/>
      <c r="V37" s="1785">
        <v>458002.48416666698</v>
      </c>
      <c r="W37" s="1785">
        <f t="shared" si="4"/>
        <v>670.57464738897067</v>
      </c>
      <c r="X37" s="1786">
        <f t="shared" si="29"/>
        <v>0.17149470300998956</v>
      </c>
      <c r="Y37" s="1789">
        <f>VLOOKUP(E37,[11]核心假设及结论!$C$25:$E$45,3,0)</f>
        <v>0.25</v>
      </c>
      <c r="Z37" s="1790">
        <f t="shared" si="6"/>
        <v>51225</v>
      </c>
      <c r="AA37" s="1790">
        <f t="shared" si="6"/>
        <v>51225</v>
      </c>
      <c r="AB37" s="1790">
        <f t="shared" si="6"/>
        <v>51225</v>
      </c>
      <c r="AC37" s="1790">
        <f t="shared" si="6"/>
        <v>54640</v>
      </c>
      <c r="AD37" s="1790">
        <f t="shared" si="6"/>
        <v>54640</v>
      </c>
      <c r="AE37" s="1790">
        <f t="shared" si="6"/>
        <v>0</v>
      </c>
      <c r="AF37" s="1790">
        <f t="shared" si="6"/>
        <v>0</v>
      </c>
      <c r="AG37" s="1794">
        <v>75</v>
      </c>
      <c r="AH37" s="1794">
        <v>75</v>
      </c>
      <c r="AI37" s="1794">
        <v>75</v>
      </c>
      <c r="AJ37" s="1794">
        <v>80</v>
      </c>
      <c r="AK37" s="1794">
        <v>80</v>
      </c>
      <c r="AL37" s="1794">
        <v>0</v>
      </c>
      <c r="AM37" s="1794">
        <v>0</v>
      </c>
      <c r="AN37" s="1797"/>
      <c r="AO37" s="1797"/>
      <c r="AP37" s="1808">
        <f t="shared" si="18"/>
        <v>0.68597881203995825</v>
      </c>
      <c r="AQ37" s="1808">
        <f>IF(AP37&gt;[11]核心假设及结论!$B$65,[11]核心假设及结论!$D$65,IF(AP37&lt;=[11]核心假设及结论!$B$64,[11]核心假设及结论!$D$63,[11]核心假设及结论!$D$64))</f>
        <v>1</v>
      </c>
      <c r="AR37" s="1809">
        <f t="shared" si="19"/>
        <v>75</v>
      </c>
      <c r="AS37" s="1809">
        <f>AH37*(AS$2&lt;=YEAR($K37))+AR37*$AQ37*(AS$2=YEAR($K37)+1)+INDEX([11]核心假设及结论!$E$17:$E$21,MATCH($D37,[11]核心假设及结论!$B$17:$B$21,0))*(AS$2&gt;YEAR($K37)+1)*AR37</f>
        <v>75</v>
      </c>
      <c r="AT37" s="1809">
        <f>AI37*(AT$2&lt;=YEAR($K37))+AS37*$AQ37*(AT$2=YEAR($K37)+1)+INDEX([11]核心假设及结论!$E$17:$E$21,MATCH($D37,[11]核心假设及结论!$B$17:$B$21,0))*(AT$2&gt;YEAR($K37)+1)*AS37</f>
        <v>75</v>
      </c>
      <c r="AU37" s="1809">
        <f>AJ37*(AU$2&lt;=YEAR($K37))+AT37*$AQ37*(AU$2=YEAR($K37)+1)+INDEX([11]核心假设及结论!$E$17:$E$21,MATCH($D37,[11]核心假设及结论!$B$17:$B$21,0))*(AU$2&gt;YEAR($K37)+1)*AT37</f>
        <v>80</v>
      </c>
      <c r="AV37" s="1809">
        <f>AK37*(AV$2&lt;=YEAR($K37))+AU37*$AQ37*(AV$2=YEAR($K37)+1)+INDEX([11]核心假设及结论!$E$17:$E$21,MATCH($D37,[11]核心假设及结论!$B$17:$B$21,0))*(AV$2&gt;YEAR($K37)+1)*AU37</f>
        <v>80</v>
      </c>
      <c r="AW37" s="1811">
        <f>AL37*(AW$2&lt;=YEAR($K37))+AV37*$AQ37*(AW$2=YEAR($K37)+1)+INDEX([11]核心假设及结论!$E$17:$E$21,MATCH($D37,[11]核心假设及结论!$B$17:$B$21,0))*(AW$2&gt;YEAR($K37)+1)*AV37</f>
        <v>80</v>
      </c>
      <c r="AX37" s="1809">
        <f>AM37*(AX$2&lt;=YEAR($K37))+AW37*$AQ37*(AX$2=YEAR($K37)+1)+INDEX([11]核心假设及结论!$E$17:$E$21,MATCH($D37,[11]核心假设及结论!$B$17:$B$21,0))*(AX$2&gt;YEAR($K37)+1)*AW37</f>
        <v>82.766006999799998</v>
      </c>
      <c r="AZ37" s="1746">
        <f t="shared" si="7"/>
        <v>47297</v>
      </c>
      <c r="BA37" s="1817">
        <f t="shared" si="8"/>
        <v>45658</v>
      </c>
      <c r="BB37" s="1817">
        <f t="shared" si="9"/>
        <v>45836</v>
      </c>
      <c r="BC37" s="1817">
        <f t="shared" si="10"/>
        <v>46022</v>
      </c>
      <c r="BD37" s="1818">
        <f t="shared" si="11"/>
        <v>179</v>
      </c>
      <c r="BE37" s="1818">
        <f t="shared" si="12"/>
        <v>186</v>
      </c>
      <c r="BG37" s="1777">
        <f t="shared" si="28"/>
        <v>61.47</v>
      </c>
      <c r="BH37" s="1777">
        <f t="shared" si="30"/>
        <v>61.47</v>
      </c>
      <c r="BI37" s="1777">
        <f t="shared" si="30"/>
        <v>63.558295890410967</v>
      </c>
      <c r="BJ37" s="1777">
        <f t="shared" si="30"/>
        <v>65.567999999999998</v>
      </c>
      <c r="BK37" s="1777">
        <f t="shared" si="30"/>
        <v>65.567999999999998</v>
      </c>
      <c r="BL37" s="1777">
        <f t="shared" si="30"/>
        <v>66.72324821010605</v>
      </c>
      <c r="BM37" s="1777">
        <f t="shared" si="30"/>
        <v>33.267036880354688</v>
      </c>
      <c r="BO37" s="1739">
        <f t="shared" si="15"/>
        <v>2029</v>
      </c>
      <c r="BP37" s="1742">
        <f>_xlfn.IFNA(INDEX($AR37:$AX37,MATCH(BO37,$AR$2:$AX$2,0))*12/365*[11]核心假设及结论!$C$70*$H37,0)</f>
        <v>53891.506849315068</v>
      </c>
      <c r="BR37" s="1739">
        <f t="shared" si="20"/>
        <v>2037</v>
      </c>
      <c r="BS37" s="1742">
        <f>_xlfn.IFNA(INDEX($AR37:$AX37,MATCH(BR37,$AR$2:$AX$2,0))*12/365*[11]核心假设及结论!$C$70*$H37,0)</f>
        <v>0</v>
      </c>
      <c r="BU37" s="1739">
        <f t="shared" si="21"/>
        <v>2045</v>
      </c>
      <c r="BV37" s="1742">
        <f>_xlfn.IFNA(INDEX($AR37:$AX37,MATCH(BU37,$AR$2:$AX$2,0))*12/365*[11]核心假设及结论!$C$70*$H37,0)</f>
        <v>0</v>
      </c>
      <c r="BX37" s="1739">
        <f t="shared" si="22"/>
        <v>2053</v>
      </c>
      <c r="BY37" s="1742">
        <f>_xlfn.IFNA(INDEX($AR37:$AX37,MATCH(BX37,$AR$2:$AX$2,0))*12/365*[11]核心假设及结论!$C$70*$H37,0)</f>
        <v>0</v>
      </c>
      <c r="CA37" s="1739">
        <f t="shared" si="23"/>
        <v>2061</v>
      </c>
      <c r="CB37" s="1742">
        <f>_xlfn.IFNA(INDEX($AR37:$AX37,MATCH(CA37,$AR$2:$AX$2,0))*12/365*[11]核心假设及结论!$C$70*$H37,0)</f>
        <v>0</v>
      </c>
    </row>
    <row r="38" spans="1:80" ht="30" customHeight="1">
      <c r="A38" s="1756" t="s">
        <v>1666</v>
      </c>
      <c r="B38" s="1757" t="s">
        <v>1752</v>
      </c>
      <c r="C38" s="1756" t="s">
        <v>1753</v>
      </c>
      <c r="D38" s="1758" t="s">
        <v>1698</v>
      </c>
      <c r="E38" s="1758" t="s">
        <v>1698</v>
      </c>
      <c r="F38" s="1759"/>
      <c r="G38" s="1760" t="s">
        <v>1661</v>
      </c>
      <c r="H38" s="1761">
        <v>673</v>
      </c>
      <c r="I38" s="1761" t="s">
        <v>1736</v>
      </c>
      <c r="J38" s="1773">
        <v>43769</v>
      </c>
      <c r="K38" s="1773">
        <v>46690</v>
      </c>
      <c r="L38" s="1764">
        <f t="shared" si="1"/>
        <v>96</v>
      </c>
      <c r="M38" s="1774">
        <f t="shared" si="16"/>
        <v>270936.33999999997</v>
      </c>
      <c r="N38" s="1775">
        <f t="shared" si="17"/>
        <v>288.95999999999998</v>
      </c>
      <c r="O38" s="1760">
        <v>194470.08</v>
      </c>
      <c r="P38" s="1776">
        <v>0.08</v>
      </c>
      <c r="Q38" s="1783">
        <f t="shared" si="2"/>
        <v>95</v>
      </c>
      <c r="R38" s="1784">
        <v>63935</v>
      </c>
      <c r="S38" s="1777">
        <f t="shared" si="3"/>
        <v>18.62</v>
      </c>
      <c r="T38" s="1784">
        <v>12531.26</v>
      </c>
      <c r="U38" s="1777"/>
      <c r="V38" s="1785">
        <v>1981023.45</v>
      </c>
      <c r="W38" s="1785">
        <f t="shared" si="4"/>
        <v>2943.5712481426449</v>
      </c>
      <c r="X38" s="1786">
        <f t="shared" si="29"/>
        <v>0.13044019241670257</v>
      </c>
      <c r="Y38" s="1789">
        <f>VLOOKUP(E38,[11]核心假设及结论!$C$25:$E$45,3,0)</f>
        <v>0.2</v>
      </c>
      <c r="Z38" s="1790">
        <f t="shared" si="6"/>
        <v>204706.41</v>
      </c>
      <c r="AA38" s="1790">
        <f t="shared" si="6"/>
        <v>210884.17000000027</v>
      </c>
      <c r="AB38" s="1790">
        <f t="shared" si="6"/>
        <v>217190.56000000003</v>
      </c>
      <c r="AC38" s="1790">
        <f t="shared" si="6"/>
        <v>0</v>
      </c>
      <c r="AD38" s="1790">
        <f t="shared" si="6"/>
        <v>0</v>
      </c>
      <c r="AE38" s="1790">
        <f t="shared" si="6"/>
        <v>0</v>
      </c>
      <c r="AF38" s="1790">
        <f t="shared" si="6"/>
        <v>0</v>
      </c>
      <c r="AG38" s="1794">
        <v>304.17</v>
      </c>
      <c r="AH38" s="1794">
        <v>313.34943536404199</v>
      </c>
      <c r="AI38" s="1794">
        <v>322.72000000000003</v>
      </c>
      <c r="AJ38" s="1794">
        <v>0</v>
      </c>
      <c r="AK38" s="1794">
        <v>0</v>
      </c>
      <c r="AL38" s="1794">
        <v>0</v>
      </c>
      <c r="AM38" s="1794">
        <v>0</v>
      </c>
      <c r="AN38" s="1797"/>
      <c r="AO38" s="1797"/>
      <c r="AP38" s="1808">
        <f t="shared" si="18"/>
        <v>0.65220096208351286</v>
      </c>
      <c r="AQ38" s="1812">
        <f>IF(AP38&gt;[11]核心假设及结论!$B$62,[11]核心假设及结论!$D$62,IF(AP38&lt;=[11]核心假设及结论!$B$61,[11]核心假设及结论!$D$60,[11]核心假设及结论!$D$61))</f>
        <v>1.0811176582269599</v>
      </c>
      <c r="AR38" s="1809">
        <f t="shared" si="19"/>
        <v>304.17</v>
      </c>
      <c r="AS38" s="1809">
        <f>AH38*(AS$2&lt;=YEAR($K38))+AR38*$AQ38*(AS$2=YEAR($K38)+1)+INDEX([11]核心假设及结论!$E$17:$E$21,MATCH($D38,[11]核心假设及结论!$B$17:$B$21,0))*(AS$2&gt;YEAR($K38)+1)*AR38</f>
        <v>313.34943536404199</v>
      </c>
      <c r="AT38" s="1809">
        <f>AI38*(AT$2&lt;=YEAR($K38))+AS38*$AQ38*(AT$2=YEAR($K38)+1)+INDEX([11]核心假设及结论!$E$17:$E$21,MATCH($D38,[11]核心假设及结论!$B$17:$B$21,0))*(AT$2&gt;YEAR($K38)+1)*AS38</f>
        <v>322.72000000000003</v>
      </c>
      <c r="AU38" s="1811">
        <f>AJ38*(AU$2&lt;=YEAR($K38))+AT38*$AQ38*(AU$2=YEAR($K38)+1)+INDEX([11]核心假设及结论!$E$17:$E$21,MATCH($D38,[11]核心假设及结论!$B$17:$B$21,0))*(AU$2&gt;YEAR($K38)+1)*AT38</f>
        <v>348.89829066300456</v>
      </c>
      <c r="AV38" s="1809">
        <f>AK38*(AV$2&lt;=YEAR($K38))+AU38*$AQ38*(AV$2=YEAR($K38)+1)+INDEX([11]核心假设及结论!$E$17:$E$21,MATCH($D38,[11]核心假设及结论!$B$17:$B$21,0))*(AV$2&gt;YEAR($K38)+1)*AU38</f>
        <v>359.5806510590823</v>
      </c>
      <c r="AW38" s="1809">
        <f>AL38*(AW$2&lt;=YEAR($K38))+AV38*$AQ38*(AW$2=YEAR($K38)+1)+INDEX([11]核心假设及结论!$E$17:$E$21,MATCH($D38,[11]核心假设及结论!$B$17:$B$21,0))*(AW$2&gt;YEAR($K38)+1)*AV38</f>
        <v>370.5900776136524</v>
      </c>
      <c r="AX38" s="1809">
        <f>AM38*(AX$2&lt;=YEAR($K38))+AW38*$AQ38*(AX$2=YEAR($K38)+1)+INDEX([11]核心假设及结论!$E$17:$E$21,MATCH($D38,[11]核心假设及结论!$B$17:$B$21,0))*(AX$2&gt;YEAR($K38)+1)*AW38</f>
        <v>381.93658424387024</v>
      </c>
      <c r="AZ38" s="1746">
        <f t="shared" si="7"/>
        <v>46690</v>
      </c>
      <c r="BA38" s="1817">
        <f t="shared" si="8"/>
        <v>45658</v>
      </c>
      <c r="BB38" s="1817">
        <f t="shared" si="9"/>
        <v>45960</v>
      </c>
      <c r="BC38" s="1817">
        <f t="shared" si="10"/>
        <v>46022</v>
      </c>
      <c r="BD38" s="1818">
        <f t="shared" si="11"/>
        <v>303</v>
      </c>
      <c r="BE38" s="1818">
        <f t="shared" si="12"/>
        <v>62</v>
      </c>
      <c r="BG38" s="1777">
        <f t="shared" si="28"/>
        <v>246.9069395178083</v>
      </c>
      <c r="BH38" s="1777">
        <f t="shared" si="30"/>
        <v>254.34647089315095</v>
      </c>
      <c r="BI38" s="1777">
        <f t="shared" si="30"/>
        <v>264.21984577382307</v>
      </c>
      <c r="BJ38" s="1777">
        <f t="shared" si="30"/>
        <v>283.23568037194684</v>
      </c>
      <c r="BK38" s="1777">
        <f t="shared" si="30"/>
        <v>291.90762201147703</v>
      </c>
      <c r="BL38" s="1777">
        <f t="shared" si="30"/>
        <v>300.84507600347877</v>
      </c>
      <c r="BM38" s="1777">
        <f t="shared" si="30"/>
        <v>256.05740160797512</v>
      </c>
      <c r="BO38" s="1739">
        <f t="shared" si="15"/>
        <v>2027</v>
      </c>
      <c r="BP38" s="1742">
        <f>_xlfn.IFNA(INDEX($AR38:$AX38,MATCH(BO38,$AR$2:$AX$2,0))*12/365*[11]核心假设及结论!$C$70*$H38,0)</f>
        <v>214215.3468493151</v>
      </c>
      <c r="BR38" s="1739">
        <f t="shared" si="20"/>
        <v>2035</v>
      </c>
      <c r="BS38" s="1742">
        <f>_xlfn.IFNA(INDEX($AR38:$AX38,MATCH(BR38,$AR$2:$AX$2,0))*12/365*[11]核心假设及结论!$C$70*$H38,0)</f>
        <v>0</v>
      </c>
      <c r="BU38" s="1739">
        <f t="shared" si="21"/>
        <v>2043</v>
      </c>
      <c r="BV38" s="1742">
        <f>_xlfn.IFNA(INDEX($AR38:$AX38,MATCH(BU38,$AR$2:$AX$2,0))*12/365*[11]核心假设及结论!$C$70*$H38,0)</f>
        <v>0</v>
      </c>
      <c r="BX38" s="1739">
        <f t="shared" si="22"/>
        <v>2051</v>
      </c>
      <c r="BY38" s="1742">
        <f>_xlfn.IFNA(INDEX($AR38:$AX38,MATCH(BX38,$AR$2:$AX$2,0))*12/365*[11]核心假设及结论!$C$70*$H38,0)</f>
        <v>0</v>
      </c>
      <c r="CA38" s="1739">
        <f t="shared" si="23"/>
        <v>2059</v>
      </c>
      <c r="CB38" s="1742">
        <f>_xlfn.IFNA(INDEX($AR38:$AX38,MATCH(CA38,$AR$2:$AX$2,0))*12/365*[11]核心假设及结论!$C$70*$H38,0)</f>
        <v>0</v>
      </c>
    </row>
    <row r="39" spans="1:80" ht="30" customHeight="1">
      <c r="A39" s="1756" t="s">
        <v>1662</v>
      </c>
      <c r="B39" s="1757" t="s">
        <v>1754</v>
      </c>
      <c r="C39" s="1756" t="s">
        <v>1755</v>
      </c>
      <c r="D39" s="1756" t="s">
        <v>1685</v>
      </c>
      <c r="E39" s="1758" t="s">
        <v>1692</v>
      </c>
      <c r="F39" s="1759"/>
      <c r="G39" s="1760" t="s">
        <v>1693</v>
      </c>
      <c r="H39" s="1761">
        <v>643</v>
      </c>
      <c r="I39" s="1761" t="s">
        <v>1736</v>
      </c>
      <c r="J39" s="1773">
        <v>41983</v>
      </c>
      <c r="K39" s="1773">
        <v>46365</v>
      </c>
      <c r="L39" s="1764">
        <f t="shared" si="1"/>
        <v>144</v>
      </c>
      <c r="M39" s="1774">
        <f t="shared" si="16"/>
        <v>90022.49785</v>
      </c>
      <c r="N39" s="1775">
        <f t="shared" si="17"/>
        <v>77.953884681181961</v>
      </c>
      <c r="O39" s="1760">
        <v>50124.347849999998</v>
      </c>
      <c r="P39" s="1776">
        <v>0.06</v>
      </c>
      <c r="Q39" s="1783">
        <f t="shared" si="2"/>
        <v>62.050000000000004</v>
      </c>
      <c r="R39" s="1784">
        <v>39898.15</v>
      </c>
      <c r="S39" s="1777">
        <f t="shared" si="3"/>
        <v>0</v>
      </c>
      <c r="T39" s="1784">
        <v>0</v>
      </c>
      <c r="U39" s="1777"/>
      <c r="V39" s="1785">
        <v>835405.79749999999</v>
      </c>
      <c r="W39" s="1785">
        <f t="shared" si="4"/>
        <v>1299.2314113530326</v>
      </c>
      <c r="X39" s="1786">
        <f>(N39+Q39+S39)*H39/V39</f>
        <v>0.10775900540718956</v>
      </c>
      <c r="Y39" s="1789">
        <f>VLOOKUP(E39,[11]核心假设及结论!$C$25:$E$45,3,0)</f>
        <v>0.2</v>
      </c>
      <c r="Z39" s="1790">
        <f t="shared" si="6"/>
        <v>0</v>
      </c>
      <c r="AA39" s="1790">
        <f t="shared" si="6"/>
        <v>9.999999999999991E-5</v>
      </c>
      <c r="AB39" s="1790">
        <f t="shared" si="6"/>
        <v>0</v>
      </c>
      <c r="AC39" s="1790">
        <f t="shared" si="6"/>
        <v>0</v>
      </c>
      <c r="AD39" s="1790">
        <f t="shared" si="6"/>
        <v>0</v>
      </c>
      <c r="AE39" s="1790">
        <f t="shared" si="6"/>
        <v>0</v>
      </c>
      <c r="AF39" s="1790">
        <f t="shared" si="6"/>
        <v>0</v>
      </c>
      <c r="AG39" s="1798">
        <v>0</v>
      </c>
      <c r="AH39" s="1798">
        <v>1.5552099533437E-7</v>
      </c>
      <c r="AI39" s="1798">
        <v>0</v>
      </c>
      <c r="AJ39" s="1798">
        <v>0</v>
      </c>
      <c r="AK39" s="1798">
        <v>0</v>
      </c>
      <c r="AL39" s="1798">
        <v>0</v>
      </c>
      <c r="AM39" s="1798">
        <v>0</v>
      </c>
      <c r="AN39" s="1797"/>
      <c r="AO39" s="1797"/>
      <c r="AP39" s="1808">
        <f t="shared" si="18"/>
        <v>0.53879502703594784</v>
      </c>
      <c r="AQ39" s="1810">
        <f>IF(AP39&gt;[11]核心假设及结论!$B$59,[11]核心假设及结论!$D$59,IF(AP39&lt;=[11]核心假设及结论!$B$58,[11]核心假设及结论!$D$57,[11]核心假设及结论!$D$58))</f>
        <v>1.0342640124442799</v>
      </c>
      <c r="AR39" s="1809">
        <f t="shared" si="19"/>
        <v>0</v>
      </c>
      <c r="AS39" s="1809">
        <f>AH39*(AS$2&lt;=YEAR($K39))+AR39*$AQ39*(AS$2=YEAR($K39)+1)+VLOOKUP($D39,[11]核心假设及结论!$B$17:$E$21,4)*(AS$2&gt;YEAR($K39)+1)*AR39</f>
        <v>1.5552099533437E-7</v>
      </c>
      <c r="AT39" s="1811">
        <f>AI39*(AT$2&lt;=YEAR($K39))+AS39*$AQ39*(AT$2=YEAR($K39)+1)+VLOOKUP($D39,[11]核心假设及结论!$B$17:$E$21,4)*(AT$2&gt;YEAR($K39)+1)*AS39</f>
        <v>1.6084976865385366E-7</v>
      </c>
      <c r="AU39" s="1809">
        <f>AJ39*(AU$2&lt;=YEAR($K39))+AT39*$AQ39*(AU$2=YEAR($K39)+1)+VLOOKUP($D39,[11]核心假设及结论!$B$17:$E$21,4)*(AU$2&gt;YEAR($K39)+1)*AT39</f>
        <v>1.6520469426878746E-7</v>
      </c>
      <c r="AV39" s="1809">
        <f>AK39*(AV$2&lt;=YEAR($K39))+AU39*$AQ39*(AV$2=YEAR($K39)+1)+VLOOKUP($D39,[11]核心假设及结论!$B$17:$E$21,4)*(AV$2&gt;YEAR($K39)+1)*AU39</f>
        <v>1.6967752727811993E-7</v>
      </c>
      <c r="AW39" s="1809">
        <f>AL39*(AW$2&lt;=YEAR($K39))+AV39*$AQ39*(AW$2=YEAR($K39)+1)+VLOOKUP($D39,[11]核心假设及结论!$B$17:$E$21,4)*(AW$2&gt;YEAR($K39)+1)*AV39</f>
        <v>1.7427145996454041E-7</v>
      </c>
      <c r="AX39" s="1809">
        <f>AM39*(AX$2&lt;=YEAR($K39))+AW39*$AQ39*(AX$2=YEAR($K39)+1)+VLOOKUP($D39,[11]核心假设及结论!$B$17:$E$21,4)*(AX$2&gt;YEAR($K39)+1)*AW39</f>
        <v>1.7898977104016721E-7</v>
      </c>
      <c r="AZ39" s="1746">
        <f t="shared" si="7"/>
        <v>46365</v>
      </c>
      <c r="BA39" s="1817">
        <f t="shared" si="8"/>
        <v>45658</v>
      </c>
      <c r="BB39" s="1817">
        <f t="shared" si="9"/>
        <v>46000</v>
      </c>
      <c r="BC39" s="1817">
        <f t="shared" si="10"/>
        <v>46022</v>
      </c>
      <c r="BD39" s="1818">
        <f t="shared" si="11"/>
        <v>343</v>
      </c>
      <c r="BE39" s="1818">
        <f t="shared" si="12"/>
        <v>22</v>
      </c>
      <c r="BG39" s="1820">
        <v>0</v>
      </c>
      <c r="BH39" s="1820">
        <v>0</v>
      </c>
      <c r="BI39" s="1820">
        <v>0</v>
      </c>
      <c r="BJ39" s="1820">
        <v>0</v>
      </c>
      <c r="BK39" s="1820">
        <v>0</v>
      </c>
      <c r="BL39" s="1820">
        <v>0</v>
      </c>
      <c r="BM39" s="1820">
        <v>0</v>
      </c>
      <c r="BO39" s="1739">
        <f t="shared" si="15"/>
        <v>2026</v>
      </c>
      <c r="BP39" s="1742">
        <f>_xlfn.IFNA(INDEX($AR39:$AX39,MATCH(BO39,$AR$2:$AX$2,0))*12/365*[11]核心假设及结论!$C$70*$H39,0)</f>
        <v>9.8630136986301286E-5</v>
      </c>
      <c r="BR39" s="1739">
        <f t="shared" si="20"/>
        <v>2038</v>
      </c>
      <c r="BS39" s="1742">
        <f>_xlfn.IFNA(INDEX($AR39:$AX39,MATCH(BR39,$AR$2:$AX$2,0))*12/365*[11]核心假设及结论!$C$70*$H39,0)</f>
        <v>0</v>
      </c>
      <c r="BU39" s="1739">
        <f t="shared" si="21"/>
        <v>2050</v>
      </c>
      <c r="BV39" s="1742">
        <f>_xlfn.IFNA(INDEX($AR39:$AX39,MATCH(BU39,$AR$2:$AX$2,0))*12/365*[11]核心假设及结论!$C$70*$H39,0)</f>
        <v>0</v>
      </c>
      <c r="BX39" s="1739">
        <f t="shared" si="22"/>
        <v>2062</v>
      </c>
      <c r="BY39" s="1742">
        <f>_xlfn.IFNA(INDEX($AR39:$AX39,MATCH(BX39,$AR$2:$AX$2,0))*12/365*[11]核心假设及结论!$C$70*$H39,0)</f>
        <v>0</v>
      </c>
      <c r="CA39" s="1739">
        <f t="shared" si="23"/>
        <v>2074</v>
      </c>
      <c r="CB39" s="1742">
        <f>_xlfn.IFNA(INDEX($AR39:$AX39,MATCH(CA39,$AR$2:$AX$2,0))*12/365*[11]核心假设及结论!$C$70*$H39,0)</f>
        <v>0</v>
      </c>
    </row>
    <row r="40" spans="1:80" ht="30" customHeight="1">
      <c r="A40" s="1756" t="s">
        <v>1662</v>
      </c>
      <c r="B40" s="1757" t="s">
        <v>1756</v>
      </c>
      <c r="C40" s="1756" t="s">
        <v>1757</v>
      </c>
      <c r="D40" s="1756" t="s">
        <v>1676</v>
      </c>
      <c r="E40" s="1758" t="s">
        <v>1758</v>
      </c>
      <c r="F40" s="1767"/>
      <c r="G40" s="1760" t="s">
        <v>1682</v>
      </c>
      <c r="H40" s="1761">
        <v>607</v>
      </c>
      <c r="I40" s="1761" t="s">
        <v>1736</v>
      </c>
      <c r="J40" s="1773">
        <v>41904</v>
      </c>
      <c r="K40" s="1773">
        <v>46053</v>
      </c>
      <c r="L40" s="1764">
        <f t="shared" si="1"/>
        <v>137</v>
      </c>
      <c r="M40" s="1774">
        <f t="shared" si="16"/>
        <v>378264.19</v>
      </c>
      <c r="N40" s="1775">
        <f t="shared" si="17"/>
        <v>528.16999999999996</v>
      </c>
      <c r="O40" s="1760">
        <v>320599.19</v>
      </c>
      <c r="P40" s="1776">
        <v>0</v>
      </c>
      <c r="Q40" s="1783">
        <f t="shared" si="2"/>
        <v>95</v>
      </c>
      <c r="R40" s="1784">
        <v>57665</v>
      </c>
      <c r="S40" s="1777">
        <f t="shared" si="3"/>
        <v>0</v>
      </c>
      <c r="T40" s="1784">
        <v>0</v>
      </c>
      <c r="U40" s="1777"/>
      <c r="V40" s="1785"/>
      <c r="W40" s="1785">
        <f t="shared" si="4"/>
        <v>0</v>
      </c>
      <c r="X40" s="1786" t="e">
        <f t="shared" ref="X40:X47" si="31">(N40+Q40)*H40/V40</f>
        <v>#DIV/0!</v>
      </c>
      <c r="Y40" s="1789">
        <f>VLOOKUP(E40,[11]核心假设及结论!$C$25:$E$45,3,0)</f>
        <v>0.2</v>
      </c>
      <c r="Z40" s="1790">
        <f t="shared" si="6"/>
        <v>320599.19</v>
      </c>
      <c r="AA40" s="1790">
        <f t="shared" si="6"/>
        <v>295408.69</v>
      </c>
      <c r="AB40" s="1790">
        <f t="shared" si="6"/>
        <v>0</v>
      </c>
      <c r="AC40" s="1790">
        <f t="shared" ref="AC40:AF102" si="32">AJ40*$H40</f>
        <v>0</v>
      </c>
      <c r="AD40" s="1790">
        <f t="shared" si="32"/>
        <v>0</v>
      </c>
      <c r="AE40" s="1790">
        <f t="shared" si="32"/>
        <v>0</v>
      </c>
      <c r="AF40" s="1790">
        <f t="shared" si="32"/>
        <v>0</v>
      </c>
      <c r="AG40" s="1794">
        <v>528.16999999999996</v>
      </c>
      <c r="AH40" s="1794">
        <v>486.67</v>
      </c>
      <c r="AI40" s="1794">
        <v>0</v>
      </c>
      <c r="AJ40" s="1794">
        <v>0</v>
      </c>
      <c r="AK40" s="1794">
        <v>0</v>
      </c>
      <c r="AL40" s="1794">
        <v>0</v>
      </c>
      <c r="AM40" s="1794">
        <v>0</v>
      </c>
      <c r="AN40" s="1797"/>
      <c r="AO40" s="1797"/>
      <c r="AP40" s="1808">
        <f t="shared" si="18"/>
        <v>1.25</v>
      </c>
      <c r="AQ40" s="1808">
        <f>IF(AP40&gt;[11]核心假设及结论!$B$65,[11]核心假设及结论!$D$65,IF(AP40&lt;=[11]核心假设及结论!$B$64,[11]核心假设及结论!$D$63,[11]核心假设及结论!$D$64))</f>
        <v>0.754</v>
      </c>
      <c r="AR40" s="1809">
        <f t="shared" si="19"/>
        <v>528.16999999999996</v>
      </c>
      <c r="AS40" s="1809">
        <f>AH40*(AS$2&lt;=YEAR($K40))+AR40*$AQ40*(AS$2=YEAR($K40)+1)+INDEX([11]核心假设及结论!$E$17:$E$21,MATCH($D40,[11]核心假设及结论!$B$17:$B$21,0))*(AS$2&gt;YEAR($K40)+1)*AR40</f>
        <v>486.67</v>
      </c>
      <c r="AT40" s="1811">
        <f>AI40*(AT$2&lt;=YEAR($K40))+AS40*$AQ40*(AT$2=YEAR($K40)+1)+INDEX([11]核心假设及结论!$E$17:$E$21,MATCH($D40,[11]核心假设及结论!$B$17:$B$21,0))*(AT$2&gt;YEAR($K40)+1)*AS40</f>
        <v>366.94918000000001</v>
      </c>
      <c r="AU40" s="1809">
        <f>AJ40*(AU$2&lt;=YEAR($K40))+AT40*$AQ40*(AU$2=YEAR($K40)+1)+INDEX([11]核心假设及结论!$E$17:$E$21,MATCH($D40,[11]核心假设及结论!$B$17:$B$21,0))*(AU$2&gt;YEAR($K40)+1)*AT40</f>
        <v>379.63648000563586</v>
      </c>
      <c r="AV40" s="1809">
        <f>AK40*(AV$2&lt;=YEAR($K40))+AU40*$AQ40*(AV$2=YEAR($K40)+1)+INDEX([11]核心假设及结论!$E$17:$E$21,MATCH($D40,[11]核心假设及结论!$B$17:$B$21,0))*(AV$2&gt;YEAR($K40)+1)*AU40</f>
        <v>392.7624445190736</v>
      </c>
      <c r="AW40" s="1809">
        <f>AL40*(AW$2&lt;=YEAR($K40))+AV40*$AQ40*(AW$2=YEAR($K40)+1)+INDEX([11]核心假设及结论!$E$17:$E$21,MATCH($D40,[11]核心假设及结论!$B$17:$B$21,0))*(AW$2&gt;YEAR($K40)+1)*AV40</f>
        <v>406.34224040405252</v>
      </c>
      <c r="AX40" s="1809">
        <f>AM40*(AX$2&lt;=YEAR($K40))+AW40*$AQ40*(AX$2=YEAR($K40)+1)+INDEX([11]核心假设及结论!$E$17:$E$21,MATCH($D40,[11]核心假设及结论!$B$17:$B$21,0))*(AX$2&gt;YEAR($K40)+1)*AW40</f>
        <v>420.39155891995279</v>
      </c>
      <c r="AZ40" s="1746">
        <f t="shared" si="7"/>
        <v>46053</v>
      </c>
      <c r="BA40" s="1817">
        <f t="shared" si="8"/>
        <v>45658</v>
      </c>
      <c r="BB40" s="1817">
        <f t="shared" si="9"/>
        <v>45688</v>
      </c>
      <c r="BC40" s="1817">
        <f t="shared" si="10"/>
        <v>46022</v>
      </c>
      <c r="BD40" s="1818">
        <f t="shared" si="11"/>
        <v>31</v>
      </c>
      <c r="BE40" s="1818">
        <f t="shared" si="12"/>
        <v>334</v>
      </c>
      <c r="BG40" s="1777">
        <f t="shared" si="28"/>
        <v>357.05778854794517</v>
      </c>
      <c r="BH40" s="1777">
        <f t="shared" si="30"/>
        <v>274.69220464056991</v>
      </c>
      <c r="BI40" s="1777">
        <f t="shared" si="30"/>
        <v>275.74232351816744</v>
      </c>
      <c r="BJ40" s="1777">
        <f t="shared" si="30"/>
        <v>285.27613848057206</v>
      </c>
      <c r="BK40" s="1777">
        <f t="shared" si="30"/>
        <v>295.13958592948671</v>
      </c>
      <c r="BL40" s="1777">
        <f t="shared" si="30"/>
        <v>305.34406293697458</v>
      </c>
      <c r="BM40" s="1777">
        <f t="shared" si="30"/>
        <v>26.007149471331786</v>
      </c>
      <c r="BO40" s="1739">
        <f t="shared" si="15"/>
        <v>2026</v>
      </c>
      <c r="BP40" s="1742">
        <f>_xlfn.IFNA(INDEX($AR40:$AX40,MATCH(BO40,$AR$2:$AX$2,0))*12/365*[11]核心假设及结论!$C$70*$H40,0)</f>
        <v>291361.99561643833</v>
      </c>
      <c r="BR40" s="1739">
        <f t="shared" si="20"/>
        <v>2037</v>
      </c>
      <c r="BS40" s="1742">
        <f>_xlfn.IFNA(INDEX($AR40:$AX40,MATCH(BR40,$AR$2:$AX$2,0))*12/365*[11]核心假设及结论!$C$70*$H40,0)</f>
        <v>0</v>
      </c>
      <c r="BU40" s="1739">
        <f t="shared" si="21"/>
        <v>2048</v>
      </c>
      <c r="BV40" s="1742">
        <f>_xlfn.IFNA(INDEX($AR40:$AX40,MATCH(BU40,$AR$2:$AX$2,0))*12/365*[11]核心假设及结论!$C$70*$H40,0)</f>
        <v>0</v>
      </c>
      <c r="BX40" s="1739">
        <f t="shared" si="22"/>
        <v>2059</v>
      </c>
      <c r="BY40" s="1742">
        <f>_xlfn.IFNA(INDEX($AR40:$AX40,MATCH(BX40,$AR$2:$AX$2,0))*12/365*[11]核心假设及结论!$C$70*$H40,0)</f>
        <v>0</v>
      </c>
      <c r="CA40" s="1739">
        <f t="shared" si="23"/>
        <v>2070</v>
      </c>
      <c r="CB40" s="1742">
        <f>_xlfn.IFNA(INDEX($AR40:$AX40,MATCH(CA40,$AR$2:$AX$2,0))*12/365*[11]核心假设及结论!$C$70*$H40,0)</f>
        <v>0</v>
      </c>
    </row>
    <row r="41" spans="1:80" ht="30" customHeight="1">
      <c r="A41" s="1756" t="s">
        <v>1687</v>
      </c>
      <c r="B41" s="1757" t="s">
        <v>1759</v>
      </c>
      <c r="C41" s="1756" t="s">
        <v>1760</v>
      </c>
      <c r="D41" s="1756" t="s">
        <v>1685</v>
      </c>
      <c r="E41" s="1758" t="s">
        <v>1692</v>
      </c>
      <c r="F41" s="1759"/>
      <c r="G41" s="1760" t="s">
        <v>1661</v>
      </c>
      <c r="H41" s="1761">
        <v>597</v>
      </c>
      <c r="I41" s="1761" t="s">
        <v>1736</v>
      </c>
      <c r="J41" s="1773">
        <v>45221</v>
      </c>
      <c r="K41" s="1773">
        <v>46072</v>
      </c>
      <c r="L41" s="1764">
        <f t="shared" si="1"/>
        <v>28</v>
      </c>
      <c r="M41" s="1774">
        <f t="shared" si="16"/>
        <v>321681.51</v>
      </c>
      <c r="N41" s="1775">
        <f t="shared" si="17"/>
        <v>425.83000000000004</v>
      </c>
      <c r="O41" s="1760">
        <v>254220.51</v>
      </c>
      <c r="P41" s="1776">
        <v>0.14000000000000001</v>
      </c>
      <c r="Q41" s="1783">
        <f t="shared" si="2"/>
        <v>95</v>
      </c>
      <c r="R41" s="1784">
        <v>56715</v>
      </c>
      <c r="S41" s="1777">
        <f t="shared" si="3"/>
        <v>18</v>
      </c>
      <c r="T41" s="1777">
        <v>10746</v>
      </c>
      <c r="U41" s="1777"/>
      <c r="V41" s="1785">
        <v>869967.9</v>
      </c>
      <c r="W41" s="1785">
        <f t="shared" si="4"/>
        <v>1457.2326633165831</v>
      </c>
      <c r="X41" s="1786">
        <f t="shared" si="31"/>
        <v>0.35741032513958276</v>
      </c>
      <c r="Y41" s="1789">
        <f>VLOOKUP(E41,[11]核心假设及结论!$C$25:$E$45,3,0)</f>
        <v>0.2</v>
      </c>
      <c r="Z41" s="1790">
        <f t="shared" ref="Z41:AF103" si="33">AG41*$H41</f>
        <v>254220.50999999998</v>
      </c>
      <c r="AA41" s="1790">
        <f t="shared" si="33"/>
        <v>263300.88</v>
      </c>
      <c r="AB41" s="1790">
        <f t="shared" si="33"/>
        <v>0</v>
      </c>
      <c r="AC41" s="1790">
        <f t="shared" si="32"/>
        <v>0</v>
      </c>
      <c r="AD41" s="1790">
        <f t="shared" si="32"/>
        <v>0</v>
      </c>
      <c r="AE41" s="1790">
        <f t="shared" si="32"/>
        <v>0</v>
      </c>
      <c r="AF41" s="1790">
        <f t="shared" si="32"/>
        <v>0</v>
      </c>
      <c r="AG41" s="1794">
        <v>425.83</v>
      </c>
      <c r="AH41" s="1794">
        <v>441.04</v>
      </c>
      <c r="AI41" s="1794">
        <v>0</v>
      </c>
      <c r="AJ41" s="1794">
        <v>0</v>
      </c>
      <c r="AK41" s="1794">
        <v>0</v>
      </c>
      <c r="AL41" s="1794">
        <v>0</v>
      </c>
      <c r="AM41" s="1794">
        <v>0</v>
      </c>
      <c r="AN41" s="1795"/>
      <c r="AO41" s="1795"/>
      <c r="AP41" s="1808">
        <f t="shared" si="18"/>
        <v>1.7870516256979136</v>
      </c>
      <c r="AQ41" s="1810">
        <f>IF(AP41&gt;[11]核心假设及结论!$B$59,[11]核心假设及结论!$D$59,IF(AP41&lt;=[11]核心假设及结论!$B$58,[11]核心假设及结论!$D$57,[11]核心假设及结论!$D$58))</f>
        <v>1</v>
      </c>
      <c r="AR41" s="1809">
        <f t="shared" si="19"/>
        <v>425.83</v>
      </c>
      <c r="AS41" s="1809">
        <f>AH41*(AS$2&lt;=YEAR($K41))+AR41*$AQ41*(AS$2=YEAR($K41)+1)+INDEX([11]核心假设及结论!$E$17:$E$21,MATCH($D41,[11]核心假设及结论!$B$17:$B$21,0))*(AS$2&gt;YEAR($K41)+1)*AR41</f>
        <v>441.04</v>
      </c>
      <c r="AT41" s="1811">
        <f>AI41*(AT$2&lt;=YEAR($K41))+AS41*$AQ41*(AT$2=YEAR($K41)+1)+INDEX([11]核心假设及结论!$E$17:$E$21,MATCH($D41,[11]核心假设及结论!$B$17:$B$21,0))*(AT$2&gt;YEAR($K41)+1)*AS41</f>
        <v>441.04</v>
      </c>
      <c r="AU41" s="1809">
        <f>AJ41*(AU$2&lt;=YEAR($K41))+AT41*$AQ41*(AU$2=YEAR($K41)+1)+INDEX([11]核心假设及结论!$E$17:$E$21,MATCH($D41,[11]核心假设及结论!$B$17:$B$21,0))*(AU$2&gt;YEAR($K41)+1)*AT41</f>
        <v>452.98093351382875</v>
      </c>
      <c r="AV41" s="1809">
        <f>AK41*(AV$2&lt;=YEAR($K41))+AU41*$AQ41*(AV$2=YEAR($K41)+1)+INDEX([11]核心假设及结论!$E$17:$E$21,MATCH($D41,[11]核心假设及结论!$B$17:$B$21,0))*(AV$2&gt;YEAR($K41)+1)*AU41</f>
        <v>465.24516172469555</v>
      </c>
      <c r="AW41" s="1809">
        <f>AL41*(AW$2&lt;=YEAR($K41))+AV41*$AQ41*(AW$2=YEAR($K41)+1)+INDEX([11]核心假设及结论!$E$17:$E$21,MATCH($D41,[11]核心假设及结论!$B$17:$B$21,0))*(AW$2&gt;YEAR($K41)+1)*AV41</f>
        <v>477.84143767196809</v>
      </c>
      <c r="AX41" s="1809">
        <f>AM41*(AX$2&lt;=YEAR($K41))+AW41*$AQ41*(AX$2=YEAR($K41)+1)+INDEX([11]核心假设及结论!$E$17:$E$21,MATCH($D41,[11]核心假设及结论!$B$17:$B$21,0))*(AX$2&gt;YEAR($K41)+1)*AW41</f>
        <v>490.77875137909967</v>
      </c>
      <c r="AZ41" s="1746">
        <f t="shared" si="7"/>
        <v>46072</v>
      </c>
      <c r="BA41" s="1817">
        <f t="shared" si="8"/>
        <v>45658</v>
      </c>
      <c r="BB41" s="1817">
        <f t="shared" si="9"/>
        <v>45707</v>
      </c>
      <c r="BC41" s="1817">
        <f t="shared" si="10"/>
        <v>46022</v>
      </c>
      <c r="BD41" s="1818">
        <f t="shared" si="11"/>
        <v>50</v>
      </c>
      <c r="BE41" s="1818">
        <f t="shared" si="12"/>
        <v>315</v>
      </c>
      <c r="BG41" s="1777">
        <f t="shared" si="28"/>
        <v>314.4683924383562</v>
      </c>
      <c r="BH41" s="1777">
        <f t="shared" si="30"/>
        <v>315.96105599999999</v>
      </c>
      <c r="BI41" s="1777">
        <f t="shared" si="30"/>
        <v>323.34369354063472</v>
      </c>
      <c r="BJ41" s="1777">
        <f t="shared" si="30"/>
        <v>332.09805946364514</v>
      </c>
      <c r="BK41" s="1777">
        <f t="shared" si="30"/>
        <v>341.08944538811215</v>
      </c>
      <c r="BL41" s="1777">
        <f t="shared" si="30"/>
        <v>350.32426850993375</v>
      </c>
      <c r="BM41" s="1777">
        <f t="shared" si="30"/>
        <v>48.163547601094116</v>
      </c>
      <c r="BO41" s="1739">
        <f t="shared" si="15"/>
        <v>2026</v>
      </c>
      <c r="BP41" s="1742">
        <f>_xlfn.IFNA(INDEX($AR41:$AX41,MATCH(BO41,$AR$2:$AX$2,0))*12/365*[11]核心假设及结论!$C$70*$H41,0)</f>
        <v>259694.01863013703</v>
      </c>
      <c r="BR41" s="1739">
        <f t="shared" si="20"/>
        <v>2028</v>
      </c>
      <c r="BS41" s="1742">
        <f>_xlfn.IFNA(INDEX($AR41:$AX41,MATCH(BR41,$AR$2:$AX$2,0))*12/365*[11]核心假设及结论!$C$70*$H41,0)</f>
        <v>266725.10200217005</v>
      </c>
      <c r="BU41" s="1739">
        <f t="shared" si="21"/>
        <v>2030</v>
      </c>
      <c r="BV41" s="1742">
        <f>_xlfn.IFNA(INDEX($AR41:$AX41,MATCH(BU41,$AR$2:$AX$2,0))*12/365*[11]核心假设及结论!$C$70*$H41,0)</f>
        <v>281363.51173824485</v>
      </c>
      <c r="BX41" s="1739">
        <f t="shared" si="22"/>
        <v>2032</v>
      </c>
      <c r="BY41" s="1742">
        <f>_xlfn.IFNA(INDEX($AR41:$AX41,MATCH(BX41,$AR$2:$AX$2,0))*12/365*[11]核心假设及结论!$C$70*$H41,0)</f>
        <v>0</v>
      </c>
      <c r="CA41" s="1739">
        <f t="shared" si="23"/>
        <v>2034</v>
      </c>
      <c r="CB41" s="1742">
        <f>_xlfn.IFNA(INDEX($AR41:$AX41,MATCH(CA41,$AR$2:$AX$2,0))*12/365*[11]核心假设及结论!$C$70*$H41,0)</f>
        <v>0</v>
      </c>
    </row>
    <row r="42" spans="1:80" ht="30" customHeight="1">
      <c r="A42" s="1756" t="s">
        <v>1666</v>
      </c>
      <c r="B42" s="1757" t="s">
        <v>1761</v>
      </c>
      <c r="C42" s="1756" t="s">
        <v>1762</v>
      </c>
      <c r="D42" s="1756" t="s">
        <v>1698</v>
      </c>
      <c r="E42" s="1758" t="s">
        <v>1698</v>
      </c>
      <c r="F42" s="1762"/>
      <c r="G42" s="1760" t="s">
        <v>1661</v>
      </c>
      <c r="H42" s="1761">
        <v>575</v>
      </c>
      <c r="I42" s="1761" t="s">
        <v>1736</v>
      </c>
      <c r="J42" s="1773">
        <v>44447</v>
      </c>
      <c r="K42" s="1773">
        <v>46272</v>
      </c>
      <c r="L42" s="1764">
        <f t="shared" si="1"/>
        <v>60</v>
      </c>
      <c r="M42" s="1774">
        <f t="shared" si="16"/>
        <v>213894.954375</v>
      </c>
      <c r="N42" s="1775">
        <f t="shared" si="17"/>
        <v>258.37</v>
      </c>
      <c r="O42" s="1760">
        <v>148562.75</v>
      </c>
      <c r="P42" s="1776">
        <v>7.0000000000000007E-2</v>
      </c>
      <c r="Q42" s="1783">
        <f t="shared" si="2"/>
        <v>95</v>
      </c>
      <c r="R42" s="1784">
        <v>54625</v>
      </c>
      <c r="S42" s="1777">
        <f t="shared" si="3"/>
        <v>18.621224999999999</v>
      </c>
      <c r="T42" s="1784">
        <v>10707.204374999999</v>
      </c>
      <c r="U42" s="1777"/>
      <c r="V42" s="1785">
        <v>1818847.5024999999</v>
      </c>
      <c r="W42" s="1785">
        <f t="shared" si="4"/>
        <v>3163.2130478260869</v>
      </c>
      <c r="X42" s="1786">
        <f t="shared" si="31"/>
        <v>0.11171236165798348</v>
      </c>
      <c r="Y42" s="1789">
        <f>VLOOKUP(E42,[11]核心假设及结论!$C$25:$E$45,3,0)</f>
        <v>0.2</v>
      </c>
      <c r="Z42" s="1790">
        <f t="shared" si="33"/>
        <v>152789.00000000003</v>
      </c>
      <c r="AA42" s="1790">
        <f t="shared" si="33"/>
        <v>157377.5</v>
      </c>
      <c r="AB42" s="1790">
        <f t="shared" si="33"/>
        <v>0</v>
      </c>
      <c r="AC42" s="1790">
        <f t="shared" si="32"/>
        <v>0</v>
      </c>
      <c r="AD42" s="1790">
        <f t="shared" si="32"/>
        <v>0</v>
      </c>
      <c r="AE42" s="1790">
        <f t="shared" si="32"/>
        <v>0</v>
      </c>
      <c r="AF42" s="1790">
        <f t="shared" si="32"/>
        <v>0</v>
      </c>
      <c r="AG42" s="1794">
        <v>265.72000000000003</v>
      </c>
      <c r="AH42" s="1794">
        <v>273.7</v>
      </c>
      <c r="AI42" s="1794">
        <v>0</v>
      </c>
      <c r="AJ42" s="1794">
        <v>0</v>
      </c>
      <c r="AK42" s="1794">
        <v>0</v>
      </c>
      <c r="AL42" s="1794">
        <v>0</v>
      </c>
      <c r="AM42" s="1794">
        <v>0</v>
      </c>
      <c r="AN42" s="1797"/>
      <c r="AO42" s="1797"/>
      <c r="AP42" s="1808">
        <f t="shared" si="18"/>
        <v>0.55856180828991742</v>
      </c>
      <c r="AQ42" s="1812">
        <f>IF(AP42&gt;[11]核心假设及结论!$B$62,[11]核心假设及结论!$D$62,IF(AP42&lt;=[11]核心假设及结论!$B$61,[11]核心假设及结论!$D$60,[11]核心假设及结论!$D$61))</f>
        <v>1.0811176582269599</v>
      </c>
      <c r="AR42" s="1809">
        <f t="shared" si="19"/>
        <v>265.72000000000003</v>
      </c>
      <c r="AS42" s="1809">
        <f>AH42*(AS$2&lt;=YEAR($K42))+AR42*$AQ42*(AS$2=YEAR($K42)+1)+INDEX([11]核心假设及结论!$E$17:$E$21,MATCH($D42,[11]核心假设及结论!$B$17:$B$21,0))*(AS$2&gt;YEAR($K42)+1)*AR42</f>
        <v>273.7</v>
      </c>
      <c r="AT42" s="1811">
        <f>AI42*(AT$2&lt;=YEAR($K42))+AS42*$AQ42*(AT$2=YEAR($K42)+1)+INDEX([11]核心假设及结论!$E$17:$E$21,MATCH($D42,[11]核心假设及结论!$B$17:$B$21,0))*(AT$2&gt;YEAR($K42)+1)*AS42</f>
        <v>295.90190305671894</v>
      </c>
      <c r="AU42" s="1809">
        <f>AJ42*(AU$2&lt;=YEAR($K42))+AT42*$AQ42*(AU$2=YEAR($K42)+1)+INDEX([11]核心假设及结论!$E$17:$E$21,MATCH($D42,[11]核心假设及结论!$B$17:$B$21,0))*(AU$2&gt;YEAR($K42)+1)*AT42</f>
        <v>304.96165157062103</v>
      </c>
      <c r="AV42" s="1809">
        <f>AK42*(AV$2&lt;=YEAR($K42))+AU42*$AQ42*(AV$2=YEAR($K42)+1)+INDEX([11]核心假设及结论!$E$17:$E$21,MATCH($D42,[11]核心假设及结论!$B$17:$B$21,0))*(AV$2&gt;YEAR($K42)+1)*AU42</f>
        <v>314.29878607727022</v>
      </c>
      <c r="AW42" s="1809">
        <f>AL42*(AW$2&lt;=YEAR($K42))+AV42*$AQ42*(AW$2=YEAR($K42)+1)+INDEX([11]核心假设及结论!$E$17:$E$21,MATCH($D42,[11]核心假设及结论!$B$17:$B$21,0))*(AW$2&gt;YEAR($K42)+1)*AV42</f>
        <v>323.92179941604883</v>
      </c>
      <c r="AX42" s="1809">
        <f>AM42*(AX$2&lt;=YEAR($K42))+AW42*$AQ42*(AX$2=YEAR($K42)+1)+INDEX([11]核心假设及结论!$E$17:$E$21,MATCH($D42,[11]核心假设及结论!$B$17:$B$21,0))*(AX$2&gt;YEAR($K42)+1)*AW42</f>
        <v>333.83944445504517</v>
      </c>
      <c r="AZ42" s="1746">
        <f t="shared" si="7"/>
        <v>46272</v>
      </c>
      <c r="BA42" s="1817">
        <f t="shared" si="8"/>
        <v>45658</v>
      </c>
      <c r="BB42" s="1817">
        <f t="shared" si="9"/>
        <v>45907</v>
      </c>
      <c r="BC42" s="1817">
        <f t="shared" si="10"/>
        <v>46022</v>
      </c>
      <c r="BD42" s="1818">
        <f t="shared" si="11"/>
        <v>250</v>
      </c>
      <c r="BE42" s="1818">
        <f t="shared" si="12"/>
        <v>115</v>
      </c>
      <c r="BG42" s="1777">
        <f t="shared" si="28"/>
        <v>185.08163013698632</v>
      </c>
      <c r="BH42" s="1777">
        <f t="shared" si="30"/>
        <v>193.67963289739905</v>
      </c>
      <c r="BI42" s="1777">
        <f t="shared" si="30"/>
        <v>206.14187761482958</v>
      </c>
      <c r="BJ42" s="1777">
        <f t="shared" si="30"/>
        <v>212.45340704428364</v>
      </c>
      <c r="BK42" s="1777">
        <f t="shared" si="30"/>
        <v>218.95817912874682</v>
      </c>
      <c r="BL42" s="1777">
        <f t="shared" si="30"/>
        <v>225.66211045692125</v>
      </c>
      <c r="BM42" s="1777">
        <f t="shared" si="30"/>
        <v>157.77343607806927</v>
      </c>
      <c r="BO42" s="1739">
        <f t="shared" si="15"/>
        <v>2026</v>
      </c>
      <c r="BP42" s="1742">
        <f>_xlfn.IFNA(INDEX($AR42:$AX42,MATCH(BO42,$AR$2:$AX$2,0))*12/365*[11]核心假设及结论!$C$70*$H42,0)</f>
        <v>155221.64383561641</v>
      </c>
      <c r="BR42" s="1739">
        <f t="shared" si="20"/>
        <v>2031</v>
      </c>
      <c r="BS42" s="1742">
        <f>_xlfn.IFNA(INDEX($AR42:$AX42,MATCH(BR42,$AR$2:$AX$2,0))*12/365*[11]核心假设及结论!$C$70*$H42,0)</f>
        <v>189328.12329368314</v>
      </c>
      <c r="BU42" s="1739">
        <f t="shared" si="21"/>
        <v>2036</v>
      </c>
      <c r="BV42" s="1742">
        <f>_xlfn.IFNA(INDEX($AR42:$AX42,MATCH(BU42,$AR$2:$AX$2,0))*12/365*[11]核心假设及结论!$C$70*$H42,0)</f>
        <v>0</v>
      </c>
      <c r="BX42" s="1739">
        <f t="shared" si="22"/>
        <v>2041</v>
      </c>
      <c r="BY42" s="1742">
        <f>_xlfn.IFNA(INDEX($AR42:$AX42,MATCH(BX42,$AR$2:$AX$2,0))*12/365*[11]核心假设及结论!$C$70*$H42,0)</f>
        <v>0</v>
      </c>
      <c r="CA42" s="1739">
        <f t="shared" si="23"/>
        <v>2046</v>
      </c>
      <c r="CB42" s="1742">
        <f>_xlfn.IFNA(INDEX($AR42:$AX42,MATCH(CA42,$AR$2:$AX$2,0))*12/365*[11]核心假设及结论!$C$70*$H42,0)</f>
        <v>0</v>
      </c>
    </row>
    <row r="43" spans="1:80" ht="30" customHeight="1">
      <c r="A43" s="1756" t="s">
        <v>1662</v>
      </c>
      <c r="B43" s="1757" t="s">
        <v>1763</v>
      </c>
      <c r="C43" s="1756" t="s">
        <v>1764</v>
      </c>
      <c r="D43" s="1756" t="s">
        <v>1685</v>
      </c>
      <c r="E43" s="1758" t="s">
        <v>1718</v>
      </c>
      <c r="F43" s="1759"/>
      <c r="G43" s="1760" t="s">
        <v>1661</v>
      </c>
      <c r="H43" s="1761">
        <v>555</v>
      </c>
      <c r="I43" s="1761" t="s">
        <v>1736</v>
      </c>
      <c r="J43" s="1773">
        <v>45665</v>
      </c>
      <c r="K43" s="1773">
        <v>47422</v>
      </c>
      <c r="L43" s="1764">
        <f t="shared" si="1"/>
        <v>58</v>
      </c>
      <c r="M43" s="1774">
        <f t="shared" si="16"/>
        <v>400682.25</v>
      </c>
      <c r="N43" s="1775">
        <f t="shared" si="17"/>
        <v>608.33000000000004</v>
      </c>
      <c r="O43" s="1760">
        <v>337623.15</v>
      </c>
      <c r="P43" s="1776">
        <v>0.15</v>
      </c>
      <c r="Q43" s="1783">
        <f t="shared" si="2"/>
        <v>95</v>
      </c>
      <c r="R43" s="1784">
        <v>52725</v>
      </c>
      <c r="S43" s="1777">
        <f t="shared" si="3"/>
        <v>18.62</v>
      </c>
      <c r="T43" s="1784">
        <v>10334.1</v>
      </c>
      <c r="U43" s="1777"/>
      <c r="V43" s="1785">
        <v>1355037.60416667</v>
      </c>
      <c r="W43" s="1785">
        <f t="shared" si="4"/>
        <v>2441.5091966967029</v>
      </c>
      <c r="X43" s="1786">
        <f t="shared" si="31"/>
        <v>0.28807182088504396</v>
      </c>
      <c r="Y43" s="1789">
        <f>VLOOKUP(E43,[11]核心假设及结论!$C$25:$E$45,3,0)</f>
        <v>0.2</v>
      </c>
      <c r="Z43" s="1790">
        <f t="shared" si="33"/>
        <v>354506.25</v>
      </c>
      <c r="AA43" s="1790">
        <f t="shared" si="33"/>
        <v>372232.95</v>
      </c>
      <c r="AB43" s="1790">
        <f t="shared" si="33"/>
        <v>390842.10000000003</v>
      </c>
      <c r="AC43" s="1790">
        <f t="shared" si="32"/>
        <v>410383.64999999997</v>
      </c>
      <c r="AD43" s="1790">
        <f t="shared" si="32"/>
        <v>430902</v>
      </c>
      <c r="AE43" s="1790">
        <f t="shared" si="32"/>
        <v>0</v>
      </c>
      <c r="AF43" s="1790">
        <f t="shared" si="32"/>
        <v>0</v>
      </c>
      <c r="AG43" s="1794">
        <v>638.75</v>
      </c>
      <c r="AH43" s="1794">
        <v>670.69</v>
      </c>
      <c r="AI43" s="1794">
        <v>704.22</v>
      </c>
      <c r="AJ43" s="1794">
        <v>739.43</v>
      </c>
      <c r="AK43" s="1794">
        <v>776.4</v>
      </c>
      <c r="AL43" s="1794">
        <v>0</v>
      </c>
      <c r="AM43" s="1794">
        <v>0</v>
      </c>
      <c r="AN43" s="1797"/>
      <c r="AO43" s="1797"/>
      <c r="AP43" s="1808">
        <f t="shared" si="18"/>
        <v>1.4403591044252197</v>
      </c>
      <c r="AQ43" s="1810">
        <f>IF(AP43&gt;[11]核心假设及结论!$B$59,[11]核心假设及结论!$D$59,IF(AP43&lt;=[11]核心假设及结论!$B$58,[11]核心假设及结论!$D$57,[11]核心假设及结论!$D$58))</f>
        <v>1.0069999999999999</v>
      </c>
      <c r="AR43" s="1809">
        <f t="shared" si="19"/>
        <v>638.75</v>
      </c>
      <c r="AS43" s="1809">
        <f>AH43*(AS$2&lt;=YEAR($K43))+AR43*$AQ43*(AS$2=YEAR($K43)+1)+INDEX([11]核心假设及结论!$E$17:$E$21,MATCH($D43,[11]核心假设及结论!$B$17:$B$21,0))*(AS$2&gt;YEAR($K43)+1)*AR43</f>
        <v>670.69</v>
      </c>
      <c r="AT43" s="1809">
        <f>AI43*(AT$2&lt;=YEAR($K43))+AS43*$AQ43*(AT$2=YEAR($K43)+1)+INDEX([11]核心假设及结论!$E$17:$E$21,MATCH($D43,[11]核心假设及结论!$B$17:$B$21,0))*(AT$2&gt;YEAR($K43)+1)*AS43</f>
        <v>704.22</v>
      </c>
      <c r="AU43" s="1809">
        <f>AJ43*(AU$2&lt;=YEAR($K43))+AT43*$AQ43*(AU$2=YEAR($K43)+1)+INDEX([11]核心假设及结论!$E$17:$E$21,MATCH($D43,[11]核心假设及结论!$B$17:$B$21,0))*(AU$2&gt;YEAR($K43)+1)*AT43</f>
        <v>739.43</v>
      </c>
      <c r="AV43" s="1809">
        <f>AK43*(AV$2&lt;=YEAR($K43))+AU43*$AQ43*(AV$2=YEAR($K43)+1)+INDEX([11]核心假设及结论!$E$17:$E$21,MATCH($D43,[11]核心假设及结论!$B$17:$B$21,0))*(AV$2&gt;YEAR($K43)+1)*AU43</f>
        <v>776.4</v>
      </c>
      <c r="AW43" s="1811">
        <f>AL43*(AW$2&lt;=YEAR($K43))+AV43*$AQ43*(AW$2=YEAR($K43)+1)+INDEX([11]核心假设及结论!$E$17:$E$21,MATCH($D43,[11]核心假设及结论!$B$17:$B$21,0))*(AW$2&gt;YEAR($K43)+1)*AV43</f>
        <v>781.83479999999986</v>
      </c>
      <c r="AX43" s="1809">
        <f>AM43*(AX$2&lt;=YEAR($K43))+AW43*$AQ43*(AX$2=YEAR($K43)+1)+INDEX([11]核心假设及结论!$E$17:$E$21,MATCH($D43,[11]核心假设及结论!$B$17:$B$21,0))*(AX$2&gt;YEAR($K43)+1)*AW43</f>
        <v>803.00257926173936</v>
      </c>
      <c r="AZ43" s="1746">
        <f t="shared" si="7"/>
        <v>47422</v>
      </c>
      <c r="BA43" s="1817">
        <f t="shared" si="8"/>
        <v>45658</v>
      </c>
      <c r="BB43" s="1817">
        <f t="shared" si="9"/>
        <v>45961</v>
      </c>
      <c r="BC43" s="1817">
        <f t="shared" si="10"/>
        <v>46022</v>
      </c>
      <c r="BD43" s="1818">
        <f t="shared" si="11"/>
        <v>304</v>
      </c>
      <c r="BE43" s="1818">
        <f t="shared" si="12"/>
        <v>61</v>
      </c>
      <c r="BG43" s="1777">
        <f t="shared" si="28"/>
        <v>428.96255326027398</v>
      </c>
      <c r="BH43" s="1777">
        <f t="shared" si="30"/>
        <v>450.41156679452064</v>
      </c>
      <c r="BI43" s="1777">
        <f t="shared" si="30"/>
        <v>472.92953769863016</v>
      </c>
      <c r="BJ43" s="1777">
        <f t="shared" si="30"/>
        <v>496.57529293150679</v>
      </c>
      <c r="BK43" s="1777">
        <f t="shared" si="30"/>
        <v>517.68731557479452</v>
      </c>
      <c r="BL43" s="1777">
        <f t="shared" si="30"/>
        <v>523.05803762270523</v>
      </c>
      <c r="BM43" s="1777">
        <f t="shared" si="30"/>
        <v>445.42223070588716</v>
      </c>
      <c r="BO43" s="1739">
        <f t="shared" si="15"/>
        <v>2029</v>
      </c>
      <c r="BP43" s="1742">
        <f>_xlfn.IFNA(INDEX($AR43:$AX43,MATCH(BO43,$AR$2:$AX$2,0))*12/365*[11]核心假设及结论!$C$70*$H43,0)</f>
        <v>424999.23287671228</v>
      </c>
      <c r="BR43" s="1739">
        <f t="shared" si="20"/>
        <v>2034</v>
      </c>
      <c r="BS43" s="1742">
        <f>_xlfn.IFNA(INDEX($AR43:$AX43,MATCH(BR43,$AR$2:$AX$2,0))*12/365*[11]核心假设及结论!$C$70*$H43,0)</f>
        <v>0</v>
      </c>
      <c r="BU43" s="1739">
        <f t="shared" si="21"/>
        <v>2039</v>
      </c>
      <c r="BV43" s="1742">
        <f>_xlfn.IFNA(INDEX($AR43:$AX43,MATCH(BU43,$AR$2:$AX$2,0))*12/365*[11]核心假设及结论!$C$70*$H43,0)</f>
        <v>0</v>
      </c>
      <c r="BX43" s="1739">
        <f t="shared" si="22"/>
        <v>2044</v>
      </c>
      <c r="BY43" s="1742">
        <f>_xlfn.IFNA(INDEX($AR43:$AX43,MATCH(BX43,$AR$2:$AX$2,0))*12/365*[11]核心假设及结论!$C$70*$H43,0)</f>
        <v>0</v>
      </c>
      <c r="CA43" s="1739">
        <f t="shared" si="23"/>
        <v>2049</v>
      </c>
      <c r="CB43" s="1742">
        <f>_xlfn.IFNA(INDEX($AR43:$AX43,MATCH(CA43,$AR$2:$AX$2,0))*12/365*[11]核心假设及结论!$C$70*$H43,0)</f>
        <v>0</v>
      </c>
    </row>
    <row r="44" spans="1:80" ht="30" customHeight="1">
      <c r="A44" s="1756" t="s">
        <v>1687</v>
      </c>
      <c r="B44" s="1757" t="s">
        <v>1765</v>
      </c>
      <c r="C44" s="1756" t="s">
        <v>1766</v>
      </c>
      <c r="D44" s="1756" t="s">
        <v>1698</v>
      </c>
      <c r="E44" s="1758" t="s">
        <v>1698</v>
      </c>
      <c r="F44" s="1759"/>
      <c r="G44" s="1760" t="s">
        <v>1661</v>
      </c>
      <c r="H44" s="1761">
        <v>554</v>
      </c>
      <c r="I44" s="1761" t="s">
        <v>1736</v>
      </c>
      <c r="J44" s="1773">
        <v>44874</v>
      </c>
      <c r="K44" s="1773">
        <v>46334</v>
      </c>
      <c r="L44" s="1764">
        <f t="shared" si="1"/>
        <v>48</v>
      </c>
      <c r="M44" s="1774">
        <f t="shared" si="16"/>
        <v>165917.46</v>
      </c>
      <c r="N44" s="1775">
        <f t="shared" si="17"/>
        <v>188.43</v>
      </c>
      <c r="O44" s="1760">
        <v>104390.22</v>
      </c>
      <c r="P44" s="1776">
        <v>0.06</v>
      </c>
      <c r="Q44" s="1783">
        <f t="shared" si="2"/>
        <v>95</v>
      </c>
      <c r="R44" s="1784">
        <v>52630</v>
      </c>
      <c r="S44" s="1777">
        <f t="shared" si="3"/>
        <v>16.059999999999999</v>
      </c>
      <c r="T44" s="1784">
        <v>8897.24</v>
      </c>
      <c r="U44" s="1777"/>
      <c r="V44" s="1785">
        <v>1751183.52</v>
      </c>
      <c r="W44" s="1785">
        <f t="shared" si="4"/>
        <v>3160.9810830324909</v>
      </c>
      <c r="X44" s="1786">
        <f t="shared" si="31"/>
        <v>8.9665199681641591E-2</v>
      </c>
      <c r="Y44" s="1789">
        <f>VLOOKUP(E44,[11]核心假设及结论!$C$25:$E$45,3,0)</f>
        <v>0.2</v>
      </c>
      <c r="Z44" s="1790">
        <f t="shared" si="33"/>
        <v>107930.28</v>
      </c>
      <c r="AA44" s="1790">
        <f t="shared" si="33"/>
        <v>111293.06</v>
      </c>
      <c r="AB44" s="1790">
        <f t="shared" si="33"/>
        <v>0</v>
      </c>
      <c r="AC44" s="1790">
        <f t="shared" si="32"/>
        <v>0</v>
      </c>
      <c r="AD44" s="1790">
        <f t="shared" si="32"/>
        <v>0</v>
      </c>
      <c r="AE44" s="1790">
        <f t="shared" si="32"/>
        <v>0</v>
      </c>
      <c r="AF44" s="1790">
        <f t="shared" si="32"/>
        <v>0</v>
      </c>
      <c r="AG44" s="1794">
        <v>194.82</v>
      </c>
      <c r="AH44" s="1794">
        <v>200.89</v>
      </c>
      <c r="AI44" s="1794">
        <v>0</v>
      </c>
      <c r="AJ44" s="1794">
        <v>0</v>
      </c>
      <c r="AK44" s="1794">
        <v>0</v>
      </c>
      <c r="AL44" s="1794">
        <v>0</v>
      </c>
      <c r="AM44" s="1794">
        <v>0</v>
      </c>
      <c r="AN44" s="1797"/>
      <c r="AO44" s="1797"/>
      <c r="AP44" s="1808">
        <f t="shared" si="18"/>
        <v>0.44832599840820792</v>
      </c>
      <c r="AQ44" s="1812">
        <f>IF(AP44&gt;[11]核心假设及结论!$B$62,[11]核心假设及结论!$D$62,IF(AP44&lt;=[11]核心假设及结论!$B$61,[11]核心假设及结论!$D$60,[11]核心假设及结论!$D$61))</f>
        <v>1.0811176582269599</v>
      </c>
      <c r="AR44" s="1809">
        <f t="shared" si="19"/>
        <v>194.82</v>
      </c>
      <c r="AS44" s="1809">
        <f>AH44*(AS$2&lt;=YEAR($K44))+AR44*$AQ44*(AS$2=YEAR($K44)+1)+INDEX([11]核心假设及结论!$E$17:$E$21,MATCH($D44,[11]核心假设及结论!$B$17:$B$21,0))*(AS$2&gt;YEAR($K44)+1)*AR44</f>
        <v>200.89</v>
      </c>
      <c r="AT44" s="1811">
        <f>AI44*(AT$2&lt;=YEAR($K44))+AS44*$AQ44*(AT$2=YEAR($K44)+1)+INDEX([11]核心假设及结论!$E$17:$E$21,MATCH($D44,[11]核心假设及结论!$B$17:$B$21,0))*(AT$2&gt;YEAR($K44)+1)*AS44</f>
        <v>217.18572636121397</v>
      </c>
      <c r="AU44" s="1809">
        <f>AJ44*(AU$2&lt;=YEAR($K44))+AT44*$AQ44*(AU$2=YEAR($K44)+1)+INDEX([11]核心假设及结论!$E$17:$E$21,MATCH($D44,[11]核心假设及结论!$B$17:$B$21,0))*(AU$2&gt;YEAR($K44)+1)*AT44</f>
        <v>223.83538978451608</v>
      </c>
      <c r="AV44" s="1809">
        <f>AK44*(AV$2&lt;=YEAR($K44))+AU44*$AQ44*(AV$2=YEAR($K44)+1)+INDEX([11]核心假设及结论!$E$17:$E$21,MATCH($D44,[11]核心假设及结论!$B$17:$B$21,0))*(AV$2&gt;YEAR($K44)+1)*AU44</f>
        <v>230.6886486483844</v>
      </c>
      <c r="AW44" s="1809">
        <f>AL44*(AW$2&lt;=YEAR($K44))+AV44*$AQ44*(AW$2=YEAR($K44)+1)+INDEX([11]核心假设及结论!$E$17:$E$21,MATCH($D44,[11]核心假设及结论!$B$17:$B$21,0))*(AW$2&gt;YEAR($K44)+1)*AV44</f>
        <v>237.75173651695303</v>
      </c>
      <c r="AX44" s="1809">
        <f>AM44*(AX$2&lt;=YEAR($K44))+AW44*$AQ44*(AX$2=YEAR($K44)+1)+INDEX([11]核心假设及结论!$E$17:$E$21,MATCH($D44,[11]核心假设及结论!$B$17:$B$21,0))*(AX$2&gt;YEAR($K44)+1)*AW44</f>
        <v>245.03107780991601</v>
      </c>
      <c r="AZ44" s="1746">
        <f t="shared" si="7"/>
        <v>46334</v>
      </c>
      <c r="BA44" s="1817">
        <f t="shared" si="8"/>
        <v>45658</v>
      </c>
      <c r="BB44" s="1817">
        <f t="shared" si="9"/>
        <v>45969</v>
      </c>
      <c r="BC44" s="1817">
        <f t="shared" si="10"/>
        <v>46022</v>
      </c>
      <c r="BD44" s="1818">
        <f t="shared" si="11"/>
        <v>312</v>
      </c>
      <c r="BE44" s="1818">
        <f t="shared" si="12"/>
        <v>53</v>
      </c>
      <c r="BG44" s="1777">
        <f t="shared" si="28"/>
        <v>130.10228889863015</v>
      </c>
      <c r="BH44" s="1777">
        <f t="shared" si="30"/>
        <v>135.12474087918235</v>
      </c>
      <c r="BI44" s="1777">
        <f t="shared" si="30"/>
        <v>145.02698020252956</v>
      </c>
      <c r="BJ44" s="1777">
        <f t="shared" si="30"/>
        <v>149.46733004412459</v>
      </c>
      <c r="BK44" s="1777">
        <f t="shared" si="30"/>
        <v>154.04363187677828</v>
      </c>
      <c r="BL44" s="1777">
        <f t="shared" si="30"/>
        <v>158.76004819771083</v>
      </c>
      <c r="BM44" s="1777">
        <f t="shared" si="30"/>
        <v>139.24317283492064</v>
      </c>
      <c r="BO44" s="1739">
        <f t="shared" si="15"/>
        <v>2026</v>
      </c>
      <c r="BP44" s="1742">
        <f>_xlfn.IFNA(INDEX($AR44:$AX44,MATCH(BO44,$AR$2:$AX$2,0))*12/365*[11]核心假设及结论!$C$70*$H44,0)</f>
        <v>109768.49753424656</v>
      </c>
      <c r="BR44" s="1739">
        <f t="shared" si="20"/>
        <v>2030</v>
      </c>
      <c r="BS44" s="1742">
        <f>_xlfn.IFNA(INDEX($AR44:$AX44,MATCH(BR44,$AR$2:$AX$2,0))*12/365*[11]核心假设及结论!$C$70*$H44,0)</f>
        <v>129910.15433134552</v>
      </c>
      <c r="BU44" s="1739">
        <f t="shared" si="21"/>
        <v>2034</v>
      </c>
      <c r="BV44" s="1742">
        <f>_xlfn.IFNA(INDEX($AR44:$AX44,MATCH(BU44,$AR$2:$AX$2,0))*12/365*[11]核心假设及结论!$C$70*$H44,0)</f>
        <v>0</v>
      </c>
      <c r="BX44" s="1739">
        <f t="shared" si="22"/>
        <v>2038</v>
      </c>
      <c r="BY44" s="1742">
        <f>_xlfn.IFNA(INDEX($AR44:$AX44,MATCH(BX44,$AR$2:$AX$2,0))*12/365*[11]核心假设及结论!$C$70*$H44,0)</f>
        <v>0</v>
      </c>
      <c r="CA44" s="1739">
        <f t="shared" si="23"/>
        <v>2042</v>
      </c>
      <c r="CB44" s="1742">
        <f>_xlfn.IFNA(INDEX($AR44:$AX44,MATCH(CA44,$AR$2:$AX$2,0))*12/365*[11]核心假设及结论!$C$70*$H44,0)</f>
        <v>0</v>
      </c>
    </row>
    <row r="45" spans="1:80" ht="30" customHeight="1">
      <c r="A45" s="1756" t="s">
        <v>1666</v>
      </c>
      <c r="B45" s="1757" t="s">
        <v>1767</v>
      </c>
      <c r="C45" s="1756" t="s">
        <v>1768</v>
      </c>
      <c r="D45" s="1756" t="s">
        <v>1698</v>
      </c>
      <c r="E45" s="1758" t="s">
        <v>1698</v>
      </c>
      <c r="F45" s="1762"/>
      <c r="G45" s="1760" t="s">
        <v>1661</v>
      </c>
      <c r="H45" s="1761">
        <v>539</v>
      </c>
      <c r="I45" s="1761" t="s">
        <v>1736</v>
      </c>
      <c r="J45" s="1773">
        <v>44302</v>
      </c>
      <c r="K45" s="1773">
        <v>46127</v>
      </c>
      <c r="L45" s="1764">
        <f t="shared" si="1"/>
        <v>60</v>
      </c>
      <c r="M45" s="1774">
        <f t="shared" si="16"/>
        <v>256502.65438875</v>
      </c>
      <c r="N45" s="1775">
        <f t="shared" si="17"/>
        <v>362.26000000000005</v>
      </c>
      <c r="O45" s="1760">
        <v>195258.14</v>
      </c>
      <c r="P45" s="1776">
        <v>0.08</v>
      </c>
      <c r="Q45" s="1783">
        <f t="shared" si="2"/>
        <v>95</v>
      </c>
      <c r="R45" s="1784">
        <v>51205</v>
      </c>
      <c r="S45" s="1777">
        <f t="shared" si="3"/>
        <v>18.62618625</v>
      </c>
      <c r="T45" s="1784">
        <v>10039.51438875</v>
      </c>
      <c r="U45" s="1777"/>
      <c r="V45" s="1785">
        <v>2260959.2108333302</v>
      </c>
      <c r="W45" s="1785">
        <f t="shared" si="4"/>
        <v>4194.7295191712992</v>
      </c>
      <c r="X45" s="1786">
        <f t="shared" si="31"/>
        <v>0.1090082204132998</v>
      </c>
      <c r="Y45" s="1789">
        <f>VLOOKUP(E45,[11]核心假设及结论!$C$25:$E$45,3,0)</f>
        <v>0.2</v>
      </c>
      <c r="Z45" s="1790">
        <f t="shared" si="33"/>
        <v>195258.13999999998</v>
      </c>
      <c r="AA45" s="1790">
        <f t="shared" si="33"/>
        <v>206900.54</v>
      </c>
      <c r="AB45" s="1790">
        <f t="shared" si="33"/>
        <v>0</v>
      </c>
      <c r="AC45" s="1790">
        <f t="shared" si="32"/>
        <v>0</v>
      </c>
      <c r="AD45" s="1790">
        <f t="shared" si="32"/>
        <v>0</v>
      </c>
      <c r="AE45" s="1790">
        <f t="shared" si="32"/>
        <v>0</v>
      </c>
      <c r="AF45" s="1790">
        <f t="shared" si="32"/>
        <v>0</v>
      </c>
      <c r="AG45" s="1794">
        <v>362.26</v>
      </c>
      <c r="AH45" s="1794">
        <v>383.86</v>
      </c>
      <c r="AI45" s="1794">
        <v>0</v>
      </c>
      <c r="AJ45" s="1794">
        <v>0</v>
      </c>
      <c r="AK45" s="1794">
        <v>0</v>
      </c>
      <c r="AL45" s="1794">
        <v>0</v>
      </c>
      <c r="AM45" s="1794">
        <v>0</v>
      </c>
      <c r="AN45" s="1797"/>
      <c r="AO45" s="1797"/>
      <c r="AP45" s="1808">
        <f t="shared" si="18"/>
        <v>0.54504110206649892</v>
      </c>
      <c r="AQ45" s="1812">
        <f>IF(AP45&gt;[11]核心假设及结论!$B$62,[11]核心假设及结论!$D$62,IF(AP45&lt;=[11]核心假设及结论!$B$61,[11]核心假设及结论!$D$60,[11]核心假设及结论!$D$61))</f>
        <v>1.0811176582269599</v>
      </c>
      <c r="AR45" s="1809">
        <f t="shared" si="19"/>
        <v>362.26</v>
      </c>
      <c r="AS45" s="1809">
        <f>AH45*(AS$2&lt;=YEAR($K45))+AR45*$AQ45*(AS$2=YEAR($K45)+1)+INDEX([11]核心假设及结论!$E$17:$E$21,MATCH($D45,[11]核心假设及结论!$B$17:$B$21,0))*(AS$2&gt;YEAR($K45)+1)*AR45</f>
        <v>383.86</v>
      </c>
      <c r="AT45" s="1811">
        <f>AI45*(AT$2&lt;=YEAR($K45))+AS45*$AQ45*(AT$2=YEAR($K45)+1)+INDEX([11]核心假设及结论!$E$17:$E$21,MATCH($D45,[11]核心假设及结论!$B$17:$B$21,0))*(AT$2&gt;YEAR($K45)+1)*AS45</f>
        <v>414.99782428700087</v>
      </c>
      <c r="AU45" s="1809">
        <f>AJ45*(AU$2&lt;=YEAR($K45))+AT45*$AQ45*(AU$2=YEAR($K45)+1)+INDEX([11]核心假设及结论!$E$17:$E$21,MATCH($D45,[11]核心假设及结论!$B$17:$B$21,0))*(AU$2&gt;YEAR($K45)+1)*AT45</f>
        <v>427.70398089842377</v>
      </c>
      <c r="AV45" s="1809">
        <f>AK45*(AV$2&lt;=YEAR($K45))+AU45*$AQ45*(AV$2=YEAR($K45)+1)+INDEX([11]核心假设及结论!$E$17:$E$21,MATCH($D45,[11]核心假设及结论!$B$17:$B$21,0))*(AV$2&gt;YEAR($K45)+1)*AU45</f>
        <v>440.79916705743864</v>
      </c>
      <c r="AW45" s="1809">
        <f>AL45*(AW$2&lt;=YEAR($K45))+AV45*$AQ45*(AW$2=YEAR($K45)+1)+INDEX([11]核心假设及结论!$E$17:$E$21,MATCH($D45,[11]核心假设及结论!$B$17:$B$21,0))*(AW$2&gt;YEAR($K45)+1)*AV45</f>
        <v>454.29529383940269</v>
      </c>
      <c r="AX45" s="1809">
        <f>AM45*(AX$2&lt;=YEAR($K45))+AW45*$AQ45*(AX$2=YEAR($K45)+1)+INDEX([11]核心假设及结论!$E$17:$E$21,MATCH($D45,[11]核心假设及结论!$B$17:$B$21,0))*(AX$2&gt;YEAR($K45)+1)*AW45</f>
        <v>468.20463700589568</v>
      </c>
      <c r="AZ45" s="1746">
        <f t="shared" si="7"/>
        <v>46127</v>
      </c>
      <c r="BA45" s="1817">
        <f t="shared" si="8"/>
        <v>45658</v>
      </c>
      <c r="BB45" s="1817">
        <f t="shared" si="9"/>
        <v>45762</v>
      </c>
      <c r="BC45" s="1817">
        <f t="shared" si="10"/>
        <v>46022</v>
      </c>
      <c r="BD45" s="1818">
        <f t="shared" si="11"/>
        <v>105</v>
      </c>
      <c r="BE45" s="1818">
        <f t="shared" si="12"/>
        <v>260</v>
      </c>
      <c r="BG45" s="1777">
        <f t="shared" si="28"/>
        <v>244.26162772602743</v>
      </c>
      <c r="BH45" s="1777">
        <f t="shared" si="30"/>
        <v>262.62691001286674</v>
      </c>
      <c r="BI45" s="1777">
        <f t="shared" si="30"/>
        <v>274.27475424206443</v>
      </c>
      <c r="BJ45" s="1777">
        <f t="shared" si="30"/>
        <v>282.67233557383804</v>
      </c>
      <c r="BK45" s="1777">
        <f t="shared" si="30"/>
        <v>291.32702905732475</v>
      </c>
      <c r="BL45" s="1777">
        <f t="shared" si="30"/>
        <v>300.24670679949776</v>
      </c>
      <c r="BM45" s="1777">
        <f t="shared" si="30"/>
        <v>87.116848541420282</v>
      </c>
      <c r="BO45" s="1739">
        <f t="shared" si="15"/>
        <v>2026</v>
      </c>
      <c r="BP45" s="1742">
        <f>_xlfn.IFNA(INDEX($AR45:$AX45,MATCH(BO45,$AR$2:$AX$2,0))*12/365*[11]核心假设及结论!$C$70*$H45,0)</f>
        <v>204066.28602739726</v>
      </c>
      <c r="BR45" s="1739">
        <f t="shared" si="20"/>
        <v>2031</v>
      </c>
      <c r="BS45" s="1742">
        <f>_xlfn.IFNA(INDEX($AR45:$AX45,MATCH(BR45,$AR$2:$AX$2,0))*12/365*[11]核心假设及结论!$C$70*$H45,0)</f>
        <v>248905.2815469151</v>
      </c>
      <c r="BU45" s="1739">
        <f t="shared" si="21"/>
        <v>2036</v>
      </c>
      <c r="BV45" s="1742">
        <f>_xlfn.IFNA(INDEX($AR45:$AX45,MATCH(BU45,$AR$2:$AX$2,0))*12/365*[11]核心假设及结论!$C$70*$H45,0)</f>
        <v>0</v>
      </c>
      <c r="BX45" s="1739">
        <f t="shared" si="22"/>
        <v>2041</v>
      </c>
      <c r="BY45" s="1742">
        <f>_xlfn.IFNA(INDEX($AR45:$AX45,MATCH(BX45,$AR$2:$AX$2,0))*12/365*[11]核心假设及结论!$C$70*$H45,0)</f>
        <v>0</v>
      </c>
      <c r="CA45" s="1739">
        <f t="shared" si="23"/>
        <v>2046</v>
      </c>
      <c r="CB45" s="1742">
        <f>_xlfn.IFNA(INDEX($AR45:$AX45,MATCH(CA45,$AR$2:$AX$2,0))*12/365*[11]核心假设及结论!$C$70*$H45,0)</f>
        <v>0</v>
      </c>
    </row>
    <row r="46" spans="1:80" ht="30" customHeight="1">
      <c r="A46" s="1763" t="s">
        <v>1666</v>
      </c>
      <c r="B46" s="1757" t="s">
        <v>1769</v>
      </c>
      <c r="C46" s="1764" t="s">
        <v>1770</v>
      </c>
      <c r="D46" s="1764" t="s">
        <v>1676</v>
      </c>
      <c r="E46" s="1764" t="s">
        <v>1681</v>
      </c>
      <c r="F46" s="1765"/>
      <c r="G46" s="1760" t="s">
        <v>1661</v>
      </c>
      <c r="H46" s="1761">
        <v>514</v>
      </c>
      <c r="I46" s="1763" t="s">
        <v>1736</v>
      </c>
      <c r="J46" s="1773">
        <v>45505</v>
      </c>
      <c r="K46" s="1773">
        <v>46256</v>
      </c>
      <c r="L46" s="1764">
        <f t="shared" si="1"/>
        <v>25</v>
      </c>
      <c r="M46" s="1774">
        <f t="shared" si="16"/>
        <v>1E-4</v>
      </c>
      <c r="N46" s="1775">
        <f t="shared" si="17"/>
        <v>1.9455252918287938E-7</v>
      </c>
      <c r="O46" s="1777">
        <v>1E-4</v>
      </c>
      <c r="P46" s="1763">
        <v>0.15</v>
      </c>
      <c r="Q46" s="1783">
        <f t="shared" si="2"/>
        <v>0</v>
      </c>
      <c r="R46" s="1763"/>
      <c r="S46" s="1777">
        <f t="shared" si="3"/>
        <v>0</v>
      </c>
      <c r="T46" s="1763"/>
      <c r="U46" s="1763"/>
      <c r="V46" s="1785"/>
      <c r="W46" s="1785">
        <f t="shared" si="4"/>
        <v>0</v>
      </c>
      <c r="X46" s="1786" t="e">
        <f t="shared" si="31"/>
        <v>#DIV/0!</v>
      </c>
      <c r="Y46" s="1789">
        <f>VLOOKUP(E46,[11]核心假设及结论!$C$25:$E$45,3,0)</f>
        <v>0.25</v>
      </c>
      <c r="Z46" s="1790">
        <f t="shared" si="33"/>
        <v>9.9999999999999815E-5</v>
      </c>
      <c r="AA46" s="1790">
        <f t="shared" si="33"/>
        <v>9.9999999999999815E-5</v>
      </c>
      <c r="AB46" s="1790">
        <f t="shared" si="33"/>
        <v>9.9999999999999815E-5</v>
      </c>
      <c r="AC46" s="1790">
        <f t="shared" si="32"/>
        <v>0</v>
      </c>
      <c r="AD46" s="1790">
        <f t="shared" si="32"/>
        <v>0</v>
      </c>
      <c r="AE46" s="1790">
        <f t="shared" si="32"/>
        <v>0</v>
      </c>
      <c r="AF46" s="1790">
        <f t="shared" si="32"/>
        <v>0</v>
      </c>
      <c r="AG46" s="1794">
        <v>1.9455252918287901E-7</v>
      </c>
      <c r="AH46" s="1794">
        <v>1.9455252918287901E-7</v>
      </c>
      <c r="AI46" s="1794">
        <v>1.9455252918287901E-7</v>
      </c>
      <c r="AJ46" s="1794">
        <v>0</v>
      </c>
      <c r="AK46" s="1794">
        <v>0</v>
      </c>
      <c r="AL46" s="1794">
        <v>0</v>
      </c>
      <c r="AM46" s="1794">
        <v>0</v>
      </c>
      <c r="AN46" s="1764"/>
      <c r="AO46" s="1764"/>
      <c r="AP46" s="1808">
        <f t="shared" si="18"/>
        <v>1.25</v>
      </c>
      <c r="AQ46" s="1808">
        <f>IF(AP46&gt;[11]核心假设及结论!$B$65,[11]核心假设及结论!$D$65,IF(AP46&lt;=[11]核心假设及结论!$B$64,[11]核心假设及结论!$D$63,[11]核心假设及结论!$D$64))</f>
        <v>0.754</v>
      </c>
      <c r="AR46" s="1809">
        <f t="shared" si="19"/>
        <v>1.9455252918287901E-7</v>
      </c>
      <c r="AS46" s="1809">
        <f>AH46*(AS$2&lt;=YEAR($K46))+AR46*$AQ46*(AS$2=YEAR($K46)+1)+INDEX([11]核心假设及结论!$E$17:$E$21,MATCH($D46,[11]核心假设及结论!$B$17:$B$21,0))*(AS$2&gt;YEAR($K46)+1)*AR46</f>
        <v>1.9455252918287901E-7</v>
      </c>
      <c r="AT46" s="1811">
        <f>AI46*(AT$2&lt;=YEAR($K46))+AS46*$AQ46*(AT$2=YEAR($K46)+1)+INDEX([11]核心假设及结论!$E$17:$E$21,MATCH($D46,[11]核心假设及结论!$B$17:$B$21,0))*(AT$2&gt;YEAR($K46)+1)*AS46</f>
        <v>1.4669260700389077E-7</v>
      </c>
      <c r="AU46" s="1809">
        <f>AJ46*(AU$2&lt;=YEAR($K46))+AT46*$AQ46*(AU$2=YEAR($K46)+1)+INDEX([11]核心假设及结论!$E$17:$E$21,MATCH($D46,[11]核心假设及结论!$B$17:$B$21,0))*(AU$2&gt;YEAR($K46)+1)*AT46</f>
        <v>1.5176451672628665E-7</v>
      </c>
      <c r="AV46" s="1809">
        <f>AK46*(AV$2&lt;=YEAR($K46))+AU46*$AQ46*(AV$2=YEAR($K46)+1)+INDEX([11]核心假设及结论!$E$17:$E$21,MATCH($D46,[11]核心假设及结论!$B$17:$B$21,0))*(AV$2&gt;YEAR($K46)+1)*AU46</f>
        <v>1.5701178817111381E-7</v>
      </c>
      <c r="AW46" s="1809">
        <f>AL46*(AW$2&lt;=YEAR($K46))+AV46*$AQ46*(AW$2=YEAR($K46)+1)+INDEX([11]核心假设及结论!$E$17:$E$21,MATCH($D46,[11]核心假设及结论!$B$17:$B$21,0))*(AW$2&gt;YEAR($K46)+1)*AV46</f>
        <v>1.6244048448526899E-7</v>
      </c>
      <c r="AX46" s="1809">
        <f>AM46*(AX$2&lt;=YEAR($K46))+AW46*$AQ46*(AX$2=YEAR($K46)+1)+INDEX([11]核心假设及结论!$E$17:$E$21,MATCH($D46,[11]核心假设及结论!$B$17:$B$21,0))*(AX$2&gt;YEAR($K46)+1)*AW46</f>
        <v>1.6805687844948345E-7</v>
      </c>
      <c r="AZ46" s="1746">
        <f t="shared" si="7"/>
        <v>46256</v>
      </c>
      <c r="BA46" s="1817">
        <f t="shared" si="8"/>
        <v>45658</v>
      </c>
      <c r="BB46" s="1817">
        <f t="shared" si="9"/>
        <v>45891</v>
      </c>
      <c r="BC46" s="1817">
        <f t="shared" si="10"/>
        <v>46022</v>
      </c>
      <c r="BD46" s="1818">
        <f t="shared" si="11"/>
        <v>234</v>
      </c>
      <c r="BE46" s="1818">
        <f t="shared" si="12"/>
        <v>131</v>
      </c>
      <c r="BG46" s="1820">
        <f t="shared" si="28"/>
        <v>1.199999999999998E-7</v>
      </c>
      <c r="BH46" s="1820">
        <f t="shared" si="30"/>
        <v>1.0940515068493131E-7</v>
      </c>
      <c r="BI46" s="1820">
        <f t="shared" si="30"/>
        <v>9.1602779076978906E-8</v>
      </c>
      <c r="BJ46" s="1820">
        <f t="shared" si="30"/>
        <v>9.4769953178579621E-8</v>
      </c>
      <c r="BK46" s="1820">
        <f t="shared" si="30"/>
        <v>9.8046632601862973E-8</v>
      </c>
      <c r="BL46" s="1820">
        <f t="shared" si="30"/>
        <v>1.014366035029076E-7</v>
      </c>
      <c r="BM46" s="1820">
        <f t="shared" si="30"/>
        <v>6.6454386122926257E-8</v>
      </c>
      <c r="BN46" s="1739" t="s">
        <v>1771</v>
      </c>
      <c r="BO46" s="1739">
        <f t="shared" si="15"/>
        <v>2026</v>
      </c>
      <c r="BP46" s="1742">
        <f>_xlfn.IFNA(INDEX($AR46:$AX46,MATCH(BO46,$AR$2:$AX$2,0))*12/365*[11]核心假设及结论!$C$70*$H46,0)</f>
        <v>9.8630136986301191E-5</v>
      </c>
      <c r="BR46" s="1739">
        <f t="shared" si="20"/>
        <v>2028</v>
      </c>
      <c r="BS46" s="1742">
        <f>_xlfn.IFNA(INDEX($AR46:$AX46,MATCH(BR46,$AR$2:$AX$2,0))*12/365*[11]核心假设及结论!$C$70*$H46,0)</f>
        <v>7.6938373082279684E-5</v>
      </c>
      <c r="BU46" s="1739">
        <f t="shared" si="21"/>
        <v>2030</v>
      </c>
      <c r="BV46" s="1742">
        <f>_xlfn.IFNA(INDEX($AR46:$AX46,MATCH(BU46,$AR$2:$AX$2,0))*12/365*[11]核心假设及结论!$C$70*$H46,0)</f>
        <v>8.2350649997682668E-5</v>
      </c>
      <c r="BX46" s="1739">
        <f t="shared" si="22"/>
        <v>2032</v>
      </c>
      <c r="BY46" s="1742">
        <f>_xlfn.IFNA(INDEX($AR46:$AX46,MATCH(BX46,$AR$2:$AX$2,0))*12/365*[11]核心假设及结论!$C$70*$H46,0)</f>
        <v>0</v>
      </c>
      <c r="CA46" s="1739">
        <f t="shared" si="23"/>
        <v>2034</v>
      </c>
      <c r="CB46" s="1742">
        <f>_xlfn.IFNA(INDEX($AR46:$AX46,MATCH(CA46,$AR$2:$AX$2,0))*12/365*[11]核心假设及结论!$C$70*$H46,0)</f>
        <v>0</v>
      </c>
    </row>
    <row r="47" spans="1:80" ht="30" customHeight="1">
      <c r="A47" s="1756" t="s">
        <v>1666</v>
      </c>
      <c r="B47" s="1757" t="s">
        <v>1772</v>
      </c>
      <c r="C47" s="1756" t="s">
        <v>1773</v>
      </c>
      <c r="D47" s="1756" t="s">
        <v>1685</v>
      </c>
      <c r="E47" s="1758" t="s">
        <v>1692</v>
      </c>
      <c r="F47" s="1759"/>
      <c r="G47" s="1760" t="s">
        <v>1661</v>
      </c>
      <c r="H47" s="1761">
        <v>511</v>
      </c>
      <c r="I47" s="1761" t="s">
        <v>1736</v>
      </c>
      <c r="J47" s="1773">
        <v>45241</v>
      </c>
      <c r="K47" s="1773">
        <v>47067</v>
      </c>
      <c r="L47" s="1764">
        <f t="shared" si="1"/>
        <v>60</v>
      </c>
      <c r="M47" s="1774">
        <f t="shared" si="16"/>
        <v>210618.87</v>
      </c>
      <c r="N47" s="1775">
        <f t="shared" si="17"/>
        <v>304.17</v>
      </c>
      <c r="O47" s="1760">
        <v>155430.87</v>
      </c>
      <c r="P47" s="1776">
        <v>0.16</v>
      </c>
      <c r="Q47" s="1783">
        <f t="shared" si="2"/>
        <v>90</v>
      </c>
      <c r="R47" s="1784">
        <v>45990</v>
      </c>
      <c r="S47" s="1777">
        <f t="shared" si="3"/>
        <v>18</v>
      </c>
      <c r="T47" s="1784">
        <v>9198</v>
      </c>
      <c r="U47" s="1777"/>
      <c r="V47" s="1785">
        <v>519149.16875000001</v>
      </c>
      <c r="W47" s="1785">
        <f t="shared" si="4"/>
        <v>1015.9474926614481</v>
      </c>
      <c r="X47" s="1786">
        <f t="shared" si="31"/>
        <v>0.38798264954363365</v>
      </c>
      <c r="Y47" s="1789">
        <f>VLOOKUP(E47,[11]核心假设及结论!$C$25:$E$45,3,0)</f>
        <v>0.2</v>
      </c>
      <c r="Z47" s="1790">
        <f t="shared" si="33"/>
        <v>155430.87</v>
      </c>
      <c r="AA47" s="1790">
        <f t="shared" si="33"/>
        <v>163203.18</v>
      </c>
      <c r="AB47" s="1790">
        <f t="shared" si="33"/>
        <v>170970.38</v>
      </c>
      <c r="AC47" s="1790">
        <f t="shared" si="32"/>
        <v>178742.69</v>
      </c>
      <c r="AD47" s="1790">
        <f t="shared" si="32"/>
        <v>0</v>
      </c>
      <c r="AE47" s="1790">
        <f t="shared" si="32"/>
        <v>0</v>
      </c>
      <c r="AF47" s="1790">
        <f t="shared" si="32"/>
        <v>0</v>
      </c>
      <c r="AG47" s="1794">
        <v>304.17</v>
      </c>
      <c r="AH47" s="1794">
        <v>319.38</v>
      </c>
      <c r="AI47" s="1794">
        <v>334.58</v>
      </c>
      <c r="AJ47" s="1794">
        <v>349.79</v>
      </c>
      <c r="AK47" s="1794">
        <v>0</v>
      </c>
      <c r="AL47" s="1794">
        <v>0</v>
      </c>
      <c r="AM47" s="1794">
        <v>0</v>
      </c>
      <c r="AN47" s="1797"/>
      <c r="AO47" s="1797"/>
      <c r="AP47" s="1808">
        <f t="shared" si="18"/>
        <v>1.9399132477181682</v>
      </c>
      <c r="AQ47" s="1810">
        <f>IF(AP47&gt;[11]核心假设及结论!$B$59,[11]核心假设及结论!$D$59,IF(AP47&lt;=[11]核心假设及结论!$B$58,[11]核心假设及结论!$D$57,[11]核心假设及结论!$D$58))</f>
        <v>1</v>
      </c>
      <c r="AR47" s="1809">
        <f t="shared" si="19"/>
        <v>304.17</v>
      </c>
      <c r="AS47" s="1809">
        <f>AH47*(AS$2&lt;=YEAR($K47))+AR47*$AQ47*(AS$2=YEAR($K47)+1)+INDEX([11]核心假设及结论!$E$17:$E$21,MATCH($D47,[11]核心假设及结论!$B$17:$B$21,0))*(AS$2&gt;YEAR($K47)+1)*AR47</f>
        <v>319.38</v>
      </c>
      <c r="AT47" s="1809">
        <f>AI47*(AT$2&lt;=YEAR($K47))+AS47*$AQ47*(AT$2=YEAR($K47)+1)+INDEX([11]核心假设及结论!$E$17:$E$21,MATCH($D47,[11]核心假设及结论!$B$17:$B$21,0))*(AT$2&gt;YEAR($K47)+1)*AS47</f>
        <v>334.58</v>
      </c>
      <c r="AU47" s="1809">
        <f>AJ47*(AU$2&lt;=YEAR($K47))+AT47*$AQ47*(AU$2=YEAR($K47)+1)+INDEX([11]核心假设及结论!$E$17:$E$21,MATCH($D47,[11]核心假设及结论!$B$17:$B$21,0))*(AU$2&gt;YEAR($K47)+1)*AT47</f>
        <v>349.79</v>
      </c>
      <c r="AV47" s="1811">
        <f>AK47*(AV$2&lt;=YEAR($K47))+AU47*$AQ47*(AV$2=YEAR($K47)+1)+INDEX([11]核心假设及结论!$E$17:$E$21,MATCH($D47,[11]核心假设及结论!$B$17:$B$21,0))*(AV$2&gt;YEAR($K47)+1)*AU47</f>
        <v>349.79</v>
      </c>
      <c r="AW47" s="1809">
        <f>AL47*(AW$2&lt;=YEAR($K47))+AV47*$AQ47*(AW$2=YEAR($K47)+1)+INDEX([11]核心假设及结论!$E$17:$E$21,MATCH($D47,[11]核心假设及结论!$B$17:$B$21,0))*(AW$2&gt;YEAR($K47)+1)*AV47</f>
        <v>359.26038620941904</v>
      </c>
      <c r="AX47" s="1809">
        <f>AM47*(AX$2&lt;=YEAR($K47))+AW47*$AQ47*(AX$2=YEAR($K47)+1)+INDEX([11]核心假设及结论!$E$17:$E$21,MATCH($D47,[11]核心假设及结论!$B$17:$B$21,0))*(AX$2&gt;YEAR($K47)+1)*AW47</f>
        <v>368.98717830509992</v>
      </c>
      <c r="AZ47" s="1746">
        <f t="shared" si="7"/>
        <v>47067</v>
      </c>
      <c r="BA47" s="1817">
        <f t="shared" si="8"/>
        <v>45658</v>
      </c>
      <c r="BB47" s="1817">
        <f t="shared" si="9"/>
        <v>45971</v>
      </c>
      <c r="BC47" s="1817">
        <f t="shared" si="10"/>
        <v>46022</v>
      </c>
      <c r="BD47" s="1818">
        <f t="shared" si="11"/>
        <v>314</v>
      </c>
      <c r="BE47" s="1818">
        <f t="shared" si="12"/>
        <v>51</v>
      </c>
      <c r="BG47" s="1777">
        <f t="shared" si="28"/>
        <v>187.82023679999998</v>
      </c>
      <c r="BH47" s="1777">
        <f t="shared" si="30"/>
        <v>197.146152</v>
      </c>
      <c r="BI47" s="1777">
        <f t="shared" si="30"/>
        <v>206.46764880000003</v>
      </c>
      <c r="BJ47" s="1777">
        <f t="shared" si="30"/>
        <v>214.49122800000004</v>
      </c>
      <c r="BK47" s="1777">
        <f t="shared" si="30"/>
        <v>215.30265069042304</v>
      </c>
      <c r="BL47" s="1777">
        <f t="shared" si="30"/>
        <v>221.13186037037369</v>
      </c>
      <c r="BM47" s="1777">
        <f t="shared" si="30"/>
        <v>194.64811629950631</v>
      </c>
      <c r="BO47" s="1739">
        <f t="shared" si="15"/>
        <v>2028</v>
      </c>
      <c r="BP47" s="1742">
        <f>_xlfn.IFNA(INDEX($AR47:$AX47,MATCH(BO47,$AR$2:$AX$2,0))*12/365*[11]核心假设及结论!$C$70*$H47,0)</f>
        <v>176294.16000000003</v>
      </c>
      <c r="BR47" s="1739">
        <f t="shared" si="20"/>
        <v>2033</v>
      </c>
      <c r="BS47" s="1742">
        <f>_xlfn.IFNA(INDEX($AR47:$AX47,MATCH(BR47,$AR$2:$AX$2,0))*12/365*[11]核心假设及结论!$C$70*$H47,0)</f>
        <v>0</v>
      </c>
      <c r="BU47" s="1739">
        <f t="shared" si="21"/>
        <v>2038</v>
      </c>
      <c r="BV47" s="1742">
        <f>_xlfn.IFNA(INDEX($AR47:$AX47,MATCH(BU47,$AR$2:$AX$2,0))*12/365*[11]核心假设及结论!$C$70*$H47,0)</f>
        <v>0</v>
      </c>
      <c r="BX47" s="1739">
        <f t="shared" si="22"/>
        <v>2043</v>
      </c>
      <c r="BY47" s="1742">
        <f>_xlfn.IFNA(INDEX($AR47:$AX47,MATCH(BX47,$AR$2:$AX$2,0))*12/365*[11]核心假设及结论!$C$70*$H47,0)</f>
        <v>0</v>
      </c>
      <c r="CA47" s="1739">
        <f t="shared" si="23"/>
        <v>2048</v>
      </c>
      <c r="CB47" s="1742">
        <f>_xlfn.IFNA(INDEX($AR47:$AX47,MATCH(CA47,$AR$2:$AX$2,0))*12/365*[11]核心假设及结论!$C$70*$H47,0)</f>
        <v>0</v>
      </c>
    </row>
    <row r="48" spans="1:80" ht="30" customHeight="1">
      <c r="A48" s="1756" t="s">
        <v>1662</v>
      </c>
      <c r="B48" s="1757" t="s">
        <v>1774</v>
      </c>
      <c r="C48" s="1756" t="s">
        <v>1775</v>
      </c>
      <c r="D48" s="1756" t="s">
        <v>1685</v>
      </c>
      <c r="E48" s="1758" t="s">
        <v>1718</v>
      </c>
      <c r="F48" s="1759"/>
      <c r="G48" s="1760" t="s">
        <v>1661</v>
      </c>
      <c r="H48" s="1761">
        <v>505</v>
      </c>
      <c r="I48" s="1761" t="s">
        <v>1736</v>
      </c>
      <c r="J48" s="1773">
        <v>45245</v>
      </c>
      <c r="K48" s="1773">
        <v>45808</v>
      </c>
      <c r="L48" s="1764">
        <f t="shared" si="1"/>
        <v>19</v>
      </c>
      <c r="M48" s="1774">
        <f t="shared" si="16"/>
        <v>423735.4</v>
      </c>
      <c r="N48" s="1775">
        <f t="shared" si="17"/>
        <v>724.53000000000009</v>
      </c>
      <c r="O48" s="1760">
        <v>365887.65</v>
      </c>
      <c r="P48" s="1776">
        <v>0.16</v>
      </c>
      <c r="Q48" s="1783">
        <f t="shared" si="2"/>
        <v>95</v>
      </c>
      <c r="R48" s="1784">
        <v>47975</v>
      </c>
      <c r="S48" s="1777">
        <f t="shared" si="3"/>
        <v>19.55</v>
      </c>
      <c r="T48" s="1784">
        <v>9872.75</v>
      </c>
      <c r="U48" s="1777"/>
      <c r="V48" s="1785">
        <v>1290077.7777777801</v>
      </c>
      <c r="W48" s="1785">
        <f t="shared" si="4"/>
        <v>2554.6094609460993</v>
      </c>
      <c r="X48" s="1786">
        <f>(N48+Q48+S48)*H48/V48</f>
        <v>0.32845725063949577</v>
      </c>
      <c r="Y48" s="1789">
        <f>VLOOKUP(E48,[11]核心假设及结论!$C$25:$E$45,3,0)</f>
        <v>0.2</v>
      </c>
      <c r="Z48" s="1790">
        <f t="shared" si="33"/>
        <v>365887.64999999997</v>
      </c>
      <c r="AA48" s="1790">
        <f t="shared" si="33"/>
        <v>0</v>
      </c>
      <c r="AB48" s="1790">
        <f t="shared" si="33"/>
        <v>0</v>
      </c>
      <c r="AC48" s="1790">
        <f t="shared" si="32"/>
        <v>0</v>
      </c>
      <c r="AD48" s="1790">
        <f t="shared" si="32"/>
        <v>0</v>
      </c>
      <c r="AE48" s="1790">
        <f t="shared" si="32"/>
        <v>0</v>
      </c>
      <c r="AF48" s="1790">
        <f t="shared" si="32"/>
        <v>0</v>
      </c>
      <c r="AG48" s="1794">
        <v>724.53</v>
      </c>
      <c r="AH48" s="1794">
        <v>0</v>
      </c>
      <c r="AI48" s="1794">
        <v>0</v>
      </c>
      <c r="AJ48" s="1794">
        <v>0</v>
      </c>
      <c r="AK48" s="1794">
        <v>0</v>
      </c>
      <c r="AL48" s="1794">
        <v>0</v>
      </c>
      <c r="AM48" s="1794">
        <v>0</v>
      </c>
      <c r="AN48" s="1797"/>
      <c r="AO48" s="1797"/>
      <c r="AP48" s="1808">
        <f t="shared" si="18"/>
        <v>1.6422862531974787</v>
      </c>
      <c r="AQ48" s="1810">
        <f>IF(AP48&gt;[11]核心假设及结论!$B$59,[11]核心假设及结论!$D$59,IF(AP48&lt;=[11]核心假设及结论!$B$58,[11]核心假设及结论!$D$57,[11]核心假设及结论!$D$58))</f>
        <v>1</v>
      </c>
      <c r="AR48" s="1809">
        <f t="shared" si="19"/>
        <v>724.53</v>
      </c>
      <c r="AS48" s="1811">
        <f>AH48*(AS$2&lt;=YEAR($K48))+AR48*$AQ48*(AS$2=YEAR($K48)+1)+INDEX([11]核心假设及结论!$E$17:$E$21,MATCH($D48,[11]核心假设及结论!$B$17:$B$21,0))*(AS$2&gt;YEAR($K48)+1)*AR48</f>
        <v>724.53</v>
      </c>
      <c r="AT48" s="1809">
        <f>AI48*(AT$2&lt;=YEAR($K48))+AS48*$AQ48*(AT$2=YEAR($K48)+1)+INDEX([11]核心假设及结论!$E$17:$E$21,MATCH($D48,[11]核心假设及结论!$B$17:$B$21,0))*(AT$2&gt;YEAR($K48)+1)*AS48</f>
        <v>744.14628096946831</v>
      </c>
      <c r="AU48" s="1809">
        <f>AJ48*(AU$2&lt;=YEAR($K48))+AT48*$AQ48*(AU$2=YEAR($K48)+1)+INDEX([11]核心假设及结论!$E$17:$E$21,MATCH($D48,[11]核心假设及结论!$B$17:$B$21,0))*(AU$2&gt;YEAR($K48)+1)*AT48</f>
        <v>764.29366276163989</v>
      </c>
      <c r="AV48" s="1809">
        <f>AK48*(AV$2&lt;=YEAR($K48))+AU48*$AQ48*(AV$2=YEAR($K48)+1)+INDEX([11]核心假设及结论!$E$17:$E$21,MATCH($D48,[11]核心假设及结论!$B$17:$B$21,0))*(AV$2&gt;YEAR($K48)+1)*AU48</f>
        <v>784.9865246609628</v>
      </c>
      <c r="AW48" s="1809">
        <f>AL48*(AW$2&lt;=YEAR($K48))+AV48*$AQ48*(AW$2=YEAR($K48)+1)+INDEX([11]核心假设及结论!$E$17:$E$21,MATCH($D48,[11]核心假设及结论!$B$17:$B$21,0))*(AW$2&gt;YEAR($K48)+1)*AV48</f>
        <v>806.23963526369278</v>
      </c>
      <c r="AX48" s="1809">
        <f>AM48*(AX$2&lt;=YEAR($K48))+AW48*$AQ48*(AX$2=YEAR($K48)+1)+INDEX([11]核心假设及结论!$E$17:$E$21,MATCH($D48,[11]核心假设及结论!$B$17:$B$21,0))*(AX$2&gt;YEAR($K48)+1)*AW48</f>
        <v>828.06816301831202</v>
      </c>
      <c r="AZ48" s="1746">
        <f t="shared" si="7"/>
        <v>45808</v>
      </c>
      <c r="BA48" s="1817">
        <f t="shared" si="8"/>
        <v>45658</v>
      </c>
      <c r="BB48" s="1817">
        <f t="shared" si="9"/>
        <v>45808</v>
      </c>
      <c r="BC48" s="1817">
        <f t="shared" si="10"/>
        <v>46022</v>
      </c>
      <c r="BD48" s="1818">
        <f t="shared" si="11"/>
        <v>151</v>
      </c>
      <c r="BE48" s="1818">
        <f t="shared" si="12"/>
        <v>214</v>
      </c>
      <c r="BG48" s="1777">
        <f t="shared" si="28"/>
        <v>439.06518</v>
      </c>
      <c r="BH48" s="1777">
        <f t="shared" si="30"/>
        <v>446.03481775683434</v>
      </c>
      <c r="BI48" s="1777">
        <f t="shared" si="30"/>
        <v>458.11098341910315</v>
      </c>
      <c r="BJ48" s="1777">
        <f t="shared" si="30"/>
        <v>470.51410511999705</v>
      </c>
      <c r="BK48" s="1777">
        <f t="shared" si="30"/>
        <v>483.25303502784334</v>
      </c>
      <c r="BL48" s="1777">
        <f t="shared" si="30"/>
        <v>496.33686497892131</v>
      </c>
      <c r="BM48" s="1777">
        <f t="shared" si="30"/>
        <v>207.59782280864016</v>
      </c>
      <c r="BO48" s="1739">
        <f t="shared" si="15"/>
        <v>2025</v>
      </c>
      <c r="BP48" s="1742">
        <f>_xlfn.IFNA(INDEX($AR48:$AX48,MATCH(BO48,$AR$2:$AX$2,0))*12/365*[11]核心假设及结论!$C$70*$H48,0)</f>
        <v>360875.49041095894</v>
      </c>
      <c r="BR48" s="1739">
        <f t="shared" si="20"/>
        <v>2027</v>
      </c>
      <c r="BS48" s="1742">
        <f>_xlfn.IFNA(INDEX($AR48:$AX48,MATCH(BR48,$AR$2:$AX$2,0))*12/365*[11]核心假设及结论!$C$70*$H48,0)</f>
        <v>370646.01063082006</v>
      </c>
      <c r="BU48" s="1739">
        <f t="shared" si="21"/>
        <v>2029</v>
      </c>
      <c r="BV48" s="1742">
        <f>_xlfn.IFNA(INDEX($AR48:$AX48,MATCH(BU48,$AR$2:$AX$2,0))*12/365*[11]核心假设及结论!$C$70*$H48,0)</f>
        <v>390987.80872154259</v>
      </c>
      <c r="BX48" s="1739">
        <f t="shared" si="22"/>
        <v>2031</v>
      </c>
      <c r="BY48" s="1742">
        <f>_xlfn.IFNA(INDEX($AR48:$AX48,MATCH(BX48,$AR$2:$AX$2,0))*12/365*[11]核心假设及结论!$C$70*$H48,0)</f>
        <v>412446.00558007974</v>
      </c>
      <c r="CA48" s="1739">
        <f t="shared" si="23"/>
        <v>2033</v>
      </c>
      <c r="CB48" s="1742">
        <f>_xlfn.IFNA(INDEX($AR48:$AX48,MATCH(CA48,$AR$2:$AX$2,0))*12/365*[11]核心假设及结论!$C$70*$H48,0)</f>
        <v>0</v>
      </c>
    </row>
    <row r="49" spans="1:80" ht="30" customHeight="1">
      <c r="A49" s="1756" t="s">
        <v>1687</v>
      </c>
      <c r="B49" s="1757" t="s">
        <v>1776</v>
      </c>
      <c r="C49" s="1756" t="s">
        <v>1777</v>
      </c>
      <c r="D49" s="1756" t="s">
        <v>1685</v>
      </c>
      <c r="E49" s="1758" t="s">
        <v>1692</v>
      </c>
      <c r="F49" s="1759"/>
      <c r="G49" s="1760" t="s">
        <v>1661</v>
      </c>
      <c r="H49" s="1761">
        <v>505</v>
      </c>
      <c r="I49" s="1761" t="s">
        <v>1736</v>
      </c>
      <c r="J49" s="1773">
        <v>44270</v>
      </c>
      <c r="K49" s="1773">
        <v>45730</v>
      </c>
      <c r="L49" s="1764">
        <f t="shared" si="1"/>
        <v>48</v>
      </c>
      <c r="M49" s="1774">
        <f t="shared" si="16"/>
        <v>339703.39999999997</v>
      </c>
      <c r="N49" s="1775">
        <f t="shared" si="17"/>
        <v>559.05999999999995</v>
      </c>
      <c r="O49" s="1760">
        <v>282325.3</v>
      </c>
      <c r="P49" s="1776">
        <v>0.14000000000000001</v>
      </c>
      <c r="Q49" s="1783">
        <f t="shared" si="2"/>
        <v>95</v>
      </c>
      <c r="R49" s="1784">
        <v>47975</v>
      </c>
      <c r="S49" s="1777">
        <f t="shared" si="3"/>
        <v>18.62</v>
      </c>
      <c r="T49" s="1784">
        <v>9403.1</v>
      </c>
      <c r="U49" s="1777"/>
      <c r="V49" s="1785">
        <v>990730.48833333305</v>
      </c>
      <c r="W49" s="1785">
        <f t="shared" si="4"/>
        <v>1961.842551155115</v>
      </c>
      <c r="X49" s="1786">
        <f>(N49+Q49+S49)*H49/V49</f>
        <v>0.34288174634806046</v>
      </c>
      <c r="Y49" s="1789">
        <f>VLOOKUP(E49,[11]核心假设及结论!$C$25:$E$45,3,0)</f>
        <v>0.2</v>
      </c>
      <c r="Z49" s="1790">
        <f t="shared" si="33"/>
        <v>282325.3</v>
      </c>
      <c r="AA49" s="1790">
        <f t="shared" si="33"/>
        <v>0</v>
      </c>
      <c r="AB49" s="1790">
        <f t="shared" si="33"/>
        <v>0</v>
      </c>
      <c r="AC49" s="1790">
        <f t="shared" si="32"/>
        <v>0</v>
      </c>
      <c r="AD49" s="1790">
        <f t="shared" si="32"/>
        <v>0</v>
      </c>
      <c r="AE49" s="1790">
        <f t="shared" si="32"/>
        <v>0</v>
      </c>
      <c r="AF49" s="1790">
        <f t="shared" si="32"/>
        <v>0</v>
      </c>
      <c r="AG49" s="1794">
        <v>559.05999999999995</v>
      </c>
      <c r="AH49" s="1794">
        <v>0</v>
      </c>
      <c r="AI49" s="1794">
        <v>0</v>
      </c>
      <c r="AJ49" s="1794">
        <v>0</v>
      </c>
      <c r="AK49" s="1794">
        <v>0</v>
      </c>
      <c r="AL49" s="1794">
        <v>0</v>
      </c>
      <c r="AM49" s="1794">
        <v>0</v>
      </c>
      <c r="AN49" s="1797"/>
      <c r="AO49" s="1797"/>
      <c r="AP49" s="1808">
        <f t="shared" si="18"/>
        <v>1.7144087317403023</v>
      </c>
      <c r="AQ49" s="1810">
        <f>IF(AP49&gt;[11]核心假设及结论!$B$59,[11]核心假设及结论!$D$59,IF(AP49&lt;=[11]核心假设及结论!$B$58,[11]核心假设及结论!$D$57,[11]核心假设及结论!$D$58))</f>
        <v>1</v>
      </c>
      <c r="AR49" s="1809">
        <f t="shared" si="19"/>
        <v>559.05999999999995</v>
      </c>
      <c r="AS49" s="1811">
        <f>AH49*(AS$2&lt;=YEAR($K49))+AR49*$AQ49*(AS$2=YEAR($K49)+1)+INDEX([11]核心假设及结论!$E$17:$E$21,MATCH($D49,[11]核心假设及结论!$B$17:$B$21,0))*(AS$2&gt;YEAR($K49)+1)*AR49</f>
        <v>559.05999999999995</v>
      </c>
      <c r="AT49" s="1809">
        <f>AI49*(AT$2&lt;=YEAR($K49))+AS49*$AQ49*(AT$2=YEAR($K49)+1)+INDEX([11]核心假设及结论!$E$17:$E$21,MATCH($D49,[11]核心假设及结论!$B$17:$B$21,0))*(AT$2&gt;YEAR($K49)+1)*AS49</f>
        <v>574.19626494250201</v>
      </c>
      <c r="AU49" s="1809">
        <f>AJ49*(AU$2&lt;=YEAR($K49))+AT49*$AQ49*(AU$2=YEAR($K49)+1)+INDEX([11]核心假设及结论!$E$17:$E$21,MATCH($D49,[11]核心假设及结论!$B$17:$B$21,0))*(AU$2&gt;YEAR($K49)+1)*AT49</f>
        <v>589.74233655407284</v>
      </c>
      <c r="AV49" s="1809">
        <f>AK49*(AV$2&lt;=YEAR($K49))+AU49*$AQ49*(AV$2=YEAR($K49)+1)+INDEX([11]核心假设及结论!$E$17:$E$21,MATCH($D49,[11]核心假设及结论!$B$17:$B$21,0))*(AV$2&gt;YEAR($K49)+1)*AU49</f>
        <v>605.70931014168889</v>
      </c>
      <c r="AW49" s="1809">
        <f>AL49*(AW$2&lt;=YEAR($K49))+AV49*$AQ49*(AW$2=YEAR($K49)+1)+INDEX([11]核心假设及结论!$E$17:$E$21,MATCH($D49,[11]核心假设及结论!$B$17:$B$21,0))*(AW$2&gt;YEAR($K49)+1)*AV49</f>
        <v>622.10858141211554</v>
      </c>
      <c r="AX49" s="1809">
        <f>AM49*(AX$2&lt;=YEAR($K49))+AW49*$AQ49*(AX$2=YEAR($K49)+1)+INDEX([11]核心假设及结论!$E$17:$E$21,MATCH($D49,[11]核心假设及结论!$B$17:$B$21,0))*(AX$2&gt;YEAR($K49)+1)*AW49</f>
        <v>638.95185460507844</v>
      </c>
      <c r="AZ49" s="1746">
        <f t="shared" si="7"/>
        <v>45730</v>
      </c>
      <c r="BA49" s="1817">
        <f t="shared" si="8"/>
        <v>45658</v>
      </c>
      <c r="BB49" s="1817">
        <f t="shared" si="9"/>
        <v>45730</v>
      </c>
      <c r="BC49" s="1817">
        <f t="shared" si="10"/>
        <v>46022</v>
      </c>
      <c r="BD49" s="1818">
        <f t="shared" si="11"/>
        <v>73</v>
      </c>
      <c r="BE49" s="1818">
        <f t="shared" si="12"/>
        <v>292</v>
      </c>
      <c r="BG49" s="1777">
        <f t="shared" si="28"/>
        <v>338.79035999999996</v>
      </c>
      <c r="BH49" s="1777">
        <f t="shared" si="30"/>
        <v>346.12842124412498</v>
      </c>
      <c r="BI49" s="1777">
        <f t="shared" si="30"/>
        <v>355.49967207244578</v>
      </c>
      <c r="BJ49" s="1777">
        <f t="shared" si="30"/>
        <v>365.12464474704444</v>
      </c>
      <c r="BK49" s="1777">
        <f t="shared" si="30"/>
        <v>375.01020865776633</v>
      </c>
      <c r="BL49" s="1777">
        <f t="shared" si="30"/>
        <v>385.16341917969038</v>
      </c>
      <c r="BM49" s="1777">
        <f t="shared" si="30"/>
        <v>77.440964778135495</v>
      </c>
      <c r="BO49" s="1739">
        <f t="shared" si="15"/>
        <v>2025</v>
      </c>
      <c r="BP49" s="1742">
        <f>_xlfn.IFNA(INDEX($AR49:$AX49,MATCH(BO49,$AR$2:$AX$2,0))*12/365*[11]核心假设及结论!$C$70*$H49,0)</f>
        <v>278457.83013698627</v>
      </c>
      <c r="BR49" s="1739">
        <f t="shared" si="20"/>
        <v>2029</v>
      </c>
      <c r="BS49" s="1742">
        <f>_xlfn.IFNA(INDEX($AR49:$AX49,MATCH(BR49,$AR$2:$AX$2,0))*12/365*[11]核心假设及结论!$C$70*$H49,0)</f>
        <v>301693.02077742206</v>
      </c>
      <c r="BU49" s="1739">
        <f t="shared" si="21"/>
        <v>2033</v>
      </c>
      <c r="BV49" s="1742">
        <f>_xlfn.IFNA(INDEX($AR49:$AX49,MATCH(BU49,$AR$2:$AX$2,0))*12/365*[11]核心假设及结论!$C$70*$H49,0)</f>
        <v>0</v>
      </c>
      <c r="BX49" s="1739">
        <f t="shared" si="22"/>
        <v>2037</v>
      </c>
      <c r="BY49" s="1742">
        <f>_xlfn.IFNA(INDEX($AR49:$AX49,MATCH(BX49,$AR$2:$AX$2,0))*12/365*[11]核心假设及结论!$C$70*$H49,0)</f>
        <v>0</v>
      </c>
      <c r="CA49" s="1739">
        <f t="shared" si="23"/>
        <v>2041</v>
      </c>
      <c r="CB49" s="1742">
        <f>_xlfn.IFNA(INDEX($AR49:$AX49,MATCH(CA49,$AR$2:$AX$2,0))*12/365*[11]核心假设及结论!$C$70*$H49,0)</f>
        <v>0</v>
      </c>
    </row>
    <row r="50" spans="1:80" ht="30" customHeight="1">
      <c r="A50" s="1756" t="s">
        <v>1687</v>
      </c>
      <c r="B50" s="1757" t="s">
        <v>1778</v>
      </c>
      <c r="C50" s="1756" t="s">
        <v>1779</v>
      </c>
      <c r="D50" s="1756" t="s">
        <v>1685</v>
      </c>
      <c r="E50" s="1758" t="s">
        <v>1686</v>
      </c>
      <c r="F50" s="1759"/>
      <c r="G50" s="1760" t="s">
        <v>1661</v>
      </c>
      <c r="H50" s="1761">
        <v>504</v>
      </c>
      <c r="I50" s="1761" t="s">
        <v>1736</v>
      </c>
      <c r="J50" s="1773">
        <v>45352</v>
      </c>
      <c r="K50" s="1773">
        <v>45716</v>
      </c>
      <c r="L50" s="1764">
        <f t="shared" si="1"/>
        <v>12</v>
      </c>
      <c r="M50" s="1774">
        <f t="shared" si="16"/>
        <v>35534.606666666703</v>
      </c>
      <c r="N50" s="1775">
        <f t="shared" si="17"/>
        <v>49.405171957672025</v>
      </c>
      <c r="O50" s="1760">
        <v>24900.206666666701</v>
      </c>
      <c r="P50" s="1776">
        <v>0.05</v>
      </c>
      <c r="Q50" s="1783">
        <f t="shared" si="2"/>
        <v>21.099999999999998</v>
      </c>
      <c r="R50" s="1784">
        <v>10634.4</v>
      </c>
      <c r="S50" s="1777">
        <f t="shared" si="3"/>
        <v>0</v>
      </c>
      <c r="T50" s="1777">
        <v>0</v>
      </c>
      <c r="U50" s="1777"/>
      <c r="V50" s="1785">
        <v>396355.36583333299</v>
      </c>
      <c r="W50" s="1785">
        <f t="shared" si="4"/>
        <v>786.41937665343846</v>
      </c>
      <c r="X50" s="1786">
        <f t="shared" ref="X50:X63" si="34">(N50+Q50)*H50/V50</f>
        <v>8.9653401290419169E-2</v>
      </c>
      <c r="Y50" s="1789">
        <f>VLOOKUP(E50,[11]核心假设及结论!$C$25:$E$45,3,0)</f>
        <v>0.1</v>
      </c>
      <c r="Z50" s="1790">
        <f t="shared" si="33"/>
        <v>24900.206666666691</v>
      </c>
      <c r="AA50" s="1790">
        <f t="shared" si="33"/>
        <v>0</v>
      </c>
      <c r="AB50" s="1790">
        <f t="shared" si="33"/>
        <v>0</v>
      </c>
      <c r="AC50" s="1790">
        <f t="shared" si="32"/>
        <v>0</v>
      </c>
      <c r="AD50" s="1790">
        <f t="shared" si="32"/>
        <v>0</v>
      </c>
      <c r="AE50" s="1790">
        <f t="shared" si="32"/>
        <v>0</v>
      </c>
      <c r="AF50" s="1790">
        <f t="shared" si="32"/>
        <v>0</v>
      </c>
      <c r="AG50" s="1794">
        <v>49.405171957672003</v>
      </c>
      <c r="AH50" s="1794">
        <v>0</v>
      </c>
      <c r="AI50" s="1794">
        <v>0</v>
      </c>
      <c r="AJ50" s="1794">
        <v>0</v>
      </c>
      <c r="AK50" s="1794">
        <v>0</v>
      </c>
      <c r="AL50" s="1794">
        <v>0</v>
      </c>
      <c r="AM50" s="1794">
        <v>0</v>
      </c>
      <c r="AN50" s="1795"/>
      <c r="AO50" s="1795"/>
      <c r="AP50" s="1808">
        <f t="shared" si="18"/>
        <v>0.89653401290419166</v>
      </c>
      <c r="AQ50" s="1810">
        <f>IF(AP50&gt;[11]核心假设及结论!$B$59,[11]核心假设及结论!$D$59,IF(AP50&lt;=[11]核心假设及结论!$B$58,[11]核心假设及结论!$D$57,[11]核心假设及结论!$D$58))</f>
        <v>1.0342640124442799</v>
      </c>
      <c r="AR50" s="1809">
        <f t="shared" si="19"/>
        <v>49.405171957672003</v>
      </c>
      <c r="AS50" s="1811">
        <f>AH50*(AS$2&lt;=YEAR($K50))+AR50*$AQ50*(AS$2=YEAR($K50)+1)+INDEX([11]核心假设及结论!$E$17:$E$21,MATCH($D50,[11]核心假设及结论!$B$17:$B$21,0))*(AS$2&gt;YEAR($K50)+1)*AR50</f>
        <v>51.097991384441464</v>
      </c>
      <c r="AT50" s="1809">
        <f>AI50*(AT$2&lt;=YEAR($K50))+AS50*$AQ50*(AT$2=YEAR($K50)+1)+INDEX([11]核心假设及结论!$E$17:$E$21,MATCH($D50,[11]核心假设及结论!$B$17:$B$21,0))*(AT$2&gt;YEAR($K50)+1)*AS50</f>
        <v>52.48144349266704</v>
      </c>
      <c r="AU50" s="1809">
        <f>AJ50*(AU$2&lt;=YEAR($K50))+AT50*$AQ50*(AU$2=YEAR($K50)+1)+INDEX([11]核心假设及结论!$E$17:$E$21,MATCH($D50,[11]核心假设及结论!$B$17:$B$21,0))*(AU$2&gt;YEAR($K50)+1)*AT50</f>
        <v>53.902351862555705</v>
      </c>
      <c r="AV50" s="1809">
        <f>AK50*(AV$2&lt;=YEAR($K50))+AU50*$AQ50*(AV$2=YEAR($K50)+1)+INDEX([11]核心假设及结论!$E$17:$E$21,MATCH($D50,[11]核心假设及结论!$B$17:$B$21,0))*(AV$2&gt;YEAR($K50)+1)*AU50</f>
        <v>55.361730603327018</v>
      </c>
      <c r="AW50" s="1809">
        <f>AL50*(AW$2&lt;=YEAR($K50))+AV50*$AQ50*(AW$2=YEAR($K50)+1)+INDEX([11]核心假设及结论!$E$17:$E$21,MATCH($D50,[11]核心假设及结论!$B$17:$B$21,0))*(AW$2&gt;YEAR($K50)+1)*AV50</f>
        <v>56.86062128069149</v>
      </c>
      <c r="AX50" s="1809">
        <f>AM50*(AX$2&lt;=YEAR($K50))+AW50*$AQ50*(AX$2=YEAR($K50)+1)+INDEX([11]核心假设及结论!$E$17:$E$21,MATCH($D50,[11]核心假设及结论!$B$17:$B$21,0))*(AX$2&gt;YEAR($K50)+1)*AW50</f>
        <v>58.400093660221081</v>
      </c>
      <c r="AZ50" s="1746">
        <f t="shared" si="7"/>
        <v>45716</v>
      </c>
      <c r="BA50" s="1817">
        <f t="shared" si="8"/>
        <v>45658</v>
      </c>
      <c r="BB50" s="1817">
        <f t="shared" si="9"/>
        <v>45716</v>
      </c>
      <c r="BC50" s="1817">
        <f t="shared" si="10"/>
        <v>46022</v>
      </c>
      <c r="BD50" s="1818">
        <f t="shared" si="11"/>
        <v>59</v>
      </c>
      <c r="BE50" s="1818">
        <f t="shared" si="12"/>
        <v>306</v>
      </c>
      <c r="BG50" s="1777">
        <f t="shared" si="28"/>
        <v>30.738571451860061</v>
      </c>
      <c r="BH50" s="1777">
        <f t="shared" si="30"/>
        <v>31.605527714041092</v>
      </c>
      <c r="BI50" s="1777">
        <f t="shared" si="30"/>
        <v>32.461231289913663</v>
      </c>
      <c r="BJ50" s="1777">
        <f t="shared" si="30"/>
        <v>33.340102604556044</v>
      </c>
      <c r="BK50" s="1777">
        <f t="shared" si="30"/>
        <v>34.242768912703227</v>
      </c>
      <c r="BL50" s="1777">
        <f t="shared" si="30"/>
        <v>35.169874451692856</v>
      </c>
      <c r="BM50" s="1777">
        <f t="shared" si="30"/>
        <v>5.7093211564284951</v>
      </c>
      <c r="BO50" s="1739">
        <f t="shared" si="15"/>
        <v>2025</v>
      </c>
      <c r="BP50" s="1742">
        <f>_xlfn.IFNA(INDEX($AR50:$AX50,MATCH(BO50,$AR$2:$AX$2,0))*12/365*[11]核心假设及结论!$C$70*$H50,0)</f>
        <v>24559.107945205502</v>
      </c>
      <c r="BR50" s="1739">
        <f t="shared" si="20"/>
        <v>2026</v>
      </c>
      <c r="BS50" s="1742">
        <f>_xlfn.IFNA(INDEX($AR50:$AX50,MATCH(BR50,$AR$2:$AX$2,0))*12/365*[11]核心假设及结论!$C$70*$H50,0)</f>
        <v>25400.601525460439</v>
      </c>
      <c r="BU50" s="1739">
        <f t="shared" si="21"/>
        <v>2027</v>
      </c>
      <c r="BV50" s="1742">
        <f>_xlfn.IFNA(INDEX($AR50:$AX50,MATCH(BU50,$AR$2:$AX$2,0))*12/365*[11]核心假设及结论!$C$70*$H50,0)</f>
        <v>26088.30988303975</v>
      </c>
      <c r="BX50" s="1739">
        <f t="shared" si="22"/>
        <v>2028</v>
      </c>
      <c r="BY50" s="1742">
        <f>_xlfn.IFNA(INDEX($AR50:$AX50,MATCH(BX50,$AR$2:$AX$2,0))*12/365*[11]核心假设及结论!$C$70*$H50,0)</f>
        <v>26794.637594361939</v>
      </c>
      <c r="CA50" s="1739">
        <f t="shared" si="23"/>
        <v>2029</v>
      </c>
      <c r="CB50" s="1742">
        <f>_xlfn.IFNA(INDEX($AR50:$AX50,MATCH(CA50,$AR$2:$AX$2,0))*12/365*[11]核心假设及结论!$C$70*$H50,0)</f>
        <v>27520.088768952475</v>
      </c>
    </row>
    <row r="51" spans="1:80" ht="30" customHeight="1">
      <c r="A51" s="1756" t="s">
        <v>1666</v>
      </c>
      <c r="B51" s="1757" t="s">
        <v>1780</v>
      </c>
      <c r="C51" s="1756" t="s">
        <v>1781</v>
      </c>
      <c r="D51" s="1756" t="s">
        <v>1698</v>
      </c>
      <c r="E51" s="1758" t="s">
        <v>1698</v>
      </c>
      <c r="F51" s="1759"/>
      <c r="G51" s="1760" t="s">
        <v>1661</v>
      </c>
      <c r="H51" s="1761">
        <v>499</v>
      </c>
      <c r="I51" s="1761" t="s">
        <v>1782</v>
      </c>
      <c r="J51" s="1773">
        <v>44743</v>
      </c>
      <c r="K51" s="1773">
        <v>46934</v>
      </c>
      <c r="L51" s="1764">
        <f t="shared" si="1"/>
        <v>72</v>
      </c>
      <c r="M51" s="1774">
        <f t="shared" si="16"/>
        <v>170533.25</v>
      </c>
      <c r="N51" s="1775">
        <f t="shared" si="17"/>
        <v>228.13</v>
      </c>
      <c r="O51" s="1760">
        <v>113836.87</v>
      </c>
      <c r="P51" s="1776">
        <v>7.0000000000000007E-2</v>
      </c>
      <c r="Q51" s="1783">
        <f t="shared" si="2"/>
        <v>95</v>
      </c>
      <c r="R51" s="1784">
        <v>47405</v>
      </c>
      <c r="S51" s="1777">
        <f t="shared" si="3"/>
        <v>18.619999999999997</v>
      </c>
      <c r="T51" s="1784">
        <v>9291.3799999999992</v>
      </c>
      <c r="U51" s="1777"/>
      <c r="V51" s="1785">
        <v>1495748.43833333</v>
      </c>
      <c r="W51" s="1785">
        <f t="shared" si="4"/>
        <v>2997.4918603874348</v>
      </c>
      <c r="X51" s="1786">
        <f t="shared" si="34"/>
        <v>0.10780012592202151</v>
      </c>
      <c r="Y51" s="1789">
        <f>VLOOKUP(E51,[11]核心假设及结论!$C$25:$E$45,3,0)</f>
        <v>0.2</v>
      </c>
      <c r="Z51" s="1790">
        <f t="shared" si="33"/>
        <v>113836.87</v>
      </c>
      <c r="AA51" s="1790">
        <f t="shared" si="33"/>
        <v>119450.62</v>
      </c>
      <c r="AB51" s="1790">
        <f t="shared" si="33"/>
        <v>119450.62</v>
      </c>
      <c r="AC51" s="1790">
        <f t="shared" si="32"/>
        <v>125523.45000000001</v>
      </c>
      <c r="AD51" s="1790">
        <f t="shared" si="32"/>
        <v>0</v>
      </c>
      <c r="AE51" s="1790">
        <f t="shared" si="32"/>
        <v>0</v>
      </c>
      <c r="AF51" s="1790">
        <f t="shared" si="32"/>
        <v>0</v>
      </c>
      <c r="AG51" s="1794">
        <v>228.13</v>
      </c>
      <c r="AH51" s="1794">
        <v>239.38</v>
      </c>
      <c r="AI51" s="1794">
        <v>239.38</v>
      </c>
      <c r="AJ51" s="1794">
        <v>251.55</v>
      </c>
      <c r="AK51" s="1794">
        <v>0</v>
      </c>
      <c r="AL51" s="1794">
        <v>0</v>
      </c>
      <c r="AM51" s="1794">
        <v>0</v>
      </c>
      <c r="AN51" s="1797"/>
      <c r="AO51" s="1797"/>
      <c r="AP51" s="1808">
        <f t="shared" si="18"/>
        <v>0.53900062961010753</v>
      </c>
      <c r="AQ51" s="1812">
        <f>IF(AP51&gt;[11]核心假设及结论!$B$62,[11]核心假设及结论!$D$62,IF(AP51&lt;=[11]核心假设及结论!$B$61,[11]核心假设及结论!$D$60,[11]核心假设及结论!$D$61))</f>
        <v>1.0811176582269599</v>
      </c>
      <c r="AR51" s="1809">
        <f t="shared" si="19"/>
        <v>228.13</v>
      </c>
      <c r="AS51" s="1809">
        <f>AH51*(AS$2&lt;=YEAR($K51))+AR51*$AQ51*(AS$2=YEAR($K51)+1)+INDEX([11]核心假设及结论!$E$17:$E$21,MATCH($D51,[11]核心假设及结论!$B$17:$B$21,0))*(AS$2&gt;YEAR($K51)+1)*AR51</f>
        <v>239.38</v>
      </c>
      <c r="AT51" s="1809">
        <f>AI51*(AT$2&lt;=YEAR($K51))+AS51*$AQ51*(AT$2=YEAR($K51)+1)+INDEX([11]核心假设及结论!$E$17:$E$21,MATCH($D51,[11]核心假设及结论!$B$17:$B$21,0))*(AT$2&gt;YEAR($K51)+1)*AS51</f>
        <v>239.38</v>
      </c>
      <c r="AU51" s="1809">
        <f>AJ51*(AU$2&lt;=YEAR($K51))+AT51*$AQ51*(AU$2=YEAR($K51)+1)+INDEX([11]核心假设及结论!$E$17:$E$21,MATCH($D51,[11]核心假设及结论!$B$17:$B$21,0))*(AU$2&gt;YEAR($K51)+1)*AT51</f>
        <v>251.55</v>
      </c>
      <c r="AV51" s="1811">
        <f>AK51*(AV$2&lt;=YEAR($K51))+AU51*$AQ51*(AV$2=YEAR($K51)+1)+INDEX([11]核心假设及结论!$E$17:$E$21,MATCH($D51,[11]核心假设及结论!$B$17:$B$21,0))*(AV$2&gt;YEAR($K51)+1)*AU51</f>
        <v>271.9551469269918</v>
      </c>
      <c r="AW51" s="1809">
        <f>AL51*(AW$2&lt;=YEAR($K51))+AV51*$AQ51*(AW$2=YEAR($K51)+1)+INDEX([11]核心假设及结论!$E$17:$E$21,MATCH($D51,[11]核心假设及结论!$B$17:$B$21,0))*(AW$2&gt;YEAR($K51)+1)*AV51</f>
        <v>280.28170790131429</v>
      </c>
      <c r="AX51" s="1809">
        <f>AM51*(AX$2&lt;=YEAR($K51))+AW51*$AQ51*(AX$2=YEAR($K51)+1)+INDEX([11]核心假设及结论!$E$17:$E$21,MATCH($D51,[11]核心假设及结论!$B$17:$B$21,0))*(AX$2&gt;YEAR($K51)+1)*AW51</f>
        <v>288.86320656827667</v>
      </c>
      <c r="AZ51" s="1746">
        <f t="shared" si="7"/>
        <v>46934</v>
      </c>
      <c r="BA51" s="1817">
        <f t="shared" si="8"/>
        <v>45658</v>
      </c>
      <c r="BB51" s="1817">
        <f t="shared" si="9"/>
        <v>45838</v>
      </c>
      <c r="BC51" s="1817">
        <f t="shared" si="10"/>
        <v>46022</v>
      </c>
      <c r="BD51" s="1818">
        <f t="shared" si="11"/>
        <v>181</v>
      </c>
      <c r="BE51" s="1818">
        <f t="shared" si="12"/>
        <v>184</v>
      </c>
      <c r="BG51" s="1777">
        <f t="shared" si="28"/>
        <v>140.0001782465753</v>
      </c>
      <c r="BH51" s="1777">
        <f t="shared" si="30"/>
        <v>143.340744</v>
      </c>
      <c r="BI51" s="1777">
        <f t="shared" si="30"/>
        <v>147.01439020273975</v>
      </c>
      <c r="BJ51" s="1777">
        <f t="shared" si="30"/>
        <v>156.78765442273539</v>
      </c>
      <c r="BK51" s="1777">
        <f t="shared" si="30"/>
        <v>165.36020451934041</v>
      </c>
      <c r="BL51" s="1777">
        <f t="shared" si="30"/>
        <v>170.42310493220285</v>
      </c>
      <c r="BM51" s="1777">
        <f t="shared" si="30"/>
        <v>85.774803136570455</v>
      </c>
      <c r="BO51" s="1739">
        <f t="shared" si="15"/>
        <v>2028</v>
      </c>
      <c r="BP51" s="1742">
        <f>_xlfn.IFNA(INDEX($AR51:$AX51,MATCH(BO51,$AR$2:$AX$2,0))*12/365*[11]核心假设及结论!$C$70*$H51,0)</f>
        <v>123803.95068493152</v>
      </c>
      <c r="BR51" s="1739">
        <f t="shared" si="20"/>
        <v>2034</v>
      </c>
      <c r="BS51" s="1742">
        <f>_xlfn.IFNA(INDEX($AR51:$AX51,MATCH(BR51,$AR$2:$AX$2,0))*12/365*[11]核心假设及结论!$C$70*$H51,0)</f>
        <v>0</v>
      </c>
      <c r="BU51" s="1739">
        <f t="shared" si="21"/>
        <v>2040</v>
      </c>
      <c r="BV51" s="1742">
        <f>_xlfn.IFNA(INDEX($AR51:$AX51,MATCH(BU51,$AR$2:$AX$2,0))*12/365*[11]核心假设及结论!$C$70*$H51,0)</f>
        <v>0</v>
      </c>
      <c r="BX51" s="1739">
        <f t="shared" si="22"/>
        <v>2046</v>
      </c>
      <c r="BY51" s="1742">
        <f>_xlfn.IFNA(INDEX($AR51:$AX51,MATCH(BX51,$AR$2:$AX$2,0))*12/365*[11]核心假设及结论!$C$70*$H51,0)</f>
        <v>0</v>
      </c>
      <c r="CA51" s="1739">
        <f t="shared" si="23"/>
        <v>2052</v>
      </c>
      <c r="CB51" s="1742">
        <f>_xlfn.IFNA(INDEX($AR51:$AX51,MATCH(CA51,$AR$2:$AX$2,0))*12/365*[11]核心假设及结论!$C$70*$H51,0)</f>
        <v>0</v>
      </c>
    </row>
    <row r="52" spans="1:80" ht="30" customHeight="1">
      <c r="A52" s="1756" t="s">
        <v>1662</v>
      </c>
      <c r="B52" s="1757" t="s">
        <v>1783</v>
      </c>
      <c r="C52" s="1756" t="s">
        <v>1784</v>
      </c>
      <c r="D52" s="1756" t="s">
        <v>1676</v>
      </c>
      <c r="E52" s="1758" t="s">
        <v>1677</v>
      </c>
      <c r="F52" s="1759"/>
      <c r="G52" s="1760" t="s">
        <v>1661</v>
      </c>
      <c r="H52" s="1761">
        <v>496</v>
      </c>
      <c r="I52" s="1761" t="s">
        <v>1782</v>
      </c>
      <c r="J52" s="1773">
        <v>44823</v>
      </c>
      <c r="K52" s="1773">
        <v>46477</v>
      </c>
      <c r="L52" s="1764">
        <f t="shared" si="1"/>
        <v>55</v>
      </c>
      <c r="M52" s="1774">
        <f t="shared" si="16"/>
        <v>214768</v>
      </c>
      <c r="N52" s="1775">
        <f t="shared" si="17"/>
        <v>319.38</v>
      </c>
      <c r="O52" s="1760">
        <v>158412.48000000001</v>
      </c>
      <c r="P52" s="1776">
        <v>0.09</v>
      </c>
      <c r="Q52" s="1783">
        <f t="shared" si="2"/>
        <v>95</v>
      </c>
      <c r="R52" s="1784">
        <v>47120</v>
      </c>
      <c r="S52" s="1777">
        <f t="shared" si="3"/>
        <v>18.62</v>
      </c>
      <c r="T52" s="1784">
        <v>9235.52</v>
      </c>
      <c r="U52" s="1777"/>
      <c r="V52" s="1785">
        <v>1341870.8799999999</v>
      </c>
      <c r="W52" s="1785">
        <f t="shared" si="4"/>
        <v>2705.3848387096773</v>
      </c>
      <c r="X52" s="1786">
        <f t="shared" si="34"/>
        <v>0.15316859696664706</v>
      </c>
      <c r="Y52" s="1789">
        <f>VLOOKUP(E52,[11]核心假设及结论!$C$25:$E$45,3,0)</f>
        <v>0.25</v>
      </c>
      <c r="Z52" s="1790">
        <f t="shared" si="33"/>
        <v>166383.19999999998</v>
      </c>
      <c r="AA52" s="1790">
        <f t="shared" si="33"/>
        <v>174646.56</v>
      </c>
      <c r="AB52" s="1790">
        <f t="shared" si="33"/>
        <v>183381.12000000002</v>
      </c>
      <c r="AC52" s="1790">
        <f t="shared" si="32"/>
        <v>0</v>
      </c>
      <c r="AD52" s="1790">
        <f t="shared" si="32"/>
        <v>0</v>
      </c>
      <c r="AE52" s="1790">
        <f t="shared" si="32"/>
        <v>0</v>
      </c>
      <c r="AF52" s="1790">
        <f t="shared" si="32"/>
        <v>0</v>
      </c>
      <c r="AG52" s="1794">
        <v>335.45</v>
      </c>
      <c r="AH52" s="1794">
        <v>352.11</v>
      </c>
      <c r="AI52" s="1794">
        <v>369.72</v>
      </c>
      <c r="AJ52" s="1794">
        <v>0</v>
      </c>
      <c r="AK52" s="1794">
        <v>0</v>
      </c>
      <c r="AL52" s="1794">
        <v>0</v>
      </c>
      <c r="AM52" s="1794">
        <v>0</v>
      </c>
      <c r="AN52" s="1797"/>
      <c r="AO52" s="1797"/>
      <c r="AP52" s="1808">
        <f t="shared" si="18"/>
        <v>0.61267438786658823</v>
      </c>
      <c r="AQ52" s="1808">
        <f>IF(AP52&gt;[11]核心假设及结论!$B$65,[11]核心假设及结论!$D$65,IF(AP52&lt;=[11]核心假设及结论!$B$64,[11]核心假设及结论!$D$63,[11]核心假设及结论!$D$64))</f>
        <v>1</v>
      </c>
      <c r="AR52" s="1809">
        <f t="shared" si="19"/>
        <v>335.45</v>
      </c>
      <c r="AS52" s="1809">
        <f>AH52*(AS$2&lt;=YEAR($K52))+AR52*$AQ52*(AS$2=YEAR($K52)+1)+INDEX([11]核心假设及结论!$E$17:$E$21,MATCH($D52,[11]核心假设及结论!$B$17:$B$21,0))*(AS$2&gt;YEAR($K52)+1)*AR52</f>
        <v>352.11</v>
      </c>
      <c r="AT52" s="1809">
        <f>AI52*(AT$2&lt;=YEAR($K52))+AS52*$AQ52*(AT$2=YEAR($K52)+1)+INDEX([11]核心假设及结论!$E$17:$E$21,MATCH($D52,[11]核心假设及结论!$B$17:$B$21,0))*(AT$2&gt;YEAR($K52)+1)*AS52</f>
        <v>369.72</v>
      </c>
      <c r="AU52" s="1811">
        <f>AJ52*(AU$2&lt;=YEAR($K52))+AT52*$AQ52*(AU$2=YEAR($K52)+1)+INDEX([11]核心假设及结论!$E$17:$E$21,MATCH($D52,[11]核心假设及结论!$B$17:$B$21,0))*(AU$2&gt;YEAR($K52)+1)*AT52</f>
        <v>369.72</v>
      </c>
      <c r="AV52" s="1809">
        <f>AK52*(AV$2&lt;=YEAR($K52))+AU52*$AQ52*(AV$2=YEAR($K52)+1)+INDEX([11]核心假设及结论!$E$17:$E$21,MATCH($D52,[11]核心假设及结论!$B$17:$B$21,0))*(AV$2&gt;YEAR($K52)+1)*AU52</f>
        <v>382.50310134957573</v>
      </c>
      <c r="AW52" s="1809">
        <f>AL52*(AW$2&lt;=YEAR($K52))+AV52*$AQ52*(AW$2=YEAR($K52)+1)+INDEX([11]核心假设及结论!$E$17:$E$21,MATCH($D52,[11]核心假设及结论!$B$17:$B$21,0))*(AW$2&gt;YEAR($K52)+1)*AV52</f>
        <v>395.72817954680238</v>
      </c>
      <c r="AX52" s="1809">
        <f>AM52*(AX$2&lt;=YEAR($K52))+AW52*$AQ52*(AX$2=YEAR($K52)+1)+INDEX([11]核心假设及结论!$E$17:$E$21,MATCH($D52,[11]核心假设及结论!$B$17:$B$21,0))*(AX$2&gt;YEAR($K52)+1)*AW52</f>
        <v>409.41051597985944</v>
      </c>
      <c r="AZ52" s="1746">
        <f t="shared" si="7"/>
        <v>46477</v>
      </c>
      <c r="BA52" s="1817">
        <f t="shared" si="8"/>
        <v>45658</v>
      </c>
      <c r="BB52" s="1817">
        <f t="shared" si="9"/>
        <v>45747</v>
      </c>
      <c r="BC52" s="1817">
        <f t="shared" si="10"/>
        <v>46022</v>
      </c>
      <c r="BD52" s="1818">
        <f t="shared" si="11"/>
        <v>90</v>
      </c>
      <c r="BE52" s="1818">
        <f t="shared" si="12"/>
        <v>275</v>
      </c>
      <c r="BG52" s="1777">
        <f t="shared" si="28"/>
        <v>207.13082301369863</v>
      </c>
      <c r="BH52" s="1777">
        <f t="shared" si="30"/>
        <v>217.47287145205485</v>
      </c>
      <c r="BI52" s="1777">
        <f t="shared" si="30"/>
        <v>220.05734400000003</v>
      </c>
      <c r="BJ52" s="1777">
        <f t="shared" si="30"/>
        <v>225.78977695588642</v>
      </c>
      <c r="BK52" s="1777">
        <f t="shared" si="30"/>
        <v>233.5964782501772</v>
      </c>
      <c r="BL52" s="1777">
        <f t="shared" si="30"/>
        <v>241.67309692478491</v>
      </c>
      <c r="BM52" s="1777">
        <f t="shared" si="30"/>
        <v>60.085760328792091</v>
      </c>
      <c r="BO52" s="1739">
        <f t="shared" si="15"/>
        <v>2027</v>
      </c>
      <c r="BP52" s="1742">
        <f>_xlfn.IFNA(INDEX($AR52:$AX52,MATCH(BO52,$AR$2:$AX$2,0))*12/365*[11]核心假设及结论!$C$70*$H52,0)</f>
        <v>180869.0498630137</v>
      </c>
      <c r="BR52" s="1739">
        <f t="shared" si="20"/>
        <v>2032</v>
      </c>
      <c r="BS52" s="1742">
        <f>_xlfn.IFNA(INDEX($AR52:$AX52,MATCH(BR52,$AR$2:$AX$2,0))*12/365*[11]核心假设及结论!$C$70*$H52,0)</f>
        <v>0</v>
      </c>
      <c r="BU52" s="1739">
        <f t="shared" si="21"/>
        <v>2037</v>
      </c>
      <c r="BV52" s="1742">
        <f>_xlfn.IFNA(INDEX($AR52:$AX52,MATCH(BU52,$AR$2:$AX$2,0))*12/365*[11]核心假设及结论!$C$70*$H52,0)</f>
        <v>0</v>
      </c>
      <c r="BX52" s="1739">
        <f t="shared" si="22"/>
        <v>2042</v>
      </c>
      <c r="BY52" s="1742">
        <f>_xlfn.IFNA(INDEX($AR52:$AX52,MATCH(BX52,$AR$2:$AX$2,0))*12/365*[11]核心假设及结论!$C$70*$H52,0)</f>
        <v>0</v>
      </c>
      <c r="CA52" s="1739">
        <f t="shared" si="23"/>
        <v>2047</v>
      </c>
      <c r="CB52" s="1742">
        <f>_xlfn.IFNA(INDEX($AR52:$AX52,MATCH(CA52,$AR$2:$AX$2,0))*12/365*[11]核心假设及结论!$C$70*$H52,0)</f>
        <v>0</v>
      </c>
    </row>
    <row r="53" spans="1:80" ht="30" customHeight="1">
      <c r="A53" s="1756" t="s">
        <v>1666</v>
      </c>
      <c r="B53" s="1757" t="s">
        <v>1785</v>
      </c>
      <c r="C53" s="1756" t="s">
        <v>1786</v>
      </c>
      <c r="D53" s="1756" t="s">
        <v>1698</v>
      </c>
      <c r="E53" s="1758" t="s">
        <v>1698</v>
      </c>
      <c r="F53" s="1759"/>
      <c r="G53" s="1760" t="s">
        <v>1661</v>
      </c>
      <c r="H53" s="1761">
        <v>493</v>
      </c>
      <c r="I53" s="1761" t="s">
        <v>1782</v>
      </c>
      <c r="J53" s="1773">
        <v>45209</v>
      </c>
      <c r="K53" s="1773">
        <v>46304</v>
      </c>
      <c r="L53" s="1764">
        <f t="shared" si="1"/>
        <v>36</v>
      </c>
      <c r="M53" s="1774">
        <f t="shared" si="16"/>
        <v>310629.44</v>
      </c>
      <c r="N53" s="1775">
        <f t="shared" si="17"/>
        <v>517.08000000000004</v>
      </c>
      <c r="O53" s="1760">
        <v>254920.44</v>
      </c>
      <c r="P53" s="1776">
        <v>0.13</v>
      </c>
      <c r="Q53" s="1783">
        <f t="shared" si="2"/>
        <v>95</v>
      </c>
      <c r="R53" s="1784">
        <v>46835</v>
      </c>
      <c r="S53" s="1777">
        <f t="shared" si="3"/>
        <v>18</v>
      </c>
      <c r="T53" s="1784">
        <v>8874</v>
      </c>
      <c r="U53" s="1777"/>
      <c r="V53" s="1785">
        <v>1834901.96</v>
      </c>
      <c r="W53" s="1785">
        <f t="shared" si="4"/>
        <v>3721.9106693711965</v>
      </c>
      <c r="X53" s="1786">
        <f t="shared" si="34"/>
        <v>0.16445316784118538</v>
      </c>
      <c r="Y53" s="1789">
        <f>VLOOKUP(E53,[11]核心假设及结论!$C$25:$E$45,3,0)</f>
        <v>0.2</v>
      </c>
      <c r="Z53" s="1790">
        <f t="shared" si="33"/>
        <v>262571.8</v>
      </c>
      <c r="AA53" s="1790">
        <f t="shared" si="33"/>
        <v>270445.01</v>
      </c>
      <c r="AB53" s="1790">
        <f t="shared" si="33"/>
        <v>0</v>
      </c>
      <c r="AC53" s="1790">
        <f t="shared" si="32"/>
        <v>0</v>
      </c>
      <c r="AD53" s="1790">
        <f t="shared" si="32"/>
        <v>0</v>
      </c>
      <c r="AE53" s="1790">
        <f t="shared" si="32"/>
        <v>0</v>
      </c>
      <c r="AF53" s="1790">
        <f t="shared" si="32"/>
        <v>0</v>
      </c>
      <c r="AG53" s="1794">
        <v>532.6</v>
      </c>
      <c r="AH53" s="1794">
        <v>548.57000000000005</v>
      </c>
      <c r="AI53" s="1794">
        <v>0</v>
      </c>
      <c r="AJ53" s="1794">
        <v>0</v>
      </c>
      <c r="AK53" s="1794">
        <v>0</v>
      </c>
      <c r="AL53" s="1794">
        <v>0</v>
      </c>
      <c r="AM53" s="1794">
        <v>0</v>
      </c>
      <c r="AN53" s="1797"/>
      <c r="AO53" s="1797"/>
      <c r="AP53" s="1808">
        <f t="shared" si="18"/>
        <v>0.82226583920592689</v>
      </c>
      <c r="AQ53" s="1812">
        <f>IF(AP53&gt;[11]核心假设及结论!$B$62,[11]核心假设及结论!$D$62,IF(AP53&lt;=[11]核心假设及结论!$B$61,[11]核心假设及结论!$D$60,[11]核心假设及结论!$D$61))</f>
        <v>1.0811176582269599</v>
      </c>
      <c r="AR53" s="1809">
        <f t="shared" si="19"/>
        <v>532.6</v>
      </c>
      <c r="AS53" s="1809">
        <f>AH53*(AS$2&lt;=YEAR($K53))+AR53*$AQ53*(AS$2=YEAR($K53)+1)+INDEX([11]核心假设及结论!$E$17:$E$21,MATCH($D53,[11]核心假设及结论!$B$17:$B$21,0))*(AS$2&gt;YEAR($K53)+1)*AR53</f>
        <v>548.57000000000005</v>
      </c>
      <c r="AT53" s="1811">
        <f>AI53*(AT$2&lt;=YEAR($K53))+AS53*$AQ53*(AT$2=YEAR($K53)+1)+INDEX([11]核心假设及结论!$E$17:$E$21,MATCH($D53,[11]核心假设及结论!$B$17:$B$21,0))*(AT$2&gt;YEAR($K53)+1)*AS53</f>
        <v>593.06871377356345</v>
      </c>
      <c r="AU53" s="1809">
        <f>AJ53*(AU$2&lt;=YEAR($K53))+AT53*$AQ53*(AU$2=YEAR($K53)+1)+INDEX([11]核心假设及结论!$E$17:$E$21,MATCH($D53,[11]核心假设及结论!$B$17:$B$21,0))*(AU$2&gt;YEAR($K53)+1)*AT53</f>
        <v>611.22693899194587</v>
      </c>
      <c r="AV53" s="1809">
        <f>AK53*(AV$2&lt;=YEAR($K53))+AU53*$AQ53*(AV$2=YEAR($K53)+1)+INDEX([11]核心假设及结论!$E$17:$E$21,MATCH($D53,[11]核心假设及结论!$B$17:$B$21,0))*(AV$2&gt;YEAR($K53)+1)*AU53</f>
        <v>629.94112195253251</v>
      </c>
      <c r="AW53" s="1809">
        <f>AL53*(AW$2&lt;=YEAR($K53))+AV53*$AQ53*(AW$2=YEAR($K53)+1)+INDEX([11]核心假设及结论!$E$17:$E$21,MATCH($D53,[11]核心假设及结论!$B$17:$B$21,0))*(AW$2&gt;YEAR($K53)+1)*AV53</f>
        <v>649.22828463888175</v>
      </c>
      <c r="AX53" s="1809">
        <f>AM53*(AX$2&lt;=YEAR($K53))+AW53*$AQ53*(AX$2=YEAR($K53)+1)+INDEX([11]核心假设及结论!$E$17:$E$21,MATCH($D53,[11]核心假设及结论!$B$17:$B$21,0))*(AX$2&gt;YEAR($K53)+1)*AW53</f>
        <v>669.10597020352259</v>
      </c>
      <c r="AZ53" s="1746">
        <f t="shared" si="7"/>
        <v>46304</v>
      </c>
      <c r="BA53" s="1817">
        <f t="shared" si="8"/>
        <v>45658</v>
      </c>
      <c r="BB53" s="1817">
        <f t="shared" si="9"/>
        <v>45939</v>
      </c>
      <c r="BC53" s="1817">
        <f t="shared" si="10"/>
        <v>46022</v>
      </c>
      <c r="BD53" s="1818">
        <f t="shared" si="11"/>
        <v>282</v>
      </c>
      <c r="BE53" s="1818">
        <f t="shared" si="12"/>
        <v>83</v>
      </c>
      <c r="BG53" s="1777">
        <f t="shared" si="28"/>
        <v>317.234575660274</v>
      </c>
      <c r="BH53" s="1777">
        <f t="shared" si="30"/>
        <v>330.52034471967272</v>
      </c>
      <c r="BI53" s="1777">
        <f t="shared" si="30"/>
        <v>353.30224477050371</v>
      </c>
      <c r="BJ53" s="1777">
        <f t="shared" si="30"/>
        <v>364.11944281469573</v>
      </c>
      <c r="BK53" s="1777">
        <f t="shared" si="30"/>
        <v>375.26783539631072</v>
      </c>
      <c r="BL53" s="1777">
        <f t="shared" si="30"/>
        <v>386.75756283275547</v>
      </c>
      <c r="BM53" s="1777">
        <f t="shared" si="30"/>
        <v>305.82945735950113</v>
      </c>
      <c r="BO53" s="1739">
        <f t="shared" si="15"/>
        <v>2026</v>
      </c>
      <c r="BP53" s="1742">
        <f>_xlfn.IFNA(INDEX($AR53:$AX53,MATCH(BO53,$AR$2:$AX$2,0))*12/365*[11]核心假设及结论!$C$70*$H53,0)</f>
        <v>266740.28383561643</v>
      </c>
      <c r="BR53" s="1739">
        <f t="shared" si="20"/>
        <v>2029</v>
      </c>
      <c r="BS53" s="1742">
        <f>_xlfn.IFNA(INDEX($AR53:$AX53,MATCH(BR53,$AR$2:$AX$2,0))*12/365*[11]核心假设及结论!$C$70*$H53,0)</f>
        <v>306306.7132168095</v>
      </c>
      <c r="BU53" s="1739">
        <f t="shared" si="21"/>
        <v>2032</v>
      </c>
      <c r="BV53" s="1742">
        <f>_xlfn.IFNA(INDEX($AR53:$AX53,MATCH(BU53,$AR$2:$AX$2,0))*12/365*[11]核心假设及结论!$C$70*$H53,0)</f>
        <v>0</v>
      </c>
      <c r="BX53" s="1739">
        <f t="shared" si="22"/>
        <v>2035</v>
      </c>
      <c r="BY53" s="1742">
        <f>_xlfn.IFNA(INDEX($AR53:$AX53,MATCH(BX53,$AR$2:$AX$2,0))*12/365*[11]核心假设及结论!$C$70*$H53,0)</f>
        <v>0</v>
      </c>
      <c r="CA53" s="1739">
        <f t="shared" si="23"/>
        <v>2038</v>
      </c>
      <c r="CB53" s="1742">
        <f>_xlfn.IFNA(INDEX($AR53:$AX53,MATCH(CA53,$AR$2:$AX$2,0))*12/365*[11]核心假设及结论!$C$70*$H53,0)</f>
        <v>0</v>
      </c>
    </row>
    <row r="54" spans="1:80" ht="30" customHeight="1">
      <c r="A54" s="1756" t="s">
        <v>1662</v>
      </c>
      <c r="B54" s="1757" t="s">
        <v>1787</v>
      </c>
      <c r="C54" s="1756" t="s">
        <v>1788</v>
      </c>
      <c r="D54" s="1756" t="s">
        <v>1685</v>
      </c>
      <c r="E54" s="1758" t="s">
        <v>1726</v>
      </c>
      <c r="F54" s="1759"/>
      <c r="G54" s="1760" t="s">
        <v>1661</v>
      </c>
      <c r="H54" s="1761">
        <v>491</v>
      </c>
      <c r="I54" s="1761" t="s">
        <v>1782</v>
      </c>
      <c r="J54" s="1773">
        <v>44729</v>
      </c>
      <c r="K54" s="1773">
        <v>45824</v>
      </c>
      <c r="L54" s="1764">
        <f t="shared" si="1"/>
        <v>36</v>
      </c>
      <c r="M54" s="1774">
        <f t="shared" si="16"/>
        <v>382571.15657499997</v>
      </c>
      <c r="N54" s="1775">
        <f t="shared" si="17"/>
        <v>664.62</v>
      </c>
      <c r="O54" s="1760">
        <v>326328.42</v>
      </c>
      <c r="P54" s="1776">
        <v>0.04</v>
      </c>
      <c r="Q54" s="1783">
        <f t="shared" si="2"/>
        <v>95</v>
      </c>
      <c r="R54" s="1784">
        <v>46645</v>
      </c>
      <c r="S54" s="1777">
        <f t="shared" si="3"/>
        <v>19.547325000000001</v>
      </c>
      <c r="T54" s="1777">
        <v>9597.7365750000008</v>
      </c>
      <c r="U54" s="1777"/>
      <c r="V54" s="1785">
        <v>9019747.2083333302</v>
      </c>
      <c r="W54" s="1785">
        <f t="shared" si="4"/>
        <v>18370.157247114726</v>
      </c>
      <c r="X54" s="1786">
        <f t="shared" si="34"/>
        <v>4.1350761987587685E-2</v>
      </c>
      <c r="Y54" s="1789">
        <f>VLOOKUP(E54,[11]核心假设及结论!$C$25:$E$45,3,0)</f>
        <v>0.1</v>
      </c>
      <c r="Z54" s="1790">
        <f t="shared" si="33"/>
        <v>326328.42</v>
      </c>
      <c r="AA54" s="1790">
        <f t="shared" si="33"/>
        <v>0</v>
      </c>
      <c r="AB54" s="1790">
        <f t="shared" si="33"/>
        <v>0</v>
      </c>
      <c r="AC54" s="1790">
        <f t="shared" si="32"/>
        <v>0</v>
      </c>
      <c r="AD54" s="1790">
        <f t="shared" si="32"/>
        <v>0</v>
      </c>
      <c r="AE54" s="1790">
        <f t="shared" si="32"/>
        <v>0</v>
      </c>
      <c r="AF54" s="1790">
        <f t="shared" si="32"/>
        <v>0</v>
      </c>
      <c r="AG54" s="1794">
        <v>664.62</v>
      </c>
      <c r="AH54" s="1794">
        <v>0</v>
      </c>
      <c r="AI54" s="1794">
        <v>0</v>
      </c>
      <c r="AJ54" s="1794">
        <v>0</v>
      </c>
      <c r="AK54" s="1794">
        <v>0</v>
      </c>
      <c r="AL54" s="1794">
        <v>0</v>
      </c>
      <c r="AM54" s="1794">
        <v>0</v>
      </c>
      <c r="AN54" s="1795"/>
      <c r="AO54" s="1795"/>
      <c r="AP54" s="1808">
        <f t="shared" si="18"/>
        <v>0.41350761987587681</v>
      </c>
      <c r="AQ54" s="1810">
        <f>IF(AP54&gt;[11]核心假设及结论!$B$59,[11]核心假设及结论!$D$59,IF(AP54&lt;=[11]核心假设及结论!$B$58,[11]核心假设及结论!$D$57,[11]核心假设及结论!$D$58))</f>
        <v>1.0342640124442799</v>
      </c>
      <c r="AR54" s="1809">
        <f t="shared" si="19"/>
        <v>664.62</v>
      </c>
      <c r="AS54" s="1811">
        <f>AH54*(AS$2&lt;=YEAR($K54))+AR54*$AQ54*(AS$2=YEAR($K54)+1)+INDEX([11]核心假设及结论!$E$17:$E$21,MATCH($D54,[11]核心假设及结论!$B$17:$B$21,0))*(AS$2&gt;YEAR($K54)+1)*AR54</f>
        <v>687.39254795071736</v>
      </c>
      <c r="AT54" s="1809">
        <f>AI54*(AT$2&lt;=YEAR($K54))+AS54*$AQ54*(AT$2=YEAR($K54)+1)+INDEX([11]核心假设及结论!$E$17:$E$21,MATCH($D54,[11]核心假设及结论!$B$17:$B$21,0))*(AT$2&gt;YEAR($K54)+1)*AS54</f>
        <v>706.00335130864596</v>
      </c>
      <c r="AU54" s="1809">
        <f>AJ54*(AU$2&lt;=YEAR($K54))+AT54*$AQ54*(AU$2=YEAR($K54)+1)+INDEX([11]核心假设及结论!$E$17:$E$21,MATCH($D54,[11]核心假设及结论!$B$17:$B$21,0))*(AU$2&gt;YEAR($K54)+1)*AT54</f>
        <v>725.11803269472614</v>
      </c>
      <c r="AV54" s="1809">
        <f>AK54*(AV$2&lt;=YEAR($K54))+AU54*$AQ54*(AV$2=YEAR($K54)+1)+INDEX([11]核心假设及结论!$E$17:$E$21,MATCH($D54,[11]核心假设及结论!$B$17:$B$21,0))*(AV$2&gt;YEAR($K54)+1)*AU54</f>
        <v>744.75023435009984</v>
      </c>
      <c r="AW54" s="1809">
        <f>AL54*(AW$2&lt;=YEAR($K54))+AV54*$AQ54*(AW$2=YEAR($K54)+1)+INDEX([11]核心假设及结论!$E$17:$E$21,MATCH($D54,[11]核心假设及结论!$B$17:$B$21,0))*(AW$2&gt;YEAR($K54)+1)*AV54</f>
        <v>764.91396787264409</v>
      </c>
      <c r="AX54" s="1809">
        <f>AM54*(AX$2&lt;=YEAR($K54))+AW54*$AQ54*(AX$2=YEAR($K54)+1)+INDEX([11]核心假设及结论!$E$17:$E$21,MATCH($D54,[11]核心假设及结论!$B$17:$B$21,0))*(AX$2&gt;YEAR($K54)+1)*AW54</f>
        <v>785.62362421711669</v>
      </c>
      <c r="AZ54" s="1746">
        <f t="shared" si="7"/>
        <v>45824</v>
      </c>
      <c r="BA54" s="1817">
        <f t="shared" si="8"/>
        <v>45658</v>
      </c>
      <c r="BB54" s="1817">
        <f t="shared" si="9"/>
        <v>45824</v>
      </c>
      <c r="BC54" s="1817">
        <f t="shared" si="10"/>
        <v>46022</v>
      </c>
      <c r="BD54" s="1818">
        <f t="shared" si="11"/>
        <v>167</v>
      </c>
      <c r="BE54" s="1818">
        <f t="shared" si="12"/>
        <v>198</v>
      </c>
      <c r="BG54" s="1777">
        <f t="shared" si="28"/>
        <v>398.87268449317094</v>
      </c>
      <c r="BH54" s="1777">
        <f t="shared" si="30"/>
        <v>410.9600895183745</v>
      </c>
      <c r="BI54" s="1777">
        <f t="shared" si="30"/>
        <v>422.08662476637028</v>
      </c>
      <c r="BJ54" s="1777">
        <f t="shared" si="30"/>
        <v>433.5144052928793</v>
      </c>
      <c r="BK54" s="1777">
        <f t="shared" si="30"/>
        <v>445.25158716048605</v>
      </c>
      <c r="BL54" s="1777">
        <f t="shared" si="30"/>
        <v>457.30654725301753</v>
      </c>
      <c r="BM54" s="1777">
        <f t="shared" si="30"/>
        <v>211.78777089840298</v>
      </c>
      <c r="BO54" s="1739">
        <f t="shared" si="15"/>
        <v>2025</v>
      </c>
      <c r="BP54" s="1742">
        <f>_xlfn.IFNA(INDEX($AR54:$AX54,MATCH(BO54,$AR$2:$AX$2,0))*12/365*[11]核心假设及结论!$C$70*$H54,0)</f>
        <v>321858.16767123283</v>
      </c>
      <c r="BR54" s="1739">
        <f t="shared" si="20"/>
        <v>2028</v>
      </c>
      <c r="BS54" s="1742">
        <f>_xlfn.IFNA(INDEX($AR54:$AX54,MATCH(BR54,$AR$2:$AX$2,0))*12/365*[11]核心假设及结论!$C$70*$H54,0)</f>
        <v>351155.79029895831</v>
      </c>
      <c r="BU54" s="1739">
        <f t="shared" si="21"/>
        <v>2031</v>
      </c>
      <c r="BV54" s="1742">
        <f>_xlfn.IFNA(INDEX($AR54:$AX54,MATCH(BU54,$AR$2:$AX$2,0))*12/365*[11]核心假设及结论!$C$70*$H54,0)</f>
        <v>380457.07347018505</v>
      </c>
      <c r="BX54" s="1739">
        <f t="shared" si="22"/>
        <v>2034</v>
      </c>
      <c r="BY54" s="1742">
        <f>_xlfn.IFNA(INDEX($AR54:$AX54,MATCH(BX54,$AR$2:$AX$2,0))*12/365*[11]核心假设及结论!$C$70*$H54,0)</f>
        <v>0</v>
      </c>
      <c r="CA54" s="1739">
        <f t="shared" si="23"/>
        <v>2037</v>
      </c>
      <c r="CB54" s="1742">
        <f>_xlfn.IFNA(INDEX($AR54:$AX54,MATCH(CA54,$AR$2:$AX$2,0))*12/365*[11]核心假设及结论!$C$70*$H54,0)</f>
        <v>0</v>
      </c>
    </row>
    <row r="55" spans="1:80" ht="30" customHeight="1">
      <c r="A55" s="1763" t="s">
        <v>1662</v>
      </c>
      <c r="B55" s="1757" t="s">
        <v>1789</v>
      </c>
      <c r="C55" s="1764" t="s">
        <v>1790</v>
      </c>
      <c r="D55" s="1764" t="s">
        <v>1685</v>
      </c>
      <c r="E55" s="1764" t="s">
        <v>1718</v>
      </c>
      <c r="F55" s="1765"/>
      <c r="G55" s="1760" t="s">
        <v>1661</v>
      </c>
      <c r="H55" s="1761">
        <v>491</v>
      </c>
      <c r="I55" s="1763" t="s">
        <v>1782</v>
      </c>
      <c r="J55" s="1773">
        <v>45565</v>
      </c>
      <c r="K55" s="1773">
        <v>47025</v>
      </c>
      <c r="L55" s="1764">
        <f t="shared" si="1"/>
        <v>48</v>
      </c>
      <c r="M55" s="1774">
        <f t="shared" si="16"/>
        <v>46645</v>
      </c>
      <c r="N55" s="1775">
        <f t="shared" si="17"/>
        <v>0</v>
      </c>
      <c r="O55" s="1777">
        <v>0</v>
      </c>
      <c r="P55" s="1763">
        <v>0.17</v>
      </c>
      <c r="Q55" s="1783">
        <f t="shared" si="2"/>
        <v>95</v>
      </c>
      <c r="R55" s="1763">
        <v>46645</v>
      </c>
      <c r="S55" s="1777">
        <f t="shared" si="3"/>
        <v>0</v>
      </c>
      <c r="T55" s="1763"/>
      <c r="U55" s="1763"/>
      <c r="V55" s="1785"/>
      <c r="W55" s="1785">
        <f t="shared" si="4"/>
        <v>0</v>
      </c>
      <c r="X55" s="1786" t="e">
        <f t="shared" si="34"/>
        <v>#DIV/0!</v>
      </c>
      <c r="Y55" s="1789">
        <f>VLOOKUP(E55,[11]核心假设及结论!$C$25:$E$45,3,0)</f>
        <v>0.2</v>
      </c>
      <c r="Z55" s="1790">
        <f t="shared" si="33"/>
        <v>328562.46999999997</v>
      </c>
      <c r="AA55" s="1790">
        <f t="shared" si="33"/>
        <v>358430</v>
      </c>
      <c r="AB55" s="1790">
        <f t="shared" si="33"/>
        <v>388297.53</v>
      </c>
      <c r="AC55" s="1790">
        <f t="shared" si="32"/>
        <v>418169.97</v>
      </c>
      <c r="AD55" s="1790">
        <f t="shared" si="32"/>
        <v>0</v>
      </c>
      <c r="AE55" s="1790">
        <f t="shared" si="32"/>
        <v>0</v>
      </c>
      <c r="AF55" s="1790">
        <f t="shared" si="32"/>
        <v>0</v>
      </c>
      <c r="AG55" s="1794">
        <v>669.17</v>
      </c>
      <c r="AH55" s="1794">
        <v>730</v>
      </c>
      <c r="AI55" s="1794">
        <v>790.83</v>
      </c>
      <c r="AJ55" s="1794">
        <v>851.67</v>
      </c>
      <c r="AK55" s="1794">
        <v>0</v>
      </c>
      <c r="AL55" s="1794">
        <v>0</v>
      </c>
      <c r="AM55" s="1794">
        <v>0</v>
      </c>
      <c r="AN55" s="1764"/>
      <c r="AO55" s="1764"/>
      <c r="AP55" s="1808">
        <f t="shared" si="18"/>
        <v>1.25</v>
      </c>
      <c r="AQ55" s="1810">
        <f>IF(AP55&gt;[11]核心假设及结论!$B$59,[11]核心假设及结论!$D$59,IF(AP55&lt;=[11]核心假设及结论!$B$58,[11]核心假设及结论!$D$57,[11]核心假设及结论!$D$58))</f>
        <v>1.0069999999999999</v>
      </c>
      <c r="AR55" s="1809">
        <f t="shared" si="19"/>
        <v>669.17</v>
      </c>
      <c r="AS55" s="1809">
        <f>AH55*(AS$2&lt;=YEAR($K55))+AR55*$AQ55*(AS$2=YEAR($K55)+1)+INDEX([11]核心假设及结论!$E$17:$E$21,MATCH($D55,[11]核心假设及结论!$B$17:$B$21,0))*(AS$2&gt;YEAR($K55)+1)*AR55</f>
        <v>730</v>
      </c>
      <c r="AT55" s="1809">
        <f>AI55*(AT$2&lt;=YEAR($K55))+AS55*$AQ55*(AT$2=YEAR($K55)+1)+INDEX([11]核心假设及结论!$E$17:$E$21,MATCH($D55,[11]核心假设及结论!$B$17:$B$21,0))*(AT$2&gt;YEAR($K55)+1)*AS55</f>
        <v>790.83</v>
      </c>
      <c r="AU55" s="1809">
        <f>AJ55*(AU$2&lt;=YEAR($K55))+AT55*$AQ55*(AU$2=YEAR($K55)+1)+INDEX([11]核心假设及结论!$E$17:$E$21,MATCH($D55,[11]核心假设及结论!$B$17:$B$21,0))*(AU$2&gt;YEAR($K55)+1)*AT55</f>
        <v>851.67</v>
      </c>
      <c r="AV55" s="1811">
        <f>AK55*(AV$2&lt;=YEAR($K55))+AU55*$AQ55*(AV$2=YEAR($K55)+1)+INDEX([11]核心假设及结论!$E$17:$E$21,MATCH($D55,[11]核心假设及结论!$B$17:$B$21,0))*(AV$2&gt;YEAR($K55)+1)*AU55</f>
        <v>857.63168999999982</v>
      </c>
      <c r="AW55" s="1809">
        <f>AL55*(AW$2&lt;=YEAR($K55))+AV55*$AQ55*(AW$2=YEAR($K55)+1)+INDEX([11]核心假设及结论!$E$17:$E$21,MATCH($D55,[11]核心假设及结论!$B$17:$B$21,0))*(AW$2&gt;YEAR($K55)+1)*AV55</f>
        <v>880.85163147842036</v>
      </c>
      <c r="AX55" s="1809">
        <f>AM55*(AX$2&lt;=YEAR($K55))+AW55*$AQ55*(AX$2=YEAR($K55)+1)+INDEX([11]核心假设及结论!$E$17:$E$21,MATCH($D55,[11]核心假设及结论!$B$17:$B$21,0))*(AX$2&gt;YEAR($K55)+1)*AW55</f>
        <v>904.70024105358675</v>
      </c>
      <c r="AZ55" s="1746">
        <f t="shared" si="7"/>
        <v>47025</v>
      </c>
      <c r="BA55" s="1817">
        <f t="shared" si="8"/>
        <v>45658</v>
      </c>
      <c r="BB55" s="1817">
        <f t="shared" si="9"/>
        <v>45929</v>
      </c>
      <c r="BC55" s="1817">
        <f t="shared" si="10"/>
        <v>46022</v>
      </c>
      <c r="BD55" s="1818">
        <f t="shared" si="11"/>
        <v>272</v>
      </c>
      <c r="BE55" s="1818">
        <f t="shared" si="12"/>
        <v>93</v>
      </c>
      <c r="BG55" s="1777">
        <f t="shared" si="28"/>
        <v>403.40706358356164</v>
      </c>
      <c r="BH55" s="1777">
        <f t="shared" si="30"/>
        <v>439.24809958356161</v>
      </c>
      <c r="BI55" s="1777">
        <f t="shared" si="30"/>
        <v>475.09063683287667</v>
      </c>
      <c r="BJ55" s="1777">
        <f t="shared" si="30"/>
        <v>502.69896230291499</v>
      </c>
      <c r="BK55" s="1777">
        <f t="shared" si="30"/>
        <v>508.80248387204085</v>
      </c>
      <c r="BL55" s="1777">
        <f t="shared" si="30"/>
        <v>522.57805214609073</v>
      </c>
      <c r="BM55" s="1777">
        <f t="shared" si="30"/>
        <v>397.2313203063735</v>
      </c>
      <c r="BO55" s="1739">
        <f t="shared" si="15"/>
        <v>2028</v>
      </c>
      <c r="BP55" s="1742">
        <f>_xlfn.IFNA(INDEX($AR55:$AX55,MATCH(BO55,$AR$2:$AX$2,0))*12/365*[11]核心假设及结论!$C$70*$H55,0)</f>
        <v>412441.61424657528</v>
      </c>
      <c r="BR55" s="1739">
        <f t="shared" si="20"/>
        <v>2032</v>
      </c>
      <c r="BS55" s="1742">
        <f>_xlfn.IFNA(INDEX($AR55:$AX55,MATCH(BR55,$AR$2:$AX$2,0))*12/365*[11]核心假设及结论!$C$70*$H55,0)</f>
        <v>0</v>
      </c>
      <c r="BU55" s="1739">
        <f t="shared" si="21"/>
        <v>2036</v>
      </c>
      <c r="BV55" s="1742">
        <f>_xlfn.IFNA(INDEX($AR55:$AX55,MATCH(BU55,$AR$2:$AX$2,0))*12/365*[11]核心假设及结论!$C$70*$H55,0)</f>
        <v>0</v>
      </c>
      <c r="BX55" s="1739">
        <f t="shared" si="22"/>
        <v>2040</v>
      </c>
      <c r="BY55" s="1742">
        <f>_xlfn.IFNA(INDEX($AR55:$AX55,MATCH(BX55,$AR$2:$AX$2,0))*12/365*[11]核心假设及结论!$C$70*$H55,0)</f>
        <v>0</v>
      </c>
      <c r="CA55" s="1739">
        <f t="shared" si="23"/>
        <v>2044</v>
      </c>
      <c r="CB55" s="1742">
        <f>_xlfn.IFNA(INDEX($AR55:$AX55,MATCH(CA55,$AR$2:$AX$2,0))*12/365*[11]核心假设及结论!$C$70*$H55,0)</f>
        <v>0</v>
      </c>
    </row>
    <row r="56" spans="1:80" ht="30" customHeight="1">
      <c r="A56" s="1756" t="s">
        <v>1662</v>
      </c>
      <c r="B56" s="1757" t="s">
        <v>1791</v>
      </c>
      <c r="C56" s="1756" t="s">
        <v>1792</v>
      </c>
      <c r="D56" s="1756" t="s">
        <v>1676</v>
      </c>
      <c r="E56" s="1758" t="s">
        <v>1758</v>
      </c>
      <c r="F56" s="1759"/>
      <c r="G56" s="1760" t="s">
        <v>1661</v>
      </c>
      <c r="H56" s="1761">
        <v>470</v>
      </c>
      <c r="I56" s="1761" t="s">
        <v>1782</v>
      </c>
      <c r="J56" s="1773">
        <v>44436</v>
      </c>
      <c r="K56" s="1773">
        <v>46261</v>
      </c>
      <c r="L56" s="1764">
        <f t="shared" si="1"/>
        <v>60</v>
      </c>
      <c r="M56" s="1774">
        <f t="shared" si="16"/>
        <v>176494.03575000001</v>
      </c>
      <c r="N56" s="1775">
        <f t="shared" si="17"/>
        <v>262.78000000000003</v>
      </c>
      <c r="O56" s="1760">
        <v>123506.6</v>
      </c>
      <c r="P56" s="1776">
        <v>0.1</v>
      </c>
      <c r="Q56" s="1783">
        <f t="shared" si="2"/>
        <v>95</v>
      </c>
      <c r="R56" s="1784">
        <v>44650</v>
      </c>
      <c r="S56" s="1777">
        <f t="shared" si="3"/>
        <v>17.739225000000001</v>
      </c>
      <c r="T56" s="1784">
        <v>8337.4357500000006</v>
      </c>
      <c r="U56" s="1777"/>
      <c r="V56" s="1785">
        <v>864110.45</v>
      </c>
      <c r="W56" s="1785">
        <f t="shared" si="4"/>
        <v>1838.5328723404255</v>
      </c>
      <c r="X56" s="1786">
        <f t="shared" si="34"/>
        <v>0.19460081752280628</v>
      </c>
      <c r="Y56" s="1789">
        <f>VLOOKUP(E56,[11]核心假设及结论!$C$25:$E$45,3,0)</f>
        <v>0.2</v>
      </c>
      <c r="Z56" s="1790">
        <f t="shared" si="33"/>
        <v>133367.19999999998</v>
      </c>
      <c r="AA56" s="1790">
        <f t="shared" si="33"/>
        <v>144102</v>
      </c>
      <c r="AB56" s="1790">
        <f t="shared" si="33"/>
        <v>0</v>
      </c>
      <c r="AC56" s="1790">
        <f t="shared" si="32"/>
        <v>0</v>
      </c>
      <c r="AD56" s="1790">
        <f t="shared" si="32"/>
        <v>0</v>
      </c>
      <c r="AE56" s="1790">
        <f t="shared" si="32"/>
        <v>0</v>
      </c>
      <c r="AF56" s="1790">
        <f t="shared" si="32"/>
        <v>0</v>
      </c>
      <c r="AG56" s="1794">
        <v>283.76</v>
      </c>
      <c r="AH56" s="1794">
        <v>306.60000000000002</v>
      </c>
      <c r="AI56" s="1794">
        <v>0</v>
      </c>
      <c r="AJ56" s="1794">
        <v>0</v>
      </c>
      <c r="AK56" s="1794">
        <v>0</v>
      </c>
      <c r="AL56" s="1794">
        <v>0</v>
      </c>
      <c r="AM56" s="1794">
        <v>0</v>
      </c>
      <c r="AN56" s="1797"/>
      <c r="AO56" s="1797"/>
      <c r="AP56" s="1808">
        <f t="shared" si="18"/>
        <v>0.97300408761403134</v>
      </c>
      <c r="AQ56" s="1808">
        <f>IF(AP56&gt;[11]核心假设及结论!$B$65,[11]核心假设及结论!$D$65,IF(AP56&lt;=[11]核心假设及结论!$B$64,[11]核心假设及结论!$D$63,[11]核心假设及结论!$D$64))</f>
        <v>1</v>
      </c>
      <c r="AR56" s="1809">
        <f t="shared" si="19"/>
        <v>283.76</v>
      </c>
      <c r="AS56" s="1809">
        <f>AH56*(AS$2&lt;=YEAR($K56))+AR56*$AQ56*(AS$2=YEAR($K56)+1)+INDEX([11]核心假设及结论!$E$17:$E$21,MATCH($D56,[11]核心假设及结论!$B$17:$B$21,0))*(AS$2&gt;YEAR($K56)+1)*AR56</f>
        <v>306.60000000000002</v>
      </c>
      <c r="AT56" s="1811">
        <f>AI56*(AT$2&lt;=YEAR($K56))+AS56*$AQ56*(AT$2=YEAR($K56)+1)+INDEX([11]核心假设及结论!$E$17:$E$21,MATCH($D56,[11]核心假设及结论!$B$17:$B$21,0))*(AT$2&gt;YEAR($K56)+1)*AS56</f>
        <v>306.60000000000002</v>
      </c>
      <c r="AU56" s="1809">
        <f>AJ56*(AU$2&lt;=YEAR($K56))+AT56*$AQ56*(AU$2=YEAR($K56)+1)+INDEX([11]核心假设及结论!$E$17:$E$21,MATCH($D56,[11]核心假设及结论!$B$17:$B$21,0))*(AU$2&gt;YEAR($K56)+1)*AT56</f>
        <v>317.20072182673351</v>
      </c>
      <c r="AV56" s="1809">
        <f>AK56*(AV$2&lt;=YEAR($K56))+AU56*$AQ56*(AV$2=YEAR($K56)+1)+INDEX([11]核心假设及结论!$E$17:$E$21,MATCH($D56,[11]核心假设及结论!$B$17:$B$21,0))*(AV$2&gt;YEAR($K56)+1)*AU56</f>
        <v>328.16796453816295</v>
      </c>
      <c r="AW56" s="1809">
        <f>AL56*(AW$2&lt;=YEAR($K56))+AV56*$AQ56*(AW$2=YEAR($K56)+1)+INDEX([11]核心假设及结论!$E$17:$E$21,MATCH($D56,[11]核心假设及结论!$B$17:$B$21,0))*(AW$2&gt;YEAR($K56)+1)*AV56</f>
        <v>339.51440062594639</v>
      </c>
      <c r="AX56" s="1809">
        <f>AM56*(AX$2&lt;=YEAR($K56))+AW56*$AQ56*(AX$2=YEAR($K56)+1)+INDEX([11]核心假设及结论!$E$17:$E$21,MATCH($D56,[11]核心假设及结论!$B$17:$B$21,0))*(AX$2&gt;YEAR($K56)+1)*AW56</f>
        <v>351.25314073424971</v>
      </c>
      <c r="AZ56" s="1746">
        <f t="shared" si="7"/>
        <v>46261</v>
      </c>
      <c r="BA56" s="1817">
        <f t="shared" si="8"/>
        <v>45658</v>
      </c>
      <c r="BB56" s="1817">
        <f t="shared" si="9"/>
        <v>45896</v>
      </c>
      <c r="BC56" s="1817">
        <f t="shared" si="10"/>
        <v>46022</v>
      </c>
      <c r="BD56" s="1818">
        <f t="shared" si="11"/>
        <v>239</v>
      </c>
      <c r="BE56" s="1818">
        <f t="shared" si="12"/>
        <v>126</v>
      </c>
      <c r="BG56" s="1777">
        <f t="shared" si="28"/>
        <v>164.48749413698633</v>
      </c>
      <c r="BH56" s="1777">
        <f t="shared" si="30"/>
        <v>172.92240000000004</v>
      </c>
      <c r="BI56" s="1777">
        <f t="shared" si="30"/>
        <v>174.98631697505479</v>
      </c>
      <c r="BJ56" s="1777">
        <f t="shared" si="30"/>
        <v>181.03648419533255</v>
      </c>
      <c r="BK56" s="1777">
        <f t="shared" si="30"/>
        <v>187.29583647662596</v>
      </c>
      <c r="BL56" s="1777">
        <f t="shared" si="30"/>
        <v>193.77160641072271</v>
      </c>
      <c r="BM56" s="1777">
        <f t="shared" si="30"/>
        <v>129.71922837921622</v>
      </c>
      <c r="BO56" s="1739">
        <f t="shared" si="15"/>
        <v>2026</v>
      </c>
      <c r="BP56" s="1742">
        <f>_xlfn.IFNA(INDEX($AR56:$AX56,MATCH(BO56,$AR$2:$AX$2,0))*12/365*[11]核心假设及结论!$C$70*$H56,0)</f>
        <v>142128</v>
      </c>
      <c r="BR56" s="1739">
        <f t="shared" si="20"/>
        <v>2031</v>
      </c>
      <c r="BS56" s="1742">
        <f>_xlfn.IFNA(INDEX($AR56:$AX56,MATCH(BR56,$AR$2:$AX$2,0))*12/365*[11]核心假设及结论!$C$70*$H56,0)</f>
        <v>162827.48332119195</v>
      </c>
      <c r="BU56" s="1739">
        <f t="shared" si="21"/>
        <v>2036</v>
      </c>
      <c r="BV56" s="1742">
        <f>_xlfn.IFNA(INDEX($AR56:$AX56,MATCH(BU56,$AR$2:$AX$2,0))*12/365*[11]核心假设及结论!$C$70*$H56,0)</f>
        <v>0</v>
      </c>
      <c r="BX56" s="1739">
        <f t="shared" si="22"/>
        <v>2041</v>
      </c>
      <c r="BY56" s="1742">
        <f>_xlfn.IFNA(INDEX($AR56:$AX56,MATCH(BX56,$AR$2:$AX$2,0))*12/365*[11]核心假设及结论!$C$70*$H56,0)</f>
        <v>0</v>
      </c>
      <c r="CA56" s="1739">
        <f t="shared" si="23"/>
        <v>2046</v>
      </c>
      <c r="CB56" s="1742">
        <f>_xlfn.IFNA(INDEX($AR56:$AX56,MATCH(CA56,$AR$2:$AX$2,0))*12/365*[11]核心假设及结论!$C$70*$H56,0)</f>
        <v>0</v>
      </c>
    </row>
    <row r="57" spans="1:80" ht="30" customHeight="1">
      <c r="A57" s="1756" t="s">
        <v>1662</v>
      </c>
      <c r="B57" s="1757" t="s">
        <v>1793</v>
      </c>
      <c r="C57" s="1756" t="s">
        <v>1794</v>
      </c>
      <c r="D57" s="1756" t="s">
        <v>1685</v>
      </c>
      <c r="E57" s="1758" t="s">
        <v>1718</v>
      </c>
      <c r="F57" s="1759"/>
      <c r="G57" s="1760" t="s">
        <v>1661</v>
      </c>
      <c r="H57" s="1761">
        <v>456</v>
      </c>
      <c r="I57" s="1761" t="s">
        <v>1782</v>
      </c>
      <c r="J57" s="1773">
        <v>45170</v>
      </c>
      <c r="K57" s="1773">
        <v>46265</v>
      </c>
      <c r="L57" s="1764">
        <f t="shared" si="1"/>
        <v>36</v>
      </c>
      <c r="M57" s="1774">
        <f t="shared" si="16"/>
        <v>354389.52</v>
      </c>
      <c r="N57" s="1775">
        <f t="shared" si="17"/>
        <v>669.17000000000007</v>
      </c>
      <c r="O57" s="1760">
        <v>305141.52</v>
      </c>
      <c r="P57" s="1776">
        <v>0.17</v>
      </c>
      <c r="Q57" s="1783">
        <f t="shared" si="2"/>
        <v>90</v>
      </c>
      <c r="R57" s="1784">
        <v>41040</v>
      </c>
      <c r="S57" s="1777">
        <f t="shared" si="3"/>
        <v>18</v>
      </c>
      <c r="T57" s="1784">
        <v>8208</v>
      </c>
      <c r="U57" s="1777"/>
      <c r="V57" s="1785">
        <v>3151226.7272727299</v>
      </c>
      <c r="W57" s="1785">
        <f t="shared" si="4"/>
        <v>6910.5849282296704</v>
      </c>
      <c r="X57" s="1786">
        <f t="shared" si="34"/>
        <v>0.10985611317774246</v>
      </c>
      <c r="Y57" s="1789">
        <f>VLOOKUP(E57,[11]核心假设及结论!$C$25:$E$45,3,0)</f>
        <v>0.2</v>
      </c>
      <c r="Z57" s="1790">
        <f t="shared" si="33"/>
        <v>332880</v>
      </c>
      <c r="AA57" s="1790">
        <f t="shared" si="33"/>
        <v>360618.48000000004</v>
      </c>
      <c r="AB57" s="1790">
        <f t="shared" si="33"/>
        <v>0</v>
      </c>
      <c r="AC57" s="1790">
        <f t="shared" si="32"/>
        <v>0</v>
      </c>
      <c r="AD57" s="1790">
        <f t="shared" si="32"/>
        <v>0</v>
      </c>
      <c r="AE57" s="1790">
        <f t="shared" si="32"/>
        <v>0</v>
      </c>
      <c r="AF57" s="1790">
        <f t="shared" si="32"/>
        <v>0</v>
      </c>
      <c r="AG57" s="1794">
        <v>730</v>
      </c>
      <c r="AH57" s="1794">
        <v>790.83</v>
      </c>
      <c r="AI57" s="1794">
        <v>0</v>
      </c>
      <c r="AJ57" s="1794">
        <v>0</v>
      </c>
      <c r="AK57" s="1794">
        <v>0</v>
      </c>
      <c r="AL57" s="1794">
        <v>0</v>
      </c>
      <c r="AM57" s="1794">
        <v>0</v>
      </c>
      <c r="AN57" s="1797"/>
      <c r="AO57" s="1797"/>
      <c r="AP57" s="1808">
        <f t="shared" si="18"/>
        <v>0.54928056588871232</v>
      </c>
      <c r="AQ57" s="1810">
        <f>IF(AP57&gt;[11]核心假设及结论!$B$59,[11]核心假设及结论!$D$59,IF(AP57&lt;=[11]核心假设及结论!$B$58,[11]核心假设及结论!$D$57,[11]核心假设及结论!$D$58))</f>
        <v>1.0342640124442799</v>
      </c>
      <c r="AR57" s="1809">
        <f t="shared" si="19"/>
        <v>730</v>
      </c>
      <c r="AS57" s="1809">
        <f>AH57*(AS$2&lt;=YEAR($K57))+AR57*$AQ57*(AS$2=YEAR($K57)+1)+INDEX([11]核心假设及结论!$E$17:$E$21,MATCH($D57,[11]核心假设及结论!$B$17:$B$21,0))*(AS$2&gt;YEAR($K57)+1)*AR57</f>
        <v>790.83</v>
      </c>
      <c r="AT57" s="1811">
        <f>AI57*(AT$2&lt;=YEAR($K57))+AS57*$AQ57*(AT$2=YEAR($K57)+1)+INDEX([11]核心假设及结论!$E$17:$E$21,MATCH($D57,[11]核心假设及结论!$B$17:$B$21,0))*(AT$2&gt;YEAR($K57)+1)*AS57</f>
        <v>817.92700896130987</v>
      </c>
      <c r="AU57" s="1809">
        <f>AJ57*(AU$2&lt;=YEAR($K57))+AT57*$AQ57*(AU$2=YEAR($K57)+1)+INDEX([11]核心假设及结论!$E$17:$E$21,MATCH($D57,[11]核心假设及结论!$B$17:$B$21,0))*(AU$2&gt;YEAR($K57)+1)*AT57</f>
        <v>840.07196641000337</v>
      </c>
      <c r="AV57" s="1809">
        <f>AK57*(AV$2&lt;=YEAR($K57))+AU57*$AQ57*(AV$2=YEAR($K57)+1)+INDEX([11]核心假设及结论!$E$17:$E$21,MATCH($D57,[11]核心假设及结论!$B$17:$B$21,0))*(AV$2&gt;YEAR($K57)+1)*AU57</f>
        <v>862.816487309997</v>
      </c>
      <c r="AW57" s="1809">
        <f>AL57*(AW$2&lt;=YEAR($K57))+AV57*$AQ57*(AW$2=YEAR($K57)+1)+INDEX([11]核心假设及结论!$E$17:$E$21,MATCH($D57,[11]核心假设及结论!$B$17:$B$21,0))*(AW$2&gt;YEAR($K57)+1)*AV57</f>
        <v>886.17680453656135</v>
      </c>
      <c r="AX57" s="1809">
        <f>AM57*(AX$2&lt;=YEAR($K57))+AW57*$AQ57*(AX$2=YEAR($K57)+1)+INDEX([11]核心假设及结论!$E$17:$E$21,MATCH($D57,[11]核心假设及结论!$B$17:$B$21,0))*(AX$2&gt;YEAR($K57)+1)*AW57</f>
        <v>910.16959046180227</v>
      </c>
      <c r="AZ57" s="1746">
        <f t="shared" si="7"/>
        <v>46265</v>
      </c>
      <c r="BA57" s="1817">
        <f t="shared" si="8"/>
        <v>45658</v>
      </c>
      <c r="BB57" s="1817">
        <f t="shared" si="9"/>
        <v>45900</v>
      </c>
      <c r="BC57" s="1817">
        <f t="shared" si="10"/>
        <v>46022</v>
      </c>
      <c r="BD57" s="1818">
        <f t="shared" si="11"/>
        <v>243</v>
      </c>
      <c r="BE57" s="1818">
        <f t="shared" si="12"/>
        <v>122</v>
      </c>
      <c r="BG57" s="1777">
        <f t="shared" si="28"/>
        <v>410.58179033424659</v>
      </c>
      <c r="BH57" s="1777">
        <f t="shared" si="30"/>
        <v>437.69821151518551</v>
      </c>
      <c r="BI57" s="1777">
        <f t="shared" si="30"/>
        <v>451.61996595388314</v>
      </c>
      <c r="BJ57" s="1777">
        <f t="shared" si="30"/>
        <v>463.84734666078714</v>
      </c>
      <c r="BK57" s="1777">
        <f t="shared" si="30"/>
        <v>476.40577747668215</v>
      </c>
      <c r="BL57" s="1777">
        <f t="shared" si="30"/>
        <v>489.30422141476703</v>
      </c>
      <c r="BM57" s="1777">
        <f t="shared" si="30"/>
        <v>331.57503116676617</v>
      </c>
      <c r="BO57" s="1739">
        <f t="shared" si="15"/>
        <v>2026</v>
      </c>
      <c r="BP57" s="1742">
        <f>_xlfn.IFNA(INDEX($AR57:$AX57,MATCH(BO57,$AR$2:$AX$2,0))*12/365*[11]核心假设及结论!$C$70*$H57,0)</f>
        <v>355678.50082191784</v>
      </c>
      <c r="BR57" s="1739">
        <f t="shared" si="20"/>
        <v>2029</v>
      </c>
      <c r="BS57" s="1742">
        <f>_xlfn.IFNA(INDEX($AR57:$AX57,MATCH(BR57,$AR$2:$AX$2,0))*12/365*[11]核心假设及结论!$C$70*$H57,0)</f>
        <v>388054.67001865513</v>
      </c>
      <c r="BU57" s="1739">
        <f t="shared" si="21"/>
        <v>2032</v>
      </c>
      <c r="BV57" s="1742">
        <f>_xlfn.IFNA(INDEX($AR57:$AX57,MATCH(BU57,$AR$2:$AX$2,0))*12/365*[11]核心假设及结论!$C$70*$H57,0)</f>
        <v>0</v>
      </c>
      <c r="BX57" s="1739">
        <f t="shared" si="22"/>
        <v>2035</v>
      </c>
      <c r="BY57" s="1742">
        <f>_xlfn.IFNA(INDEX($AR57:$AX57,MATCH(BX57,$AR$2:$AX$2,0))*12/365*[11]核心假设及结论!$C$70*$H57,0)</f>
        <v>0</v>
      </c>
      <c r="CA57" s="1739">
        <f t="shared" si="23"/>
        <v>2038</v>
      </c>
      <c r="CB57" s="1742">
        <f>_xlfn.IFNA(INDEX($AR57:$AX57,MATCH(CA57,$AR$2:$AX$2,0))*12/365*[11]核心假设及结论!$C$70*$H57,0)</f>
        <v>0</v>
      </c>
    </row>
    <row r="58" spans="1:80" ht="30" customHeight="1">
      <c r="A58" s="1756" t="s">
        <v>1687</v>
      </c>
      <c r="B58" s="1757" t="s">
        <v>1795</v>
      </c>
      <c r="C58" s="1756" t="s">
        <v>1796</v>
      </c>
      <c r="D58" s="1756" t="s">
        <v>1698</v>
      </c>
      <c r="E58" s="1758" t="s">
        <v>1698</v>
      </c>
      <c r="F58" s="1759"/>
      <c r="G58" s="1760" t="s">
        <v>1661</v>
      </c>
      <c r="H58" s="1761">
        <v>450</v>
      </c>
      <c r="I58" s="1761" t="s">
        <v>1782</v>
      </c>
      <c r="J58" s="1773">
        <v>45123</v>
      </c>
      <c r="K58" s="1773">
        <v>45763</v>
      </c>
      <c r="L58" s="1764">
        <f t="shared" si="1"/>
        <v>22</v>
      </c>
      <c r="M58" s="1774">
        <f t="shared" si="16"/>
        <v>228775.5</v>
      </c>
      <c r="N58" s="1775">
        <f t="shared" si="17"/>
        <v>395.39</v>
      </c>
      <c r="O58" s="1760">
        <v>177925.5</v>
      </c>
      <c r="P58" s="1776">
        <v>0.08</v>
      </c>
      <c r="Q58" s="1783">
        <f t="shared" si="2"/>
        <v>95</v>
      </c>
      <c r="R58" s="1784">
        <v>42750</v>
      </c>
      <c r="S58" s="1777">
        <f t="shared" si="3"/>
        <v>18</v>
      </c>
      <c r="T58" s="1777">
        <v>8100</v>
      </c>
      <c r="U58" s="1777"/>
      <c r="V58" s="1785">
        <v>1234177.90666667</v>
      </c>
      <c r="W58" s="1785">
        <f t="shared" si="4"/>
        <v>2742.617570370378</v>
      </c>
      <c r="X58" s="1786">
        <f t="shared" si="34"/>
        <v>0.17880363828259699</v>
      </c>
      <c r="Y58" s="1789">
        <f>VLOOKUP(E58,[11]核心假设及结论!$C$25:$E$45,3,0)</f>
        <v>0.2</v>
      </c>
      <c r="Z58" s="1790">
        <f t="shared" si="33"/>
        <v>177925.5</v>
      </c>
      <c r="AA58" s="1790">
        <f t="shared" si="33"/>
        <v>0</v>
      </c>
      <c r="AB58" s="1790">
        <f t="shared" si="33"/>
        <v>0</v>
      </c>
      <c r="AC58" s="1790">
        <f t="shared" si="32"/>
        <v>0</v>
      </c>
      <c r="AD58" s="1790">
        <f t="shared" si="32"/>
        <v>0</v>
      </c>
      <c r="AE58" s="1790">
        <f t="shared" si="32"/>
        <v>0</v>
      </c>
      <c r="AF58" s="1790">
        <f t="shared" si="32"/>
        <v>0</v>
      </c>
      <c r="AG58" s="1794">
        <v>395.39</v>
      </c>
      <c r="AH58" s="1794">
        <v>0</v>
      </c>
      <c r="AI58" s="1794">
        <v>0</v>
      </c>
      <c r="AJ58" s="1794">
        <v>0</v>
      </c>
      <c r="AK58" s="1794">
        <v>0</v>
      </c>
      <c r="AL58" s="1794">
        <v>0</v>
      </c>
      <c r="AM58" s="1794">
        <v>0</v>
      </c>
      <c r="AN58" s="1795"/>
      <c r="AO58" s="1795"/>
      <c r="AP58" s="1808">
        <f t="shared" si="18"/>
        <v>0.89401819141298489</v>
      </c>
      <c r="AQ58" s="1812">
        <f>IF(AP58&gt;[11]核心假设及结论!$B$62,[11]核心假设及结论!$D$62,IF(AP58&lt;=[11]核心假设及结论!$B$61,[11]核心假设及结论!$D$60,[11]核心假设及结论!$D$61))</f>
        <v>1.0811176582269599</v>
      </c>
      <c r="AR58" s="1809">
        <f t="shared" si="19"/>
        <v>395.39</v>
      </c>
      <c r="AS58" s="1811">
        <f>AH58*(AS$2&lt;=YEAR($K58))+AR58*$AQ58*(AS$2=YEAR($K58)+1)+INDEX([11]核心假设及结论!$E$17:$E$21,MATCH($D58,[11]核心假设及结论!$B$17:$B$21,0))*(AS$2&gt;YEAR($K58)+1)*AR58</f>
        <v>427.4631108863577</v>
      </c>
      <c r="AT58" s="1809">
        <f>AI58*(AT$2&lt;=YEAR($K58))+AS58*$AQ58*(AT$2=YEAR($K58)+1)+INDEX([11]核心假设及结论!$E$17:$E$21,MATCH($D58,[11]核心假设及结论!$B$17:$B$21,0))*(AT$2&gt;YEAR($K58)+1)*AS58</f>
        <v>440.55092223057306</v>
      </c>
      <c r="AU58" s="1809">
        <f>AJ58*(AU$2&lt;=YEAR($K58))+AT58*$AQ58*(AU$2=YEAR($K58)+1)+INDEX([11]核心假设及结论!$E$17:$E$21,MATCH($D58,[11]核心假设及结论!$B$17:$B$21,0))*(AU$2&gt;YEAR($K58)+1)*AT58</f>
        <v>454.0394484000434</v>
      </c>
      <c r="AV58" s="1809">
        <f>AK58*(AV$2&lt;=YEAR($K58))+AU58*$AQ58*(AV$2=YEAR($K58)+1)+INDEX([11]核心假设及结论!$E$17:$E$21,MATCH($D58,[11]核心假设及结论!$B$17:$B$21,0))*(AV$2&gt;YEAR($K58)+1)*AU58</f>
        <v>467.94095824300894</v>
      </c>
      <c r="AW58" s="1809">
        <f>AL58*(AW$2&lt;=YEAR($K58))+AV58*$AQ58*(AW$2=YEAR($K58)+1)+INDEX([11]核心假设及结论!$E$17:$E$21,MATCH($D58,[11]核心假设及结论!$B$17:$B$21,0))*(AW$2&gt;YEAR($K58)+1)*AV58</f>
        <v>482.26809624800984</v>
      </c>
      <c r="AX58" s="1809">
        <f>AM58*(AX$2&lt;=YEAR($K58))+AW58*$AQ58*(AX$2=YEAR($K58)+1)+INDEX([11]核心假设及结论!$E$17:$E$21,MATCH($D58,[11]核心假设及结论!$B$17:$B$21,0))*(AX$2&gt;YEAR($K58)+1)*AW58</f>
        <v>497.03389404501758</v>
      </c>
      <c r="AZ58" s="1746">
        <f t="shared" si="7"/>
        <v>45763</v>
      </c>
      <c r="BA58" s="1817">
        <f t="shared" si="8"/>
        <v>45658</v>
      </c>
      <c r="BB58" s="1817">
        <f t="shared" si="9"/>
        <v>45763</v>
      </c>
      <c r="BC58" s="1817">
        <f t="shared" si="10"/>
        <v>46022</v>
      </c>
      <c r="BD58" s="1818">
        <f t="shared" si="11"/>
        <v>106</v>
      </c>
      <c r="BE58" s="1818">
        <f t="shared" si="12"/>
        <v>259</v>
      </c>
      <c r="BG58" s="1777">
        <f t="shared" si="28"/>
        <v>225.80031311935889</v>
      </c>
      <c r="BH58" s="1777">
        <f t="shared" si="30"/>
        <v>235.84504232959742</v>
      </c>
      <c r="BI58" s="1777">
        <f t="shared" si="30"/>
        <v>243.06600559372072</v>
      </c>
      <c r="BJ58" s="1777">
        <f t="shared" si="30"/>
        <v>250.50805601722115</v>
      </c>
      <c r="BK58" s="1777">
        <f t="shared" si="30"/>
        <v>258.177962715278</v>
      </c>
      <c r="BL58" s="1777">
        <f t="shared" si="30"/>
        <v>266.08270205581442</v>
      </c>
      <c r="BM58" s="1777">
        <f t="shared" si="30"/>
        <v>77.94580847982688</v>
      </c>
      <c r="BO58" s="1739">
        <f t="shared" si="15"/>
        <v>2025</v>
      </c>
      <c r="BP58" s="1742">
        <f>_xlfn.IFNA(INDEX($AR58:$AX58,MATCH(BO58,$AR$2:$AX$2,0))*12/365*[11]核心假设及结论!$C$70*$H58,0)</f>
        <v>175488.16438356164</v>
      </c>
      <c r="BR58" s="1739">
        <f t="shared" si="20"/>
        <v>2027</v>
      </c>
      <c r="BS58" s="1742">
        <f>_xlfn.IFNA(INDEX($AR58:$AX58,MATCH(BR58,$AR$2:$AX$2,0))*12/365*[11]核心假设及结论!$C$70*$H58,0)</f>
        <v>195532.19014069269</v>
      </c>
      <c r="BU58" s="1739">
        <f t="shared" si="21"/>
        <v>2029</v>
      </c>
      <c r="BV58" s="1742">
        <f>_xlfn.IFNA(INDEX($AR58:$AX58,MATCH(BU58,$AR$2:$AX$2,0))*12/365*[11]核心假设及结论!$C$70*$H58,0)</f>
        <v>207688.86365854097</v>
      </c>
      <c r="BX58" s="1739">
        <f t="shared" si="22"/>
        <v>2031</v>
      </c>
      <c r="BY58" s="1742">
        <f>_xlfn.IFNA(INDEX($AR58:$AX58,MATCH(BX58,$AR$2:$AX$2,0))*12/365*[11]核心假设及结论!$C$70*$H58,0)</f>
        <v>220601.34475422697</v>
      </c>
      <c r="CA58" s="1739">
        <f t="shared" si="23"/>
        <v>2033</v>
      </c>
      <c r="CB58" s="1742">
        <f>_xlfn.IFNA(INDEX($AR58:$AX58,MATCH(CA58,$AR$2:$AX$2,0))*12/365*[11]核心假设及结论!$C$70*$H58,0)</f>
        <v>0</v>
      </c>
    </row>
    <row r="59" spans="1:80" ht="30" customHeight="1">
      <c r="A59" s="1756" t="s">
        <v>1687</v>
      </c>
      <c r="B59" s="1757" t="s">
        <v>1797</v>
      </c>
      <c r="C59" s="1756" t="s">
        <v>1798</v>
      </c>
      <c r="D59" s="1756" t="s">
        <v>1685</v>
      </c>
      <c r="E59" s="1758" t="s">
        <v>1692</v>
      </c>
      <c r="F59" s="1759"/>
      <c r="G59" s="1760" t="s">
        <v>1661</v>
      </c>
      <c r="H59" s="1761">
        <v>448</v>
      </c>
      <c r="I59" s="1761" t="s">
        <v>1782</v>
      </c>
      <c r="J59" s="1773">
        <v>45473</v>
      </c>
      <c r="K59" s="1773">
        <v>45837</v>
      </c>
      <c r="L59" s="1764">
        <f t="shared" si="1"/>
        <v>12</v>
      </c>
      <c r="M59" s="1774">
        <f t="shared" si="16"/>
        <v>263468.79999999999</v>
      </c>
      <c r="N59" s="1775">
        <f t="shared" si="17"/>
        <v>475.09999999999997</v>
      </c>
      <c r="O59" s="1760">
        <v>212844.79999999999</v>
      </c>
      <c r="P59" s="1776">
        <v>0.17</v>
      </c>
      <c r="Q59" s="1783">
        <f t="shared" si="2"/>
        <v>95</v>
      </c>
      <c r="R59" s="1784">
        <v>42560</v>
      </c>
      <c r="S59" s="1777">
        <f t="shared" si="3"/>
        <v>18</v>
      </c>
      <c r="T59" s="1784">
        <v>8064</v>
      </c>
      <c r="U59" s="1777"/>
      <c r="V59" s="1785">
        <v>1001546.33333333</v>
      </c>
      <c r="W59" s="1785">
        <f t="shared" si="4"/>
        <v>2235.5944940476115</v>
      </c>
      <c r="X59" s="1786">
        <f t="shared" si="34"/>
        <v>0.25501046881172829</v>
      </c>
      <c r="Y59" s="1789">
        <f>VLOOKUP(E59,[11]核心假设及结论!$C$25:$E$45,3,0)</f>
        <v>0.2</v>
      </c>
      <c r="Z59" s="1790">
        <f t="shared" si="33"/>
        <v>212844.80000000002</v>
      </c>
      <c r="AA59" s="1790">
        <f t="shared" si="33"/>
        <v>0</v>
      </c>
      <c r="AB59" s="1790">
        <f t="shared" si="33"/>
        <v>0</v>
      </c>
      <c r="AC59" s="1790">
        <f t="shared" si="32"/>
        <v>0</v>
      </c>
      <c r="AD59" s="1790">
        <f t="shared" si="32"/>
        <v>0</v>
      </c>
      <c r="AE59" s="1790">
        <f t="shared" si="32"/>
        <v>0</v>
      </c>
      <c r="AF59" s="1790">
        <f t="shared" si="32"/>
        <v>0</v>
      </c>
      <c r="AG59" s="1794">
        <v>475.1</v>
      </c>
      <c r="AH59" s="1794">
        <v>0</v>
      </c>
      <c r="AI59" s="1794">
        <v>0</v>
      </c>
      <c r="AJ59" s="1794">
        <v>0</v>
      </c>
      <c r="AK59" s="1794">
        <v>0</v>
      </c>
      <c r="AL59" s="1794">
        <v>0</v>
      </c>
      <c r="AM59" s="1794">
        <v>0</v>
      </c>
      <c r="AN59" s="1797"/>
      <c r="AO59" s="1797"/>
      <c r="AP59" s="1808">
        <f t="shared" si="18"/>
        <v>1.2750523440586414</v>
      </c>
      <c r="AQ59" s="1810">
        <f>IF(AP59&gt;[11]核心假设及结论!$B$59,[11]核心假设及结论!$D$59,IF(AP59&lt;=[11]核心假设及结论!$B$58,[11]核心假设及结论!$D$57,[11]核心假设及结论!$D$58))</f>
        <v>1.0069999999999999</v>
      </c>
      <c r="AR59" s="1809">
        <f t="shared" si="19"/>
        <v>475.1</v>
      </c>
      <c r="AS59" s="1811">
        <f>AH59*(AS$2&lt;=YEAR($K59))+AR59*$AQ59*(AS$2=YEAR($K59)+1)+INDEX([11]核心假设及结论!$E$17:$E$21,MATCH($D59,[11]核心假设及结论!$B$17:$B$21,0))*(AS$2&gt;YEAR($K59)+1)*AR59</f>
        <v>478.42569999999995</v>
      </c>
      <c r="AT59" s="1809">
        <f>AI59*(AT$2&lt;=YEAR($K59))+AS59*$AQ59*(AT$2=YEAR($K59)+1)+INDEX([11]核心假设及结论!$E$17:$E$21,MATCH($D59,[11]核心假设及结论!$B$17:$B$21,0))*(AT$2&gt;YEAR($K59)+1)*AS59</f>
        <v>491.37883231227767</v>
      </c>
      <c r="AU59" s="1809">
        <f>AJ59*(AU$2&lt;=YEAR($K59))+AT59*$AQ59*(AU$2=YEAR($K59)+1)+INDEX([11]核心假设及结论!$E$17:$E$21,MATCH($D59,[11]核心假设及结论!$B$17:$B$21,0))*(AU$2&gt;YEAR($K59)+1)*AT59</f>
        <v>504.68266408885961</v>
      </c>
      <c r="AV59" s="1809">
        <f>AK59*(AV$2&lt;=YEAR($K59))+AU59*$AQ59*(AV$2=YEAR($K59)+1)+INDEX([11]核心假设及结论!$E$17:$E$21,MATCH($D59,[11]核心假设及结论!$B$17:$B$21,0))*(AV$2&gt;YEAR($K59)+1)*AU59</f>
        <v>518.34669033923831</v>
      </c>
      <c r="AW59" s="1809">
        <f>AL59*(AW$2&lt;=YEAR($K59))+AV59*$AQ59*(AW$2=YEAR($K59)+1)+INDEX([11]核心假设及结论!$E$17:$E$21,MATCH($D59,[11]核心假设及结论!$B$17:$B$21,0))*(AW$2&gt;YEAR($K59)+1)*AV59</f>
        <v>532.38066314545551</v>
      </c>
      <c r="AX59" s="1809">
        <f>AM59*(AX$2&lt;=YEAR($K59))+AW59*$AQ59*(AX$2=YEAR($K59)+1)+INDEX([11]核心假设及结论!$E$17:$E$21,MATCH($D59,[11]核心假设及结论!$B$17:$B$21,0))*(AX$2&gt;YEAR($K59)+1)*AW59</f>
        <v>546.79459862221029</v>
      </c>
      <c r="AZ59" s="1746">
        <f t="shared" si="7"/>
        <v>45837</v>
      </c>
      <c r="BA59" s="1817">
        <f t="shared" si="8"/>
        <v>45658</v>
      </c>
      <c r="BB59" s="1817">
        <f t="shared" si="9"/>
        <v>45837</v>
      </c>
      <c r="BC59" s="1817">
        <f t="shared" si="10"/>
        <v>46022</v>
      </c>
      <c r="BD59" s="1818">
        <f t="shared" si="11"/>
        <v>180</v>
      </c>
      <c r="BE59" s="1818">
        <f t="shared" si="12"/>
        <v>185</v>
      </c>
      <c r="BG59" s="1777">
        <f t="shared" si="28"/>
        <v>256.31995402520539</v>
      </c>
      <c r="BH59" s="1777">
        <f t="shared" si="30"/>
        <v>260.73115420287638</v>
      </c>
      <c r="BI59" s="1777">
        <f t="shared" si="30"/>
        <v>267.79031749264692</v>
      </c>
      <c r="BJ59" s="1777">
        <f t="shared" si="30"/>
        <v>275.04060403542479</v>
      </c>
      <c r="BK59" s="1777">
        <f t="shared" si="30"/>
        <v>282.48718839600508</v>
      </c>
      <c r="BL59" s="1777">
        <f t="shared" si="30"/>
        <v>290.13538523789038</v>
      </c>
      <c r="BM59" s="1777">
        <f t="shared" si="30"/>
        <v>144.96498553280563</v>
      </c>
      <c r="BO59" s="1739">
        <f t="shared" si="15"/>
        <v>2025</v>
      </c>
      <c r="BP59" s="1742">
        <f>_xlfn.IFNA(INDEX($AR59:$AX59,MATCH(BO59,$AR$2:$AX$2,0))*12/365*[11]核心假设及结论!$C$70*$H59,0)</f>
        <v>209929.11780821922</v>
      </c>
      <c r="BR59" s="1739">
        <f t="shared" si="20"/>
        <v>2026</v>
      </c>
      <c r="BS59" s="1742">
        <f>_xlfn.IFNA(INDEX($AR59:$AX59,MATCH(BR59,$AR$2:$AX$2,0))*12/365*[11]核心假设及结论!$C$70*$H59,0)</f>
        <v>211398.62163287669</v>
      </c>
      <c r="BU59" s="1739">
        <f t="shared" si="21"/>
        <v>2027</v>
      </c>
      <c r="BV59" s="1742">
        <f>_xlfn.IFNA(INDEX($AR59:$AX59,MATCH(BU59,$AR$2:$AX$2,0))*12/365*[11]核心假设及结论!$C$70*$H59,0)</f>
        <v>217122.13171321686</v>
      </c>
      <c r="BX59" s="1739">
        <f t="shared" si="22"/>
        <v>2028</v>
      </c>
      <c r="BY59" s="1742">
        <f>_xlfn.IFNA(INDEX($AR59:$AX59,MATCH(BX59,$AR$2:$AX$2,0))*12/365*[11]核心假设及结论!$C$70*$H59,0)</f>
        <v>223000.60291575693</v>
      </c>
      <c r="CA59" s="1739">
        <f t="shared" si="23"/>
        <v>2029</v>
      </c>
      <c r="CB59" s="1742">
        <f>_xlfn.IFNA(INDEX($AR59:$AX59,MATCH(CA59,$AR$2:$AX$2,0))*12/365*[11]核心假设及结论!$C$70*$H59,0)</f>
        <v>229038.23073400647</v>
      </c>
    </row>
    <row r="60" spans="1:80" ht="30" customHeight="1">
      <c r="A60" s="1756" t="s">
        <v>1687</v>
      </c>
      <c r="B60" s="1757" t="s">
        <v>1799</v>
      </c>
      <c r="C60" s="1756" t="s">
        <v>1800</v>
      </c>
      <c r="D60" s="1756" t="s">
        <v>1676</v>
      </c>
      <c r="E60" s="1758" t="s">
        <v>1677</v>
      </c>
      <c r="F60" s="1759"/>
      <c r="G60" s="1760" t="s">
        <v>1661</v>
      </c>
      <c r="H60" s="1761">
        <v>447</v>
      </c>
      <c r="I60" s="1761" t="s">
        <v>1782</v>
      </c>
      <c r="J60" s="1773">
        <v>44581</v>
      </c>
      <c r="K60" s="1773">
        <v>45991</v>
      </c>
      <c r="L60" s="1764">
        <f t="shared" si="1"/>
        <v>47</v>
      </c>
      <c r="M60" s="1774">
        <f t="shared" si="16"/>
        <v>127783.89</v>
      </c>
      <c r="N60" s="1775">
        <f t="shared" si="17"/>
        <v>177.25</v>
      </c>
      <c r="O60" s="1760">
        <v>79230.75</v>
      </c>
      <c r="P60" s="1776">
        <v>0.1</v>
      </c>
      <c r="Q60" s="1783">
        <f t="shared" si="2"/>
        <v>90</v>
      </c>
      <c r="R60" s="1784">
        <v>40230</v>
      </c>
      <c r="S60" s="1777">
        <f t="shared" si="3"/>
        <v>18.619999999999997</v>
      </c>
      <c r="T60" s="1777">
        <v>8323.14</v>
      </c>
      <c r="U60" s="1777"/>
      <c r="V60" s="1785">
        <v>74507.079166666706</v>
      </c>
      <c r="W60" s="1785">
        <f t="shared" si="4"/>
        <v>166.68250372856087</v>
      </c>
      <c r="X60" s="1786">
        <f t="shared" si="34"/>
        <v>1.6033476461045444</v>
      </c>
      <c r="Y60" s="1789">
        <f>VLOOKUP(E60,[11]核心假设及结论!$C$25:$E$45,3,0)</f>
        <v>0.25</v>
      </c>
      <c r="Z60" s="1790">
        <f t="shared" si="33"/>
        <v>85658.61</v>
      </c>
      <c r="AA60" s="1790">
        <f t="shared" si="33"/>
        <v>0</v>
      </c>
      <c r="AB60" s="1790">
        <f t="shared" si="33"/>
        <v>0</v>
      </c>
      <c r="AC60" s="1790">
        <f t="shared" si="32"/>
        <v>0</v>
      </c>
      <c r="AD60" s="1790">
        <f t="shared" si="32"/>
        <v>0</v>
      </c>
      <c r="AE60" s="1790">
        <f t="shared" si="32"/>
        <v>0</v>
      </c>
      <c r="AF60" s="1790">
        <f t="shared" si="32"/>
        <v>0</v>
      </c>
      <c r="AG60" s="1794">
        <v>191.63</v>
      </c>
      <c r="AH60" s="1794">
        <v>0</v>
      </c>
      <c r="AI60" s="1794">
        <v>0</v>
      </c>
      <c r="AJ60" s="1794">
        <v>0</v>
      </c>
      <c r="AK60" s="1794">
        <v>0</v>
      </c>
      <c r="AL60" s="1794">
        <v>0</v>
      </c>
      <c r="AM60" s="1794">
        <v>0</v>
      </c>
      <c r="AN60" s="1795"/>
      <c r="AO60" s="1795"/>
      <c r="AP60" s="1808">
        <f t="shared" si="18"/>
        <v>6.4133905844181776</v>
      </c>
      <c r="AQ60" s="1808">
        <f>IF(AP60&gt;[11]核心假设及结论!$B$65,[11]核心假设及结论!$D$65,IF(AP60&lt;=[11]核心假设及结论!$B$64,[11]核心假设及结论!$D$63,[11]核心假设及结论!$D$64))</f>
        <v>0.72793038402688603</v>
      </c>
      <c r="AR60" s="1809">
        <f t="shared" si="19"/>
        <v>191.63</v>
      </c>
      <c r="AS60" s="1811">
        <f>AH60*(AS$2&lt;=YEAR($K60))+AR60*$AQ60*(AS$2=YEAR($K60)+1)+INDEX([11]核心假设及结论!$E$17:$E$21,MATCH($D60,[11]核心假设及结论!$B$17:$B$21,0))*(AS$2&gt;YEAR($K60)+1)*AR60</f>
        <v>139.49329949107218</v>
      </c>
      <c r="AT60" s="1809">
        <f>AI60*(AT$2&lt;=YEAR($K60))+AS60*$AQ60*(AT$2=YEAR($K60)+1)+INDEX([11]核心假设及结论!$E$17:$E$21,MATCH($D60,[11]核心假设及结论!$B$17:$B$21,0))*(AT$2&gt;YEAR($K60)+1)*AS60</f>
        <v>144.31629252629097</v>
      </c>
      <c r="AU60" s="1809">
        <f>AJ60*(AU$2&lt;=YEAR($K60))+AT60*$AQ60*(AU$2=YEAR($K60)+1)+INDEX([11]核心假设及结论!$E$17:$E$21,MATCH($D60,[11]核心假设及结论!$B$17:$B$21,0))*(AU$2&gt;YEAR($K60)+1)*AT60</f>
        <v>149.30604096770227</v>
      </c>
      <c r="AV60" s="1809">
        <f>AK60*(AV$2&lt;=YEAR($K60))+AU60*$AQ60*(AV$2=YEAR($K60)+1)+INDEX([11]核心假设及结论!$E$17:$E$21,MATCH($D60,[11]核心假设及结论!$B$17:$B$21,0))*(AV$2&gt;YEAR($K60)+1)*AU60</f>
        <v>154.46831039806588</v>
      </c>
      <c r="AW60" s="1809">
        <f>AL60*(AW$2&lt;=YEAR($K60))+AV60*$AQ60*(AW$2=YEAR($K60)+1)+INDEX([11]核心假设及结论!$E$17:$E$21,MATCH($D60,[11]核心假设及结论!$B$17:$B$21,0))*(AW$2&gt;YEAR($K60)+1)*AV60</f>
        <v>159.80906574566998</v>
      </c>
      <c r="AX60" s="1809">
        <f>AM60*(AX$2&lt;=YEAR($K60))+AW60*$AQ60*(AX$2=YEAR($K60)+1)+INDEX([11]核心假设及结论!$E$17:$E$21,MATCH($D60,[11]核心假设及结论!$B$17:$B$21,0))*(AX$2&gt;YEAR($K60)+1)*AW60</f>
        <v>165.33447817672024</v>
      </c>
      <c r="AZ60" s="1746">
        <f t="shared" si="7"/>
        <v>45991</v>
      </c>
      <c r="BA60" s="1817">
        <f t="shared" si="8"/>
        <v>45658</v>
      </c>
      <c r="BB60" s="1817">
        <f t="shared" si="9"/>
        <v>45991</v>
      </c>
      <c r="BC60" s="1817">
        <f t="shared" si="10"/>
        <v>46022</v>
      </c>
      <c r="BD60" s="1818">
        <f t="shared" si="11"/>
        <v>334</v>
      </c>
      <c r="BE60" s="1818">
        <f t="shared" si="12"/>
        <v>31</v>
      </c>
      <c r="BG60" s="1777">
        <f t="shared" si="28"/>
        <v>100.41512676508862</v>
      </c>
      <c r="BH60" s="1777">
        <f t="shared" si="30"/>
        <v>75.04392819601614</v>
      </c>
      <c r="BI60" s="1777">
        <f t="shared" si="30"/>
        <v>77.638578579549502</v>
      </c>
      <c r="BJ60" s="1777">
        <f t="shared" si="30"/>
        <v>80.322939227118951</v>
      </c>
      <c r="BK60" s="1777">
        <f t="shared" si="30"/>
        <v>83.100111878952958</v>
      </c>
      <c r="BL60" s="1777">
        <f t="shared" si="30"/>
        <v>85.973305518219775</v>
      </c>
      <c r="BM60" s="1777">
        <f t="shared" si="30"/>
        <v>81.153228239434455</v>
      </c>
      <c r="BO60" s="1739">
        <f t="shared" si="15"/>
        <v>2025</v>
      </c>
      <c r="BP60" s="1742">
        <f>_xlfn.IFNA(INDEX($AR60:$AX60,MATCH(BO60,$AR$2:$AX$2,0))*12/365*[11]核心假设及结论!$C$70*$H60,0)</f>
        <v>84485.204383561635</v>
      </c>
      <c r="BR60" s="1739">
        <f t="shared" si="20"/>
        <v>2029</v>
      </c>
      <c r="BS60" s="1742">
        <f>_xlfn.IFNA(INDEX($AR60:$AX60,MATCH(BR60,$AR$2:$AX$2,0))*12/365*[11]核心假设及结论!$C$70*$H60,0)</f>
        <v>68101.480847278784</v>
      </c>
      <c r="BU60" s="1739">
        <f t="shared" si="21"/>
        <v>2033</v>
      </c>
      <c r="BV60" s="1742">
        <f>_xlfn.IFNA(INDEX($AR60:$AX60,MATCH(BU60,$AR$2:$AX$2,0))*12/365*[11]核心假设及结论!$C$70*$H60,0)</f>
        <v>0</v>
      </c>
      <c r="BX60" s="1739">
        <f t="shared" si="22"/>
        <v>2037</v>
      </c>
      <c r="BY60" s="1742">
        <f>_xlfn.IFNA(INDEX($AR60:$AX60,MATCH(BX60,$AR$2:$AX$2,0))*12/365*[11]核心假设及结论!$C$70*$H60,0)</f>
        <v>0</v>
      </c>
      <c r="CA60" s="1739">
        <f t="shared" si="23"/>
        <v>2041</v>
      </c>
      <c r="CB60" s="1742">
        <f>_xlfn.IFNA(INDEX($AR60:$AX60,MATCH(CA60,$AR$2:$AX$2,0))*12/365*[11]核心假设及结论!$C$70*$H60,0)</f>
        <v>0</v>
      </c>
    </row>
    <row r="61" spans="1:80" ht="30" customHeight="1">
      <c r="A61" s="1756" t="s">
        <v>1666</v>
      </c>
      <c r="B61" s="1757" t="s">
        <v>1801</v>
      </c>
      <c r="C61" s="1756" t="s">
        <v>1802</v>
      </c>
      <c r="D61" s="1756" t="s">
        <v>1698</v>
      </c>
      <c r="E61" s="1758" t="s">
        <v>1698</v>
      </c>
      <c r="F61" s="1759"/>
      <c r="G61" s="1760" t="s">
        <v>1661</v>
      </c>
      <c r="H61" s="1761">
        <v>444</v>
      </c>
      <c r="I61" s="1761" t="s">
        <v>1782</v>
      </c>
      <c r="J61" s="1773">
        <v>45017</v>
      </c>
      <c r="K61" s="1773">
        <v>46613</v>
      </c>
      <c r="L61" s="1764">
        <f t="shared" si="1"/>
        <v>53</v>
      </c>
      <c r="M61" s="1774">
        <f t="shared" si="16"/>
        <v>219192.36600000001</v>
      </c>
      <c r="N61" s="1775">
        <f t="shared" si="17"/>
        <v>380.06000000000006</v>
      </c>
      <c r="O61" s="1760">
        <v>168746.64</v>
      </c>
      <c r="P61" s="1776">
        <v>0.1</v>
      </c>
      <c r="Q61" s="1783">
        <f t="shared" si="2"/>
        <v>95</v>
      </c>
      <c r="R61" s="1784">
        <v>42180</v>
      </c>
      <c r="S61" s="1777">
        <f t="shared" si="3"/>
        <v>18.616500000000002</v>
      </c>
      <c r="T61" s="1784">
        <v>8265.7260000000006</v>
      </c>
      <c r="U61" s="1777"/>
      <c r="V61" s="1785">
        <v>1392539.585</v>
      </c>
      <c r="W61" s="1785">
        <f t="shared" si="4"/>
        <v>3136.3504166666667</v>
      </c>
      <c r="X61" s="1786">
        <f t="shared" si="34"/>
        <v>0.15146904423546426</v>
      </c>
      <c r="Y61" s="1789">
        <f>VLOOKUP(E61,[11]核心假设及结论!$C$25:$E$45,3,0)</f>
        <v>0.2</v>
      </c>
      <c r="Z61" s="1790">
        <f t="shared" si="33"/>
        <v>175553.16</v>
      </c>
      <c r="AA61" s="1790">
        <f t="shared" si="33"/>
        <v>184344.36</v>
      </c>
      <c r="AB61" s="1790">
        <f t="shared" si="33"/>
        <v>193561.8</v>
      </c>
      <c r="AC61" s="1790">
        <f t="shared" si="32"/>
        <v>0</v>
      </c>
      <c r="AD61" s="1790">
        <f t="shared" si="32"/>
        <v>0</v>
      </c>
      <c r="AE61" s="1790">
        <f t="shared" si="32"/>
        <v>0</v>
      </c>
      <c r="AF61" s="1790">
        <f t="shared" si="32"/>
        <v>0</v>
      </c>
      <c r="AG61" s="1794">
        <v>395.39</v>
      </c>
      <c r="AH61" s="1794">
        <v>415.19</v>
      </c>
      <c r="AI61" s="1794">
        <v>435.95</v>
      </c>
      <c r="AJ61" s="1794">
        <v>0</v>
      </c>
      <c r="AK61" s="1794">
        <v>0</v>
      </c>
      <c r="AL61" s="1794">
        <v>0</v>
      </c>
      <c r="AM61" s="1794">
        <v>0</v>
      </c>
      <c r="AN61" s="1797"/>
      <c r="AO61" s="1797"/>
      <c r="AP61" s="1808">
        <f t="shared" si="18"/>
        <v>0.75734522117732128</v>
      </c>
      <c r="AQ61" s="1812">
        <f>IF(AP61&gt;[11]核心假设及结论!$B$62,[11]核心假设及结论!$D$62,IF(AP61&lt;=[11]核心假设及结论!$B$61,[11]核心假设及结论!$D$60,[11]核心假设及结论!$D$61))</f>
        <v>1.0811176582269599</v>
      </c>
      <c r="AR61" s="1809">
        <f t="shared" si="19"/>
        <v>395.39</v>
      </c>
      <c r="AS61" s="1809">
        <f>AH61*(AS$2&lt;=YEAR($K61))+AR61*$AQ61*(AS$2=YEAR($K61)+1)+INDEX([11]核心假设及结论!$E$17:$E$21,MATCH($D61,[11]核心假设及结论!$B$17:$B$21,0))*(AS$2&gt;YEAR($K61)+1)*AR61</f>
        <v>415.19</v>
      </c>
      <c r="AT61" s="1809">
        <f>AI61*(AT$2&lt;=YEAR($K61))+AS61*$AQ61*(AT$2=YEAR($K61)+1)+INDEX([11]核心假设及结论!$E$17:$E$21,MATCH($D61,[11]核心假设及结论!$B$17:$B$21,0))*(AT$2&gt;YEAR($K61)+1)*AS61</f>
        <v>435.95</v>
      </c>
      <c r="AU61" s="1811">
        <f>AJ61*(AU$2&lt;=YEAR($K61))+AT61*$AQ61*(AU$2=YEAR($K61)+1)+INDEX([11]核心假设及结论!$E$17:$E$21,MATCH($D61,[11]核心假设及结论!$B$17:$B$21,0))*(AU$2&gt;YEAR($K61)+1)*AT61</f>
        <v>471.31324310404318</v>
      </c>
      <c r="AV61" s="1809">
        <f>AK61*(AV$2&lt;=YEAR($K61))+AU61*$AQ61*(AV$2=YEAR($K61)+1)+INDEX([11]核心假设及结论!$E$17:$E$21,MATCH($D61,[11]核心假设及结论!$B$17:$B$21,0))*(AV$2&gt;YEAR($K61)+1)*AU61</f>
        <v>485.74363172163766</v>
      </c>
      <c r="AW61" s="1809">
        <f>AL61*(AW$2&lt;=YEAR($K61))+AV61*$AQ61*(AW$2=YEAR($K61)+1)+INDEX([11]核心假设及结论!$E$17:$E$21,MATCH($D61,[11]核心假设及结论!$B$17:$B$21,0))*(AW$2&gt;YEAR($K61)+1)*AV61</f>
        <v>500.61584139709885</v>
      </c>
      <c r="AX61" s="1809">
        <f>AM61*(AX$2&lt;=YEAR($K61))+AW61*$AQ61*(AX$2=YEAR($K61)+1)+INDEX([11]核心假设及结论!$E$17:$E$21,MATCH($D61,[11]核心假设及结论!$B$17:$B$21,0))*(AX$2&gt;YEAR($K61)+1)*AW61</f>
        <v>515.94339954485383</v>
      </c>
      <c r="AZ61" s="1746">
        <f t="shared" si="7"/>
        <v>46613</v>
      </c>
      <c r="BA61" s="1817">
        <f t="shared" si="8"/>
        <v>45658</v>
      </c>
      <c r="BB61" s="1817">
        <f t="shared" si="9"/>
        <v>45883</v>
      </c>
      <c r="BC61" s="1817">
        <f t="shared" si="10"/>
        <v>46022</v>
      </c>
      <c r="BD61" s="1818">
        <f t="shared" si="11"/>
        <v>226</v>
      </c>
      <c r="BE61" s="1818">
        <f t="shared" si="12"/>
        <v>139</v>
      </c>
      <c r="BG61" s="1777">
        <f t="shared" si="28"/>
        <v>214.68124997260273</v>
      </c>
      <c r="BH61" s="1777">
        <f t="shared" si="30"/>
        <v>225.42547581369863</v>
      </c>
      <c r="BI61" s="1777">
        <f t="shared" si="30"/>
        <v>239.44942984572864</v>
      </c>
      <c r="BJ61" s="1777">
        <f t="shared" si="30"/>
        <v>254.04364945106198</v>
      </c>
      <c r="BK61" s="1777">
        <f t="shared" si="30"/>
        <v>261.82180684648557</v>
      </c>
      <c r="BL61" s="1777">
        <f t="shared" si="30"/>
        <v>269.83811123987078</v>
      </c>
      <c r="BM61" s="1777">
        <f t="shared" si="30"/>
        <v>170.20873802935503</v>
      </c>
      <c r="BO61" s="1739">
        <f t="shared" si="15"/>
        <v>2027</v>
      </c>
      <c r="BP61" s="1742">
        <f>_xlfn.IFNA(INDEX($AR61:$AX61,MATCH(BO61,$AR$2:$AX$2,0))*12/365*[11]核心假设及结论!$C$70*$H61,0)</f>
        <v>190910.26849315068</v>
      </c>
      <c r="BR61" s="1739">
        <f t="shared" si="20"/>
        <v>2031</v>
      </c>
      <c r="BS61" s="1742">
        <f>_xlfn.IFNA(INDEX($AR61:$AX61,MATCH(BR61,$AR$2:$AX$2,0))*12/365*[11]核心假设及结论!$C$70*$H61,0)</f>
        <v>225940.80269383403</v>
      </c>
      <c r="BU61" s="1739">
        <f t="shared" si="21"/>
        <v>2035</v>
      </c>
      <c r="BV61" s="1742">
        <f>_xlfn.IFNA(INDEX($AR61:$AX61,MATCH(BU61,$AR$2:$AX$2,0))*12/365*[11]核心假设及结论!$C$70*$H61,0)</f>
        <v>0</v>
      </c>
      <c r="BX61" s="1739">
        <f t="shared" si="22"/>
        <v>2039</v>
      </c>
      <c r="BY61" s="1742">
        <f>_xlfn.IFNA(INDEX($AR61:$AX61,MATCH(BX61,$AR$2:$AX$2,0))*12/365*[11]核心假设及结论!$C$70*$H61,0)</f>
        <v>0</v>
      </c>
      <c r="CA61" s="1739">
        <f t="shared" si="23"/>
        <v>2043</v>
      </c>
      <c r="CB61" s="1742">
        <f>_xlfn.IFNA(INDEX($AR61:$AX61,MATCH(CA61,$AR$2:$AX$2,0))*12/365*[11]核心假设及结论!$C$70*$H61,0)</f>
        <v>0</v>
      </c>
    </row>
    <row r="62" spans="1:80" ht="30" customHeight="1">
      <c r="A62" s="1756" t="s">
        <v>1662</v>
      </c>
      <c r="B62" s="1757" t="s">
        <v>1803</v>
      </c>
      <c r="C62" s="1756" t="s">
        <v>1804</v>
      </c>
      <c r="D62" s="1756" t="s">
        <v>1685</v>
      </c>
      <c r="E62" s="1758" t="s">
        <v>1718</v>
      </c>
      <c r="F62" s="1759"/>
      <c r="G62" s="1760" t="s">
        <v>1661</v>
      </c>
      <c r="H62" s="1761">
        <v>439</v>
      </c>
      <c r="I62" s="1761" t="s">
        <v>1782</v>
      </c>
      <c r="J62" s="1773">
        <v>45170</v>
      </c>
      <c r="K62" s="1773">
        <v>45923</v>
      </c>
      <c r="L62" s="1764">
        <f t="shared" si="1"/>
        <v>25</v>
      </c>
      <c r="M62" s="1774">
        <f t="shared" si="16"/>
        <v>299876.51</v>
      </c>
      <c r="N62" s="1775">
        <f t="shared" si="17"/>
        <v>570.09</v>
      </c>
      <c r="O62" s="1760">
        <v>250269.51</v>
      </c>
      <c r="P62" s="1776">
        <v>0.15</v>
      </c>
      <c r="Q62" s="1783">
        <f t="shared" si="2"/>
        <v>95</v>
      </c>
      <c r="R62" s="1784">
        <v>41705</v>
      </c>
      <c r="S62" s="1777">
        <f t="shared" si="3"/>
        <v>18</v>
      </c>
      <c r="T62" s="1784">
        <v>7902</v>
      </c>
      <c r="U62" s="1777"/>
      <c r="V62" s="1785">
        <v>6403854.5</v>
      </c>
      <c r="W62" s="1785">
        <f t="shared" si="4"/>
        <v>14587.367881548975</v>
      </c>
      <c r="X62" s="1786">
        <f t="shared" si="34"/>
        <v>4.5593557754942747E-2</v>
      </c>
      <c r="Y62" s="1789">
        <f>VLOOKUP(E62,[11]核心假设及结论!$C$25:$E$45,3,0)</f>
        <v>0.2</v>
      </c>
      <c r="Z62" s="1790" t="e">
        <f>#REF!*$H62</f>
        <v>#REF!</v>
      </c>
      <c r="AA62" s="1790">
        <f>AG62*$H62</f>
        <v>262745.89</v>
      </c>
      <c r="AB62" s="1790">
        <f t="shared" si="33"/>
        <v>0</v>
      </c>
      <c r="AC62" s="1790">
        <f t="shared" si="32"/>
        <v>0</v>
      </c>
      <c r="AD62" s="1790">
        <f t="shared" si="32"/>
        <v>0</v>
      </c>
      <c r="AE62" s="1790">
        <f t="shared" si="32"/>
        <v>0</v>
      </c>
      <c r="AF62" s="1790">
        <f t="shared" si="32"/>
        <v>0</v>
      </c>
      <c r="AG62" s="1794">
        <v>598.51</v>
      </c>
      <c r="AH62" s="1741">
        <v>0</v>
      </c>
      <c r="AI62" s="1794">
        <v>0</v>
      </c>
      <c r="AJ62" s="1794">
        <v>0</v>
      </c>
      <c r="AK62" s="1794">
        <v>0</v>
      </c>
      <c r="AL62" s="1794">
        <v>0</v>
      </c>
      <c r="AM62" s="1794">
        <v>0</v>
      </c>
      <c r="AN62" s="1797"/>
      <c r="AO62" s="1797"/>
      <c r="AP62" s="1808">
        <f t="shared" si="18"/>
        <v>0.22796778877471371</v>
      </c>
      <c r="AQ62" s="1810">
        <f>IF(AP62&gt;[11]核心假设及结论!$B$59,[11]核心假设及结论!$D$59,IF(AP62&lt;=[11]核心假设及结论!$B$58,[11]核心假设及结论!$D$57,[11]核心假设及结论!$D$58))</f>
        <v>1.0342640124442799</v>
      </c>
      <c r="AR62" s="1809">
        <f t="shared" si="19"/>
        <v>598.51</v>
      </c>
      <c r="AS62" s="1811">
        <f>AG62*(AS$2&lt;=YEAR($K62))+AR62*$AQ62*(AS$2=YEAR($K62)+1)+INDEX([11]核心假设及结论!$E$17:$E$21,MATCH($D62,[11]核心假设及结论!$B$17:$B$21,0))*(AS$2&gt;YEAR($K62)+1)*AR62</f>
        <v>619.01735408802597</v>
      </c>
      <c r="AT62" s="1809">
        <f>AI62*(AT$2&lt;=YEAR($K62))+AS62*$AQ62*(AT$2=YEAR($K62)+1)+INDEX([11]核心假设及结论!$E$17:$E$21,MATCH($D62,[11]核心假设及结论!$B$17:$B$21,0))*(AT$2&gt;YEAR($K62)+1)*AS62</f>
        <v>635.77693387460158</v>
      </c>
      <c r="AU62" s="1809">
        <f>AJ62*(AU$2&lt;=YEAR($K62))+AT62*$AQ62*(AU$2=YEAR($K62)+1)+INDEX([11]核心假设及结论!$E$17:$E$21,MATCH($D62,[11]核心假设及结论!$B$17:$B$21,0))*(AU$2&gt;YEAR($K62)+1)*AT62</f>
        <v>652.99027075339382</v>
      </c>
      <c r="AV62" s="1809">
        <f>AK62*(AV$2&lt;=YEAR($K62))+AU62*$AQ62*(AV$2=YEAR($K62)+1)+INDEX([11]核心假设及结论!$E$17:$E$21,MATCH($D62,[11]核心假设及结论!$B$17:$B$21,0))*(AV$2&gt;YEAR($K62)+1)*AU62</f>
        <v>670.66964996671527</v>
      </c>
      <c r="AW62" s="1809">
        <f>AL62*(AW$2&lt;=YEAR($K62))+AV62*$AQ62*(AW$2=YEAR($K62)+1)+INDEX([11]核心假设及结论!$E$17:$E$21,MATCH($D62,[11]核心假设及结论!$B$17:$B$21,0))*(AW$2&gt;YEAR($K62)+1)*AV62</f>
        <v>688.82768937356116</v>
      </c>
      <c r="AX62" s="1809">
        <f>AM62*(AX$2&lt;=YEAR($K62))+AW62*$AQ62*(AX$2=YEAR($K62)+1)+INDEX([11]核心假设及结论!$E$17:$E$21,MATCH($D62,[11]核心假设及结论!$B$17:$B$21,0))*(AX$2&gt;YEAR($K62)+1)*AW62</f>
        <v>707.47734845503669</v>
      </c>
      <c r="AZ62" s="1746">
        <f t="shared" si="7"/>
        <v>45923</v>
      </c>
      <c r="BA62" s="1817">
        <f t="shared" si="8"/>
        <v>45658</v>
      </c>
      <c r="BB62" s="1817">
        <f t="shared" si="9"/>
        <v>45923</v>
      </c>
      <c r="BC62" s="1817">
        <f t="shared" si="10"/>
        <v>46022</v>
      </c>
      <c r="BD62" s="1818">
        <f t="shared" si="11"/>
        <v>266</v>
      </c>
      <c r="BE62" s="1818">
        <f t="shared" si="12"/>
        <v>99</v>
      </c>
      <c r="BG62" s="1777">
        <f t="shared" si="28"/>
        <v>318.22527112116057</v>
      </c>
      <c r="BH62" s="1777">
        <f t="shared" si="30"/>
        <v>328.49304272679194</v>
      </c>
      <c r="BI62" s="1777">
        <f t="shared" si="30"/>
        <v>337.38682465803606</v>
      </c>
      <c r="BJ62" s="1777">
        <f t="shared" si="30"/>
        <v>346.52140120819791</v>
      </c>
      <c r="BK62" s="1777">
        <f t="shared" si="30"/>
        <v>355.90329176902213</v>
      </c>
      <c r="BL62" s="1777">
        <f t="shared" si="30"/>
        <v>365.53919224146603</v>
      </c>
      <c r="BM62" s="1777">
        <f t="shared" si="30"/>
        <v>271.61082703064699</v>
      </c>
      <c r="BO62" s="1739">
        <f t="shared" si="15"/>
        <v>2025</v>
      </c>
      <c r="BP62" s="1742">
        <f>_xlfn.IFNA(INDEX($AR62:$AX62,MATCH(BO62,$AR$2:$AX$2,0))*12/365*[11]核心假设及结论!$C$70*$H62,0)</f>
        <v>259146.63123287671</v>
      </c>
      <c r="BR62" s="1739">
        <f t="shared" si="20"/>
        <v>2027</v>
      </c>
      <c r="BS62" s="1742">
        <f>_xlfn.IFNA(INDEX($AR62:$AX62,MATCH(BR62,$AR$2:$AX$2,0))*12/365*[11]核心假设及结论!$C$70*$H62,0)</f>
        <v>275282.70309463568</v>
      </c>
      <c r="BU62" s="1739">
        <f t="shared" si="21"/>
        <v>2029</v>
      </c>
      <c r="BV62" s="1742">
        <f>_xlfn.IFNA(INDEX($AR62:$AX62,MATCH(BU62,$AR$2:$AX$2,0))*12/365*[11]核心假设及结论!$C$70*$H62,0)</f>
        <v>290390.77118010871</v>
      </c>
      <c r="BX62" s="1739">
        <f t="shared" si="22"/>
        <v>2031</v>
      </c>
      <c r="BY62" s="1742">
        <f>_xlfn.IFNA(INDEX($AR62:$AX62,MATCH(BX62,$AR$2:$AX$2,0))*12/365*[11]核心假设及结论!$C$70*$H62,0)</f>
        <v>306328.00041050412</v>
      </c>
      <c r="CA62" s="1739">
        <f t="shared" si="23"/>
        <v>2033</v>
      </c>
      <c r="CB62" s="1742">
        <f>_xlfn.IFNA(INDEX($AR62:$AX62,MATCH(CA62,$AR$2:$AX$2,0))*12/365*[11]核心假设及结论!$C$70*$H62,0)</f>
        <v>0</v>
      </c>
    </row>
    <row r="63" spans="1:80" ht="30" customHeight="1">
      <c r="A63" s="1756" t="s">
        <v>1687</v>
      </c>
      <c r="B63" s="1757" t="s">
        <v>1805</v>
      </c>
      <c r="C63" s="1756" t="s">
        <v>1806</v>
      </c>
      <c r="D63" s="1756" t="s">
        <v>1685</v>
      </c>
      <c r="E63" s="1758" t="s">
        <v>1692</v>
      </c>
      <c r="F63" s="1759"/>
      <c r="G63" s="1760" t="s">
        <v>1661</v>
      </c>
      <c r="H63" s="1761">
        <v>435</v>
      </c>
      <c r="I63" s="1761" t="s">
        <v>1782</v>
      </c>
      <c r="J63" s="1773">
        <v>44896</v>
      </c>
      <c r="K63" s="1773">
        <v>45991</v>
      </c>
      <c r="L63" s="1764">
        <f t="shared" si="1"/>
        <v>36</v>
      </c>
      <c r="M63" s="1774">
        <f t="shared" si="16"/>
        <v>274080.45</v>
      </c>
      <c r="N63" s="1775">
        <f t="shared" si="17"/>
        <v>517.07000000000005</v>
      </c>
      <c r="O63" s="1760">
        <v>224925.45</v>
      </c>
      <c r="P63" s="1776">
        <v>0.14000000000000001</v>
      </c>
      <c r="Q63" s="1783">
        <f t="shared" si="2"/>
        <v>95</v>
      </c>
      <c r="R63" s="1784">
        <v>41325</v>
      </c>
      <c r="S63" s="1777">
        <f t="shared" si="3"/>
        <v>18</v>
      </c>
      <c r="T63" s="1784">
        <v>7830</v>
      </c>
      <c r="U63" s="1777"/>
      <c r="V63" s="1785">
        <v>840562.36666666705</v>
      </c>
      <c r="W63" s="1785">
        <f t="shared" si="4"/>
        <v>1932.3272796934875</v>
      </c>
      <c r="X63" s="1786">
        <f t="shared" si="34"/>
        <v>0.31675276048324935</v>
      </c>
      <c r="Y63" s="1789">
        <f>VLOOKUP(E63,[11]核心假设及结论!$C$25:$E$45,3,0)</f>
        <v>0.2</v>
      </c>
      <c r="Z63" s="1790">
        <f t="shared" si="33"/>
        <v>238123.34999999998</v>
      </c>
      <c r="AA63" s="1790">
        <f t="shared" si="33"/>
        <v>0</v>
      </c>
      <c r="AB63" s="1790">
        <f t="shared" si="33"/>
        <v>0</v>
      </c>
      <c r="AC63" s="1790">
        <f t="shared" si="32"/>
        <v>0</v>
      </c>
      <c r="AD63" s="1790">
        <f t="shared" si="32"/>
        <v>0</v>
      </c>
      <c r="AE63" s="1790">
        <f t="shared" si="32"/>
        <v>0</v>
      </c>
      <c r="AF63" s="1790">
        <f t="shared" si="32"/>
        <v>0</v>
      </c>
      <c r="AG63" s="1794">
        <v>547.41</v>
      </c>
      <c r="AH63" s="1794">
        <v>0</v>
      </c>
      <c r="AI63" s="1794">
        <v>0</v>
      </c>
      <c r="AJ63" s="1794">
        <v>0</v>
      </c>
      <c r="AK63" s="1794">
        <v>0</v>
      </c>
      <c r="AL63" s="1794">
        <v>0</v>
      </c>
      <c r="AM63" s="1794">
        <v>0</v>
      </c>
      <c r="AN63" s="1797"/>
      <c r="AO63" s="1797"/>
      <c r="AP63" s="1808">
        <f t="shared" si="18"/>
        <v>1.5837638024162466</v>
      </c>
      <c r="AQ63" s="1810">
        <f>IF(AP63&gt;[11]核心假设及结论!$B$59,[11]核心假设及结论!$D$59,IF(AP63&lt;=[11]核心假设及结论!$B$58,[11]核心假设及结论!$D$57,[11]核心假设及结论!$D$58))</f>
        <v>1</v>
      </c>
      <c r="AR63" s="1809">
        <f t="shared" si="19"/>
        <v>547.41</v>
      </c>
      <c r="AS63" s="1811">
        <f>AH63*(AS$2&lt;=YEAR($K63))+AR63*$AQ63*(AS$2=YEAR($K63)+1)+INDEX([11]核心假设及结论!$E$17:$E$21,MATCH($D63,[11]核心假设及结论!$B$17:$B$21,0))*(AS$2&gt;YEAR($K63)+1)*AR63</f>
        <v>547.41</v>
      </c>
      <c r="AT63" s="1809">
        <f>AI63*(AT$2&lt;=YEAR($K63))+AS63*$AQ63*(AT$2=YEAR($K63)+1)+INDEX([11]核心假设及结论!$E$17:$E$21,MATCH($D63,[11]核心假设及结论!$B$17:$B$21,0))*(AT$2&gt;YEAR($K63)+1)*AS63</f>
        <v>562.23084712226773</v>
      </c>
      <c r="AU63" s="1809">
        <f>AJ63*(AU$2&lt;=YEAR($K63))+AT63*$AQ63*(AU$2=YEAR($K63)+1)+INDEX([11]核心假设及结论!$E$17:$E$21,MATCH($D63,[11]核心假设及结论!$B$17:$B$21,0))*(AU$2&gt;YEAR($K63)+1)*AT63</f>
        <v>577.45296113666689</v>
      </c>
      <c r="AV63" s="1809">
        <f>AK63*(AV$2&lt;=YEAR($K63))+AU63*$AQ63*(AV$2=YEAR($K63)+1)+INDEX([11]核心假设及结论!$E$17:$E$21,MATCH($D63,[11]核心假设及结论!$B$17:$B$21,0))*(AV$2&gt;YEAR($K63)+1)*AU63</f>
        <v>593.08720614005995</v>
      </c>
      <c r="AW63" s="1809">
        <f>AL63*(AW$2&lt;=YEAR($K63))+AV63*$AQ63*(AW$2=YEAR($K63)+1)+INDEX([11]核心假设及结论!$E$17:$E$21,MATCH($D63,[11]核心假设及结论!$B$17:$B$21,0))*(AW$2&gt;YEAR($K63)+1)*AV63</f>
        <v>609.14474036920217</v>
      </c>
      <c r="AX63" s="1809">
        <f>AM63*(AX$2&lt;=YEAR($K63))+AW63*$AQ63*(AX$2=YEAR($K63)+1)+INDEX([11]核心假设及结论!$E$17:$E$21,MATCH($D63,[11]核心假设及结论!$B$17:$B$21,0))*(AX$2&gt;YEAR($K63)+1)*AW63</f>
        <v>625.63702416442959</v>
      </c>
      <c r="AZ63" s="1746">
        <f t="shared" si="7"/>
        <v>45991</v>
      </c>
      <c r="BA63" s="1817">
        <f t="shared" si="8"/>
        <v>45658</v>
      </c>
      <c r="BB63" s="1817">
        <f t="shared" si="9"/>
        <v>45991</v>
      </c>
      <c r="BC63" s="1817">
        <f t="shared" si="10"/>
        <v>46022</v>
      </c>
      <c r="BD63" s="1818">
        <f t="shared" si="11"/>
        <v>334</v>
      </c>
      <c r="BE63" s="1818">
        <f t="shared" si="12"/>
        <v>31</v>
      </c>
      <c r="BG63" s="1777">
        <f t="shared" si="28"/>
        <v>285.74802</v>
      </c>
      <c r="BH63" s="1777">
        <f t="shared" si="30"/>
        <v>286.40509109077408</v>
      </c>
      <c r="BI63" s="1777">
        <f t="shared" si="30"/>
        <v>294.15936315393611</v>
      </c>
      <c r="BJ63" s="1777">
        <f t="shared" si="30"/>
        <v>302.12357818633984</v>
      </c>
      <c r="BK63" s="1777">
        <f t="shared" si="30"/>
        <v>310.30342028701813</v>
      </c>
      <c r="BL63" s="1777">
        <f t="shared" si="30"/>
        <v>318.70472744909171</v>
      </c>
      <c r="BM63" s="1777">
        <f t="shared" si="30"/>
        <v>298.84538051786291</v>
      </c>
      <c r="BO63" s="1739">
        <f t="shared" si="15"/>
        <v>2025</v>
      </c>
      <c r="BP63" s="1742">
        <f>_xlfn.IFNA(INDEX($AR63:$AX63,MATCH(BO63,$AR$2:$AX$2,0))*12/365*[11]核心假设及结论!$C$70*$H63,0)</f>
        <v>234861.38630136987</v>
      </c>
      <c r="BR63" s="1739">
        <f t="shared" si="20"/>
        <v>2028</v>
      </c>
      <c r="BS63" s="1742">
        <f>_xlfn.IFNA(INDEX($AR63:$AX63,MATCH(BR63,$AR$2:$AX$2,0))*12/365*[11]核心假设及结论!$C$70*$H63,0)</f>
        <v>247751.05127123842</v>
      </c>
      <c r="BU63" s="1739">
        <f t="shared" si="21"/>
        <v>2031</v>
      </c>
      <c r="BV63" s="1742">
        <f>_xlfn.IFNA(INDEX($AR63:$AX63,MATCH(BU63,$AR$2:$AX$2,0))*12/365*[11]核心假设及结论!$C$70*$H63,0)</f>
        <v>268423.99447712244</v>
      </c>
      <c r="BX63" s="1739">
        <f t="shared" si="22"/>
        <v>2034</v>
      </c>
      <c r="BY63" s="1742">
        <f>_xlfn.IFNA(INDEX($AR63:$AX63,MATCH(BX63,$AR$2:$AX$2,0))*12/365*[11]核心假设及结论!$C$70*$H63,0)</f>
        <v>0</v>
      </c>
      <c r="CA63" s="1739">
        <f t="shared" si="23"/>
        <v>2037</v>
      </c>
      <c r="CB63" s="1742">
        <f>_xlfn.IFNA(INDEX($AR63:$AX63,MATCH(CA63,$AR$2:$AX$2,0))*12/365*[11]核心假设及结论!$C$70*$H63,0)</f>
        <v>0</v>
      </c>
    </row>
    <row r="64" spans="1:80" ht="30" customHeight="1">
      <c r="A64" s="1756" t="s">
        <v>1662</v>
      </c>
      <c r="B64" s="1757" t="s">
        <v>1807</v>
      </c>
      <c r="C64" s="1756" t="s">
        <v>1808</v>
      </c>
      <c r="D64" s="1756" t="s">
        <v>1685</v>
      </c>
      <c r="E64" s="1758" t="s">
        <v>1718</v>
      </c>
      <c r="F64" s="1759"/>
      <c r="G64" s="1760" t="s">
        <v>1661</v>
      </c>
      <c r="H64" s="1761">
        <v>433</v>
      </c>
      <c r="I64" s="1761" t="s">
        <v>1782</v>
      </c>
      <c r="J64" s="1773">
        <v>45170</v>
      </c>
      <c r="K64" s="1773">
        <v>46515</v>
      </c>
      <c r="L64" s="1764">
        <f t="shared" si="1"/>
        <v>45</v>
      </c>
      <c r="M64" s="1774">
        <f t="shared" si="16"/>
        <v>312370.53000000003</v>
      </c>
      <c r="N64" s="1775">
        <f t="shared" si="17"/>
        <v>608.41000000000008</v>
      </c>
      <c r="O64" s="1760">
        <v>263441.53000000003</v>
      </c>
      <c r="P64" s="1776">
        <v>0.16</v>
      </c>
      <c r="Q64" s="1783">
        <f t="shared" si="2"/>
        <v>95</v>
      </c>
      <c r="R64" s="1784">
        <v>41135</v>
      </c>
      <c r="S64" s="1777">
        <f t="shared" si="3"/>
        <v>18</v>
      </c>
      <c r="T64" s="1784">
        <v>7794</v>
      </c>
      <c r="U64" s="1777"/>
      <c r="V64" s="1785">
        <v>910211.72</v>
      </c>
      <c r="W64" s="1785">
        <f t="shared" si="4"/>
        <v>2102.1055889145496</v>
      </c>
      <c r="X64" s="1786">
        <f>(N64+Q64+S64)*H64/V64</f>
        <v>0.34318447360796456</v>
      </c>
      <c r="Y64" s="1789">
        <f>VLOOKUP(E64,[11]核心假设及结论!$C$25:$E$45,3,0)</f>
        <v>0.2</v>
      </c>
      <c r="Z64" s="1790">
        <f t="shared" si="33"/>
        <v>263441.52999999997</v>
      </c>
      <c r="AA64" s="1790">
        <f t="shared" si="33"/>
        <v>269940.86</v>
      </c>
      <c r="AB64" s="1790">
        <f t="shared" si="33"/>
        <v>276578.75</v>
      </c>
      <c r="AC64" s="1790">
        <f t="shared" si="32"/>
        <v>0</v>
      </c>
      <c r="AD64" s="1790">
        <f t="shared" si="32"/>
        <v>0</v>
      </c>
      <c r="AE64" s="1790">
        <f t="shared" si="32"/>
        <v>0</v>
      </c>
      <c r="AF64" s="1790">
        <f t="shared" si="32"/>
        <v>0</v>
      </c>
      <c r="AG64" s="1794">
        <v>608.41</v>
      </c>
      <c r="AH64" s="1794">
        <v>623.41999999999996</v>
      </c>
      <c r="AI64" s="1794">
        <v>638.75</v>
      </c>
      <c r="AJ64" s="1794">
        <v>0</v>
      </c>
      <c r="AK64" s="1794">
        <v>0</v>
      </c>
      <c r="AL64" s="1794">
        <v>0</v>
      </c>
      <c r="AM64" s="1794">
        <v>0</v>
      </c>
      <c r="AN64" s="1797"/>
      <c r="AO64" s="1797"/>
      <c r="AP64" s="1808">
        <f t="shared" si="18"/>
        <v>1.7159223680398228</v>
      </c>
      <c r="AQ64" s="1810">
        <f>IF(AP64&gt;[11]核心假设及结论!$B$59,[11]核心假设及结论!$D$59,IF(AP64&lt;=[11]核心假设及结论!$B$58,[11]核心假设及结论!$D$57,[11]核心假设及结论!$D$58))</f>
        <v>1</v>
      </c>
      <c r="AR64" s="1809">
        <f t="shared" si="19"/>
        <v>608.41</v>
      </c>
      <c r="AS64" s="1809">
        <f>AH64*(AS$2&lt;=YEAR($K64))+AR64*$AQ64*(AS$2=YEAR($K64)+1)+INDEX([11]核心假设及结论!$E$17:$E$21,MATCH($D64,[11]核心假设及结论!$B$17:$B$21,0))*(AS$2&gt;YEAR($K64)+1)*AR64</f>
        <v>623.41999999999996</v>
      </c>
      <c r="AT64" s="1809">
        <f>AI64*(AT$2&lt;=YEAR($K64))+AS64*$AQ64*(AT$2=YEAR($K64)+1)+INDEX([11]核心假设及结论!$E$17:$E$21,MATCH($D64,[11]核心假设及结论!$B$17:$B$21,0))*(AT$2&gt;YEAR($K64)+1)*AS64</f>
        <v>638.75</v>
      </c>
      <c r="AU64" s="1811">
        <f>AJ64*(AU$2&lt;=YEAR($K64))+AT64*$AQ64*(AU$2=YEAR($K64)+1)+INDEX([11]核心假设及结论!$E$17:$E$21,MATCH($D64,[11]核心假设及结论!$B$17:$B$21,0))*(AU$2&gt;YEAR($K64)+1)*AT64</f>
        <v>638.75</v>
      </c>
      <c r="AV64" s="1809">
        <f>AK64*(AV$2&lt;=YEAR($K64))+AU64*$AQ64*(AV$2=YEAR($K64)+1)+INDEX([11]核心假设及结论!$E$17:$E$21,MATCH($D64,[11]核心假设及结论!$B$17:$B$21,0))*(AV$2&gt;YEAR($K64)+1)*AU64</f>
        <v>656.04383113086817</v>
      </c>
      <c r="AW64" s="1809">
        <f>AL64*(AW$2&lt;=YEAR($K64))+AV64*$AQ64*(AW$2=YEAR($K64)+1)+INDEX([11]核心假设及结论!$E$17:$E$21,MATCH($D64,[11]核心假设及结论!$B$17:$B$21,0))*(AW$2&gt;YEAR($K64)+1)*AV64</f>
        <v>673.8058839371696</v>
      </c>
      <c r="AX64" s="1809">
        <f>AM64*(AX$2&lt;=YEAR($K64))+AW64*$AQ64*(AX$2=YEAR($K64)+1)+INDEX([11]核心假设及结论!$E$17:$E$21,MATCH($D64,[11]核心假设及结论!$B$17:$B$21,0))*(AX$2&gt;YEAR($K64)+1)*AW64</f>
        <v>692.04883528244522</v>
      </c>
      <c r="AZ64" s="1746">
        <f t="shared" si="7"/>
        <v>46515</v>
      </c>
      <c r="BA64" s="1817">
        <f t="shared" si="8"/>
        <v>45658</v>
      </c>
      <c r="BB64" s="1817">
        <f t="shared" si="9"/>
        <v>45785</v>
      </c>
      <c r="BC64" s="1817">
        <f t="shared" si="10"/>
        <v>46022</v>
      </c>
      <c r="BD64" s="1818">
        <f t="shared" si="11"/>
        <v>128</v>
      </c>
      <c r="BE64" s="1818">
        <f t="shared" si="12"/>
        <v>237</v>
      </c>
      <c r="BG64" s="1777">
        <f t="shared" si="28"/>
        <v>321.19397148493147</v>
      </c>
      <c r="BH64" s="1777">
        <f t="shared" si="30"/>
        <v>329.10113039999999</v>
      </c>
      <c r="BI64" s="1777">
        <f t="shared" si="30"/>
        <v>331.89449999999999</v>
      </c>
      <c r="BJ64" s="1777">
        <f t="shared" si="30"/>
        <v>337.72916381747115</v>
      </c>
      <c r="BK64" s="1777">
        <f t="shared" si="30"/>
        <v>346.87300902612662</v>
      </c>
      <c r="BL64" s="1777">
        <f t="shared" si="30"/>
        <v>356.26441918965537</v>
      </c>
      <c r="BM64" s="1777">
        <f t="shared" si="30"/>
        <v>126.10229472885779</v>
      </c>
      <c r="BO64" s="1739">
        <f t="shared" si="15"/>
        <v>2027</v>
      </c>
      <c r="BP64" s="1742">
        <f>_xlfn.IFNA(INDEX($AR64:$AX64,MATCH(BO64,$AR$2:$AX$2,0))*12/365*[11]核心假设及结论!$C$70*$H64,0)</f>
        <v>272790</v>
      </c>
      <c r="BR64" s="1739">
        <f t="shared" si="20"/>
        <v>2031</v>
      </c>
      <c r="BS64" s="1742">
        <f>_xlfn.IFNA(INDEX($AR64:$AX64,MATCH(BR64,$AR$2:$AX$2,0))*12/365*[11]核心假设及结论!$C$70*$H64,0)</f>
        <v>295552.25327076053</v>
      </c>
      <c r="BU64" s="1739">
        <f t="shared" si="21"/>
        <v>2035</v>
      </c>
      <c r="BV64" s="1742">
        <f>_xlfn.IFNA(INDEX($AR64:$AX64,MATCH(BU64,$AR$2:$AX$2,0))*12/365*[11]核心假设及结论!$C$70*$H64,0)</f>
        <v>0</v>
      </c>
      <c r="BX64" s="1739">
        <f t="shared" si="22"/>
        <v>2039</v>
      </c>
      <c r="BY64" s="1742">
        <f>_xlfn.IFNA(INDEX($AR64:$AX64,MATCH(BX64,$AR$2:$AX$2,0))*12/365*[11]核心假设及结论!$C$70*$H64,0)</f>
        <v>0</v>
      </c>
      <c r="CA64" s="1739">
        <f t="shared" si="23"/>
        <v>2043</v>
      </c>
      <c r="CB64" s="1742">
        <f>_xlfn.IFNA(INDEX($AR64:$AX64,MATCH(CA64,$AR$2:$AX$2,0))*12/365*[11]核心假设及结论!$C$70*$H64,0)</f>
        <v>0</v>
      </c>
    </row>
    <row r="65" spans="1:80" ht="30" customHeight="1">
      <c r="A65" s="1756" t="s">
        <v>1662</v>
      </c>
      <c r="B65" s="1757" t="s">
        <v>1809</v>
      </c>
      <c r="C65" s="1756" t="s">
        <v>1810</v>
      </c>
      <c r="D65" s="1756" t="s">
        <v>1698</v>
      </c>
      <c r="E65" s="1758" t="s">
        <v>1698</v>
      </c>
      <c r="F65" s="1759"/>
      <c r="G65" s="1760" t="s">
        <v>1661</v>
      </c>
      <c r="H65" s="1761">
        <v>418</v>
      </c>
      <c r="I65" s="1761" t="s">
        <v>1782</v>
      </c>
      <c r="J65" s="1773">
        <v>44119</v>
      </c>
      <c r="K65" s="1773">
        <v>47040</v>
      </c>
      <c r="L65" s="1764">
        <f t="shared" si="1"/>
        <v>96</v>
      </c>
      <c r="M65" s="1774">
        <f t="shared" si="16"/>
        <v>211361.563333333</v>
      </c>
      <c r="N65" s="1775">
        <f t="shared" si="17"/>
        <v>380.20833333333252</v>
      </c>
      <c r="O65" s="1760">
        <v>158927.08333333299</v>
      </c>
      <c r="P65" s="1776">
        <v>0.11</v>
      </c>
      <c r="Q65" s="1783">
        <f t="shared" si="2"/>
        <v>107.27272727272727</v>
      </c>
      <c r="R65" s="1784">
        <v>44840</v>
      </c>
      <c r="S65" s="1777">
        <f t="shared" si="3"/>
        <v>18.168612440191385</v>
      </c>
      <c r="T65" s="1784">
        <v>7594.48</v>
      </c>
      <c r="U65" s="1777"/>
      <c r="V65" s="1785">
        <v>1151110.1708333299</v>
      </c>
      <c r="W65" s="1785">
        <f t="shared" si="4"/>
        <v>2753.852083333325</v>
      </c>
      <c r="X65" s="1786">
        <f>(N65+Q65)*H65/V65</f>
        <v>0.17701788108241517</v>
      </c>
      <c r="Y65" s="1789">
        <f>VLOOKUP(E65,[11]核心假设及结论!$C$25:$E$45,3,0)</f>
        <v>0.2</v>
      </c>
      <c r="Z65" s="1790">
        <f t="shared" si="33"/>
        <v>158927.08333333317</v>
      </c>
      <c r="AA65" s="1790">
        <f t="shared" si="33"/>
        <v>177996.94</v>
      </c>
      <c r="AB65" s="1790">
        <f t="shared" si="33"/>
        <v>183338.98</v>
      </c>
      <c r="AC65" s="1790">
        <f t="shared" si="32"/>
        <v>188839.86</v>
      </c>
      <c r="AD65" s="1790">
        <f t="shared" si="32"/>
        <v>0</v>
      </c>
      <c r="AE65" s="1790">
        <f t="shared" si="32"/>
        <v>0</v>
      </c>
      <c r="AF65" s="1790">
        <f t="shared" si="32"/>
        <v>0</v>
      </c>
      <c r="AG65" s="1794">
        <v>380.20833333333297</v>
      </c>
      <c r="AH65" s="1794">
        <v>425.83</v>
      </c>
      <c r="AI65" s="1794">
        <v>438.61</v>
      </c>
      <c r="AJ65" s="1794">
        <v>451.77</v>
      </c>
      <c r="AK65" s="1794">
        <v>0</v>
      </c>
      <c r="AL65" s="1794">
        <v>0</v>
      </c>
      <c r="AM65" s="1794">
        <v>0</v>
      </c>
      <c r="AN65" s="1797"/>
      <c r="AO65" s="1797"/>
      <c r="AP65" s="1808">
        <f t="shared" si="18"/>
        <v>0.88508940541207581</v>
      </c>
      <c r="AQ65" s="1812">
        <f>IF(AP65&gt;[11]核心假设及结论!$B$62,[11]核心假设及结论!$D$62,IF(AP65&lt;=[11]核心假设及结论!$B$61,[11]核心假设及结论!$D$60,[11]核心假设及结论!$D$61))</f>
        <v>1.0811176582269599</v>
      </c>
      <c r="AR65" s="1809">
        <f t="shared" si="19"/>
        <v>380.20833333333297</v>
      </c>
      <c r="AS65" s="1809">
        <f>AH65*(AS$2&lt;=YEAR($K65))+AR65*$AQ65*(AS$2=YEAR($K65)+1)+INDEX([11]核心假设及结论!$E$17:$E$21,MATCH($D65,[11]核心假设及结论!$B$17:$B$21,0))*(AS$2&gt;YEAR($K65)+1)*AR65</f>
        <v>425.83</v>
      </c>
      <c r="AT65" s="1809">
        <f>AI65*(AT$2&lt;=YEAR($K65))+AS65*$AQ65*(AT$2=YEAR($K65)+1)+INDEX([11]核心假设及结论!$E$17:$E$21,MATCH($D65,[11]核心假设及结论!$B$17:$B$21,0))*(AT$2&gt;YEAR($K65)+1)*AS65</f>
        <v>438.61</v>
      </c>
      <c r="AU65" s="1809">
        <f>AJ65*(AU$2&lt;=YEAR($K65))+AT65*$AQ65*(AU$2=YEAR($K65)+1)+INDEX([11]核心假设及结论!$E$17:$E$21,MATCH($D65,[11]核心假设及结论!$B$17:$B$21,0))*(AU$2&gt;YEAR($K65)+1)*AT65</f>
        <v>451.77</v>
      </c>
      <c r="AV65" s="1811">
        <f>AK65*(AV$2&lt;=YEAR($K65))+AU65*$AQ65*(AV$2=YEAR($K65)+1)+INDEX([11]核心假设及结论!$E$17:$E$21,MATCH($D65,[11]核心假设及结论!$B$17:$B$21,0))*(AV$2&gt;YEAR($K65)+1)*AU65</f>
        <v>488.41652445719365</v>
      </c>
      <c r="AW65" s="1809">
        <f>AL65*(AW$2&lt;=YEAR($K65))+AV65*$AQ65*(AW$2=YEAR($K65)+1)+INDEX([11]核心假设及结论!$E$17:$E$21,MATCH($D65,[11]核心假设及结论!$B$17:$B$21,0))*(AW$2&gt;YEAR($K65)+1)*AV65</f>
        <v>503.37057117303414</v>
      </c>
      <c r="AX65" s="1809">
        <f>AM65*(AX$2&lt;=YEAR($K65))+AW65*$AQ65*(AX$2=YEAR($K65)+1)+INDEX([11]核心假设及结论!$E$17:$E$21,MATCH($D65,[11]核心假设及结论!$B$17:$B$21,0))*(AX$2&gt;YEAR($K65)+1)*AW65</f>
        <v>518.7824719990075</v>
      </c>
      <c r="AZ65" s="1746">
        <f t="shared" si="7"/>
        <v>47040</v>
      </c>
      <c r="BA65" s="1817">
        <f t="shared" si="8"/>
        <v>45658</v>
      </c>
      <c r="BB65" s="1817">
        <f t="shared" si="9"/>
        <v>45944</v>
      </c>
      <c r="BC65" s="1817">
        <f t="shared" si="10"/>
        <v>46022</v>
      </c>
      <c r="BD65" s="1818">
        <f t="shared" si="11"/>
        <v>287</v>
      </c>
      <c r="BE65" s="1818">
        <f t="shared" si="12"/>
        <v>78</v>
      </c>
      <c r="BG65" s="1777">
        <f t="shared" si="28"/>
        <v>195.60274269589027</v>
      </c>
      <c r="BH65" s="1777">
        <f t="shared" si="30"/>
        <v>214.96623195616436</v>
      </c>
      <c r="BI65" s="1777">
        <f t="shared" si="30"/>
        <v>221.41741262465757</v>
      </c>
      <c r="BJ65" s="1777">
        <f t="shared" si="30"/>
        <v>230.53601813721318</v>
      </c>
      <c r="BK65" s="1777">
        <f t="shared" si="30"/>
        <v>246.59267137169522</v>
      </c>
      <c r="BL65" s="1777">
        <f t="shared" si="30"/>
        <v>254.14269915090361</v>
      </c>
      <c r="BM65" s="1777">
        <f t="shared" si="30"/>
        <v>204.61235518630005</v>
      </c>
      <c r="BO65" s="1739">
        <f t="shared" si="15"/>
        <v>2028</v>
      </c>
      <c r="BP65" s="1742">
        <f>_xlfn.IFNA(INDEX($AR65:$AX65,MATCH(BO65,$AR$2:$AX$2,0))*12/365*[11]核心假设及结论!$C$70*$H65,0)</f>
        <v>186253.01260273971</v>
      </c>
      <c r="BR65" s="1739">
        <f t="shared" si="20"/>
        <v>2036</v>
      </c>
      <c r="BS65" s="1742">
        <f>_xlfn.IFNA(INDEX($AR65:$AX65,MATCH(BR65,$AR$2:$AX$2,0))*12/365*[11]核心假设及结论!$C$70*$H65,0)</f>
        <v>0</v>
      </c>
      <c r="BU65" s="1739">
        <f t="shared" si="21"/>
        <v>2044</v>
      </c>
      <c r="BV65" s="1742">
        <f>_xlfn.IFNA(INDEX($AR65:$AX65,MATCH(BU65,$AR$2:$AX$2,0))*12/365*[11]核心假设及结论!$C$70*$H65,0)</f>
        <v>0</v>
      </c>
      <c r="BX65" s="1739">
        <f t="shared" si="22"/>
        <v>2052</v>
      </c>
      <c r="BY65" s="1742">
        <f>_xlfn.IFNA(INDEX($AR65:$AX65,MATCH(BX65,$AR$2:$AX$2,0))*12/365*[11]核心假设及结论!$C$70*$H65,0)</f>
        <v>0</v>
      </c>
      <c r="CA65" s="1739">
        <f t="shared" si="23"/>
        <v>2060</v>
      </c>
      <c r="CB65" s="1742">
        <f>_xlfn.IFNA(INDEX($AR65:$AX65,MATCH(CA65,$AR$2:$AX$2,0))*12/365*[11]核心假设及结论!$C$70*$H65,0)</f>
        <v>0</v>
      </c>
    </row>
    <row r="66" spans="1:80" ht="30" customHeight="1">
      <c r="A66" s="1756" t="s">
        <v>1687</v>
      </c>
      <c r="B66" s="1757" t="s">
        <v>1811</v>
      </c>
      <c r="C66" s="1756" t="s">
        <v>1812</v>
      </c>
      <c r="D66" s="1756" t="s">
        <v>1685</v>
      </c>
      <c r="E66" s="1758" t="s">
        <v>1692</v>
      </c>
      <c r="F66" s="1759"/>
      <c r="G66" s="1760" t="s">
        <v>1661</v>
      </c>
      <c r="H66" s="1761">
        <v>414</v>
      </c>
      <c r="I66" s="1761" t="s">
        <v>1782</v>
      </c>
      <c r="J66" s="1773">
        <v>45231</v>
      </c>
      <c r="K66" s="1773">
        <v>46332</v>
      </c>
      <c r="L66" s="1764">
        <f t="shared" si="1"/>
        <v>37</v>
      </c>
      <c r="M66" s="1774">
        <f t="shared" si="16"/>
        <v>260352.18</v>
      </c>
      <c r="N66" s="1775">
        <f t="shared" si="17"/>
        <v>515.87</v>
      </c>
      <c r="O66" s="1760">
        <v>213570.18</v>
      </c>
      <c r="P66" s="1776">
        <v>0.18</v>
      </c>
      <c r="Q66" s="1783">
        <f t="shared" si="2"/>
        <v>95</v>
      </c>
      <c r="R66" s="1784">
        <v>39330</v>
      </c>
      <c r="S66" s="1777">
        <f t="shared" si="3"/>
        <v>18</v>
      </c>
      <c r="T66" s="1784">
        <v>7452</v>
      </c>
      <c r="U66" s="1777"/>
      <c r="V66" s="1785">
        <v>763250.51666666695</v>
      </c>
      <c r="W66" s="1785">
        <f t="shared" si="4"/>
        <v>1843.6002818035433</v>
      </c>
      <c r="X66" s="1786">
        <f>(N66+Q66+S66)*H66/V66</f>
        <v>0.34110973306252362</v>
      </c>
      <c r="Y66" s="1789">
        <f>VLOOKUP(E66,[11]核心假设及结论!$C$25:$E$45,3,0)</f>
        <v>0.2</v>
      </c>
      <c r="Z66" s="1790">
        <f t="shared" si="33"/>
        <v>226412.46</v>
      </c>
      <c r="AA66" s="1790">
        <f t="shared" si="33"/>
        <v>240012.36000000002</v>
      </c>
      <c r="AB66" s="1790">
        <f t="shared" si="33"/>
        <v>0</v>
      </c>
      <c r="AC66" s="1790">
        <f t="shared" si="32"/>
        <v>0</v>
      </c>
      <c r="AD66" s="1790">
        <f t="shared" si="32"/>
        <v>0</v>
      </c>
      <c r="AE66" s="1790">
        <f t="shared" si="32"/>
        <v>0</v>
      </c>
      <c r="AF66" s="1790">
        <f t="shared" si="32"/>
        <v>0</v>
      </c>
      <c r="AG66" s="1794">
        <v>546.89</v>
      </c>
      <c r="AH66" s="1794">
        <v>579.74</v>
      </c>
      <c r="AI66" s="1794">
        <v>0</v>
      </c>
      <c r="AJ66" s="1794">
        <v>0</v>
      </c>
      <c r="AK66" s="1794">
        <v>0</v>
      </c>
      <c r="AL66" s="1794">
        <v>0</v>
      </c>
      <c r="AM66" s="1794">
        <v>0</v>
      </c>
      <c r="AN66" s="1797"/>
      <c r="AO66" s="1797"/>
      <c r="AP66" s="1808">
        <f t="shared" si="18"/>
        <v>1.705548665312618</v>
      </c>
      <c r="AQ66" s="1810">
        <f>IF(AP66&gt;[11]核心假设及结论!$B$59,[11]核心假设及结论!$D$59,IF(AP66&lt;=[11]核心假设及结论!$B$58,[11]核心假设及结论!$D$57,[11]核心假设及结论!$D$58))</f>
        <v>1</v>
      </c>
      <c r="AR66" s="1809">
        <f t="shared" si="19"/>
        <v>546.89</v>
      </c>
      <c r="AS66" s="1809">
        <f>AH66*(AS$2&lt;=YEAR($K66))+AR66*$AQ66*(AS$2=YEAR($K66)+1)+INDEX([11]核心假设及结论!$E$17:$E$21,MATCH($D66,[11]核心假设及结论!$B$17:$B$21,0))*(AS$2&gt;YEAR($K66)+1)*AR66</f>
        <v>579.74</v>
      </c>
      <c r="AT66" s="1811">
        <f>AI66*(AT$2&lt;=YEAR($K66))+AS66*$AQ66*(AT$2=YEAR($K66)+1)+INDEX([11]核心假设及结论!$E$17:$E$21,MATCH($D66,[11]核心假设及结论!$B$17:$B$21,0))*(AT$2&gt;YEAR($K66)+1)*AS66</f>
        <v>579.74</v>
      </c>
      <c r="AU66" s="1809">
        <f>AJ66*(AU$2&lt;=YEAR($K66))+AT66*$AQ66*(AU$2=YEAR($K66)+1)+INDEX([11]核心假设及结论!$E$17:$E$21,MATCH($D66,[11]核心假设及结论!$B$17:$B$21,0))*(AU$2&gt;YEAR($K66)+1)*AT66</f>
        <v>595.43616541653159</v>
      </c>
      <c r="AV66" s="1809">
        <f>AK66*(AV$2&lt;=YEAR($K66))+AU66*$AQ66*(AV$2=YEAR($K66)+1)+INDEX([11]核心假设及结论!$E$17:$E$21,MATCH($D66,[11]核心假设及结论!$B$17:$B$21,0))*(AV$2&gt;YEAR($K66)+1)*AU66</f>
        <v>611.55729652248101</v>
      </c>
      <c r="AW66" s="1809">
        <f>AL66*(AW$2&lt;=YEAR($K66))+AV66*$AQ66*(AW$2=YEAR($K66)+1)+INDEX([11]核心假设及结论!$E$17:$E$21,MATCH($D66,[11]核心假设及结论!$B$17:$B$21,0))*(AW$2&gt;YEAR($K66)+1)*AV66</f>
        <v>628.1148990475848</v>
      </c>
      <c r="AX66" s="1809">
        <f>AM66*(AX$2&lt;=YEAR($K66))+AW66*$AQ66*(AX$2=YEAR($K66)+1)+INDEX([11]核心假设及结论!$E$17:$E$21,MATCH($D66,[11]核心假设及结论!$B$17:$B$21,0))*(AX$2&gt;YEAR($K66)+1)*AW66</f>
        <v>645.12079023335582</v>
      </c>
      <c r="AZ66" s="1746">
        <f t="shared" si="7"/>
        <v>46332</v>
      </c>
      <c r="BA66" s="1817">
        <f t="shared" si="8"/>
        <v>45658</v>
      </c>
      <c r="BB66" s="1817">
        <f t="shared" si="9"/>
        <v>45967</v>
      </c>
      <c r="BC66" s="1817">
        <f t="shared" si="10"/>
        <v>46022</v>
      </c>
      <c r="BD66" s="1818">
        <f t="shared" si="11"/>
        <v>310</v>
      </c>
      <c r="BE66" s="1818">
        <f t="shared" si="12"/>
        <v>55</v>
      </c>
      <c r="BG66" s="1777">
        <f t="shared" si="28"/>
        <v>274.15411199999994</v>
      </c>
      <c r="BH66" s="1777">
        <f t="shared" si="30"/>
        <v>288.01483199999996</v>
      </c>
      <c r="BI66" s="1777">
        <f t="shared" si="30"/>
        <v>289.18985124340082</v>
      </c>
      <c r="BJ66" s="1777">
        <f t="shared" si="30"/>
        <v>297.01951927027255</v>
      </c>
      <c r="BK66" s="1777">
        <f t="shared" si="30"/>
        <v>305.06117157372728</v>
      </c>
      <c r="BL66" s="1777">
        <f t="shared" si="30"/>
        <v>313.32054752015517</v>
      </c>
      <c r="BM66" s="1777">
        <f t="shared" si="30"/>
        <v>272.20208948564022</v>
      </c>
      <c r="BO66" s="1739">
        <f t="shared" si="15"/>
        <v>2026</v>
      </c>
      <c r="BP66" s="1742">
        <f>_xlfn.IFNA(INDEX($AR66:$AX66,MATCH(BO66,$AR$2:$AX$2,0))*12/365*[11]核心假设及结论!$C$70*$H66,0)</f>
        <v>236724.51945205478</v>
      </c>
      <c r="BR66" s="1739">
        <f t="shared" si="20"/>
        <v>2029</v>
      </c>
      <c r="BS66" s="1742">
        <f>_xlfn.IFNA(INDEX($AR66:$AX66,MATCH(BR66,$AR$2:$AX$2,0))*12/365*[11]核心假设及结论!$C$70*$H66,0)</f>
        <v>249716.43691427552</v>
      </c>
      <c r="BU66" s="1739">
        <f t="shared" si="21"/>
        <v>2032</v>
      </c>
      <c r="BV66" s="1742">
        <f>_xlfn.IFNA(INDEX($AR66:$AX66,MATCH(BU66,$AR$2:$AX$2,0))*12/365*[11]核心假设及结论!$C$70*$H66,0)</f>
        <v>0</v>
      </c>
      <c r="BX66" s="1739">
        <f t="shared" si="22"/>
        <v>2035</v>
      </c>
      <c r="BY66" s="1742">
        <f>_xlfn.IFNA(INDEX($AR66:$AX66,MATCH(BX66,$AR$2:$AX$2,0))*12/365*[11]核心假设及结论!$C$70*$H66,0)</f>
        <v>0</v>
      </c>
      <c r="CA66" s="1739">
        <f t="shared" si="23"/>
        <v>2038</v>
      </c>
      <c r="CB66" s="1742">
        <f>_xlfn.IFNA(INDEX($AR66:$AX66,MATCH(CA66,$AR$2:$AX$2,0))*12/365*[11]核心假设及结论!$C$70*$H66,0)</f>
        <v>0</v>
      </c>
    </row>
    <row r="67" spans="1:80" ht="30" customHeight="1">
      <c r="A67" s="1756" t="s">
        <v>1687</v>
      </c>
      <c r="B67" s="1757" t="s">
        <v>1813</v>
      </c>
      <c r="C67" s="1756" t="s">
        <v>1814</v>
      </c>
      <c r="D67" s="1756" t="s">
        <v>1685</v>
      </c>
      <c r="E67" s="1758" t="s">
        <v>1692</v>
      </c>
      <c r="F67" s="1759"/>
      <c r="G67" s="1760" t="s">
        <v>1661</v>
      </c>
      <c r="H67" s="1761">
        <v>411</v>
      </c>
      <c r="I67" s="1761" t="s">
        <v>1782</v>
      </c>
      <c r="J67" s="1773">
        <v>45446</v>
      </c>
      <c r="K67" s="1773">
        <v>45902</v>
      </c>
      <c r="L67" s="1764">
        <f t="shared" si="1"/>
        <v>15</v>
      </c>
      <c r="M67" s="1774">
        <f t="shared" si="16"/>
        <v>268230.93</v>
      </c>
      <c r="N67" s="1775">
        <f t="shared" si="17"/>
        <v>539.9</v>
      </c>
      <c r="O67" s="1760">
        <v>221898.9</v>
      </c>
      <c r="P67" s="1776">
        <v>0.14000000000000001</v>
      </c>
      <c r="Q67" s="1783">
        <f t="shared" si="2"/>
        <v>95</v>
      </c>
      <c r="R67" s="1784">
        <v>39045</v>
      </c>
      <c r="S67" s="1777">
        <f t="shared" si="3"/>
        <v>17.73</v>
      </c>
      <c r="T67" s="1777">
        <v>7287.03</v>
      </c>
      <c r="U67" s="1777"/>
      <c r="V67" s="1785">
        <v>886438.42416666704</v>
      </c>
      <c r="W67" s="1785">
        <f t="shared" si="4"/>
        <v>2156.7844870235208</v>
      </c>
      <c r="X67" s="1786">
        <f t="shared" ref="X67:X82" si="35">(N67+Q67)*H67/V67</f>
        <v>0.29437340810819551</v>
      </c>
      <c r="Y67" s="1789">
        <f>VLOOKUP(E67,[11]核心假设及结论!$C$25:$E$45,3,0)</f>
        <v>0.2</v>
      </c>
      <c r="Z67" s="1790">
        <f t="shared" si="33"/>
        <v>221898.9</v>
      </c>
      <c r="AA67" s="1790">
        <f t="shared" si="33"/>
        <v>0</v>
      </c>
      <c r="AB67" s="1790">
        <f t="shared" si="33"/>
        <v>0</v>
      </c>
      <c r="AC67" s="1790">
        <f t="shared" si="32"/>
        <v>0</v>
      </c>
      <c r="AD67" s="1790">
        <f t="shared" si="32"/>
        <v>0</v>
      </c>
      <c r="AE67" s="1790">
        <f t="shared" si="32"/>
        <v>0</v>
      </c>
      <c r="AF67" s="1790">
        <f t="shared" si="32"/>
        <v>0</v>
      </c>
      <c r="AG67" s="1794">
        <v>539.9</v>
      </c>
      <c r="AH67" s="1794">
        <v>0</v>
      </c>
      <c r="AI67" s="1794">
        <v>0</v>
      </c>
      <c r="AJ67" s="1794">
        <v>0</v>
      </c>
      <c r="AK67" s="1794">
        <v>0</v>
      </c>
      <c r="AL67" s="1794">
        <v>0</v>
      </c>
      <c r="AM67" s="1794">
        <v>0</v>
      </c>
      <c r="AN67" s="1795"/>
      <c r="AO67" s="1795"/>
      <c r="AP67" s="1808">
        <f t="shared" si="18"/>
        <v>1.4718670405409775</v>
      </c>
      <c r="AQ67" s="1810">
        <f>IF(AP67&gt;[11]核心假设及结论!$B$59,[11]核心假设及结论!$D$59,IF(AP67&lt;=[11]核心假设及结论!$B$58,[11]核心假设及结论!$D$57,[11]核心假设及结论!$D$58))</f>
        <v>1.0069999999999999</v>
      </c>
      <c r="AR67" s="1809">
        <f t="shared" si="19"/>
        <v>539.9</v>
      </c>
      <c r="AS67" s="1811">
        <f>AH67*(AS$2&lt;=YEAR($K67))+AR67*$AQ67*(AS$2=YEAR($K67)+1)+INDEX([11]核心假设及结论!$E$17:$E$21,MATCH($D67,[11]核心假设及结论!$B$17:$B$21,0))*(AS$2&gt;YEAR($K67)+1)*AR67</f>
        <v>543.6792999999999</v>
      </c>
      <c r="AT67" s="1809">
        <f>AI67*(AT$2&lt;=YEAR($K67))+AS67*$AQ67*(AT$2=YEAR($K67)+1)+INDEX([11]核心假设及结论!$E$17:$E$21,MATCH($D67,[11]核心假设及结论!$B$17:$B$21,0))*(AT$2&gt;YEAR($K67)+1)*AS67</f>
        <v>558.39914031866704</v>
      </c>
      <c r="AU67" s="1809">
        <f>AJ67*(AU$2&lt;=YEAR($K67))+AT67*$AQ67*(AU$2=YEAR($K67)+1)+INDEX([11]核心假设及结论!$E$17:$E$21,MATCH($D67,[11]核心假设及结论!$B$17:$B$21,0))*(AU$2&gt;YEAR($K67)+1)*AT67</f>
        <v>573.51751282166981</v>
      </c>
      <c r="AV67" s="1809">
        <f>AK67*(AV$2&lt;=YEAR($K67))+AU67*$AQ67*(AV$2=YEAR($K67)+1)+INDEX([11]核心假设及结论!$E$17:$E$21,MATCH($D67,[11]核心假设及结论!$B$17:$B$21,0))*(AV$2&gt;YEAR($K67)+1)*AU67</f>
        <v>589.04520756504905</v>
      </c>
      <c r="AW67" s="1809">
        <f>AL67*(AW$2&lt;=YEAR($K67))+AV67*$AQ67*(AW$2=YEAR($K67)+1)+INDEX([11]核心假设及结论!$E$17:$E$21,MATCH($D67,[11]核心假设及结论!$B$17:$B$21,0))*(AW$2&gt;YEAR($K67)+1)*AV67</f>
        <v>604.99330674012094</v>
      </c>
      <c r="AX67" s="1809">
        <f>AM67*(AX$2&lt;=YEAR($K67))+AW67*$AQ67*(AX$2=YEAR($K67)+1)+INDEX([11]核心假设及结论!$E$17:$E$21,MATCH($D67,[11]核心假设及结论!$B$17:$B$21,0))*(AX$2&gt;YEAR($K67)+1)*AW67</f>
        <v>621.37319258289074</v>
      </c>
      <c r="AZ67" s="1746">
        <f t="shared" si="7"/>
        <v>45902</v>
      </c>
      <c r="BA67" s="1817">
        <f t="shared" si="8"/>
        <v>45658</v>
      </c>
      <c r="BB67" s="1817">
        <f t="shared" si="9"/>
        <v>45902</v>
      </c>
      <c r="BC67" s="1817">
        <f t="shared" si="10"/>
        <v>46022</v>
      </c>
      <c r="BD67" s="1818">
        <f t="shared" si="11"/>
        <v>245</v>
      </c>
      <c r="BE67" s="1818">
        <f t="shared" si="12"/>
        <v>120</v>
      </c>
      <c r="BG67" s="1777">
        <f t="shared" si="28"/>
        <v>266.89148572931504</v>
      </c>
      <c r="BH67" s="1777">
        <f t="shared" si="30"/>
        <v>270.5294226214246</v>
      </c>
      <c r="BI67" s="1777">
        <f t="shared" si="30"/>
        <v>277.85386904137948</v>
      </c>
      <c r="BJ67" s="1777">
        <f t="shared" si="30"/>
        <v>285.37662112006444</v>
      </c>
      <c r="BK67" s="1777">
        <f t="shared" si="30"/>
        <v>293.10304788225329</v>
      </c>
      <c r="BL67" s="1777">
        <f t="shared" si="30"/>
        <v>301.03866371633313</v>
      </c>
      <c r="BM67" s="1777">
        <f t="shared" si="30"/>
        <v>205.70687219879733</v>
      </c>
      <c r="BO67" s="1739">
        <f t="shared" si="15"/>
        <v>2025</v>
      </c>
      <c r="BP67" s="1742">
        <f>_xlfn.IFNA(INDEX($AR67:$AX67,MATCH(BO67,$AR$2:$AX$2,0))*12/365*[11]核心假设及结论!$C$70*$H67,0)</f>
        <v>218859.18904109587</v>
      </c>
      <c r="BR67" s="1739">
        <f t="shared" si="20"/>
        <v>2026</v>
      </c>
      <c r="BS67" s="1742">
        <f>_xlfn.IFNA(INDEX($AR67:$AX67,MATCH(BR67,$AR$2:$AX$2,0))*12/365*[11]核心假设及结论!$C$70*$H67,0)</f>
        <v>220391.20336438355</v>
      </c>
      <c r="BU67" s="1739">
        <f t="shared" si="21"/>
        <v>2027</v>
      </c>
      <c r="BV67" s="1742">
        <f>_xlfn.IFNA(INDEX($AR67:$AX67,MATCH(BU67,$AR$2:$AX$2,0))*12/365*[11]核心假设及结论!$C$70*$H67,0)</f>
        <v>226358.18301794515</v>
      </c>
      <c r="BX67" s="1739">
        <f t="shared" si="22"/>
        <v>2028</v>
      </c>
      <c r="BY67" s="1742">
        <f>_xlfn.IFNA(INDEX($AR67:$AX67,MATCH(BX67,$AR$2:$AX$2,0))*12/365*[11]核心假设及结论!$C$70*$H67,0)</f>
        <v>232486.71560847751</v>
      </c>
      <c r="CA67" s="1739">
        <f t="shared" si="23"/>
        <v>2029</v>
      </c>
      <c r="CB67" s="1742">
        <f>_xlfn.IFNA(INDEX($AR67:$AX67,MATCH(CA67,$AR$2:$AX$2,0))*12/365*[11]核心假设及结论!$C$70*$H67,0)</f>
        <v>238781.17509951958</v>
      </c>
    </row>
    <row r="68" spans="1:80" ht="30" customHeight="1">
      <c r="A68" s="1756" t="s">
        <v>1666</v>
      </c>
      <c r="B68" s="1757" t="s">
        <v>1815</v>
      </c>
      <c r="C68" s="1756" t="s">
        <v>1816</v>
      </c>
      <c r="D68" s="1756" t="s">
        <v>1698</v>
      </c>
      <c r="E68" s="1758" t="s">
        <v>1698</v>
      </c>
      <c r="F68" s="1759"/>
      <c r="G68" s="1760" t="s">
        <v>1661</v>
      </c>
      <c r="H68" s="1761">
        <v>407</v>
      </c>
      <c r="I68" s="1761" t="s">
        <v>1782</v>
      </c>
      <c r="J68" s="1773">
        <v>44183</v>
      </c>
      <c r="K68" s="1773">
        <v>46008</v>
      </c>
      <c r="L68" s="1764">
        <f t="shared" ref="L68:L131" si="36">DATEDIF(J68,K68,"M")+1</f>
        <v>60</v>
      </c>
      <c r="M68" s="1774">
        <f t="shared" si="16"/>
        <v>188607.87</v>
      </c>
      <c r="N68" s="1775">
        <f t="shared" si="17"/>
        <v>349.79</v>
      </c>
      <c r="O68" s="1760">
        <v>142364.53</v>
      </c>
      <c r="P68" s="1776">
        <v>0.08</v>
      </c>
      <c r="Q68" s="1783">
        <f t="shared" ref="Q68:Q131" si="37">R68/H68</f>
        <v>95</v>
      </c>
      <c r="R68" s="1784">
        <v>38665</v>
      </c>
      <c r="S68" s="1777">
        <f t="shared" ref="S68:S131" si="38">T68/H68</f>
        <v>18.62</v>
      </c>
      <c r="T68" s="1784">
        <v>7578.34</v>
      </c>
      <c r="U68" s="1777"/>
      <c r="V68" s="1785">
        <v>1896729.1225000001</v>
      </c>
      <c r="W68" s="1785">
        <f t="shared" ref="W68:W131" si="39">V68/H68</f>
        <v>4660.2681142506144</v>
      </c>
      <c r="X68" s="1786">
        <f t="shared" si="35"/>
        <v>9.5443006517131168E-2</v>
      </c>
      <c r="Y68" s="1789">
        <f>VLOOKUP(E68,[11]核心假设及结论!$C$25:$E$45,3,0)</f>
        <v>0.2</v>
      </c>
      <c r="Z68" s="1790" t="e">
        <f>#REF!*$H68</f>
        <v>#REF!</v>
      </c>
      <c r="AA68" s="1790">
        <f>AG68*$H68</f>
        <v>148555</v>
      </c>
      <c r="AB68" s="1790">
        <f t="shared" si="33"/>
        <v>0</v>
      </c>
      <c r="AC68" s="1790">
        <f t="shared" si="32"/>
        <v>0</v>
      </c>
      <c r="AD68" s="1790">
        <f t="shared" si="32"/>
        <v>0</v>
      </c>
      <c r="AE68" s="1790">
        <f t="shared" si="32"/>
        <v>0</v>
      </c>
      <c r="AF68" s="1790">
        <f t="shared" si="32"/>
        <v>0</v>
      </c>
      <c r="AG68" s="1794">
        <v>365</v>
      </c>
      <c r="AH68" s="1741">
        <v>0</v>
      </c>
      <c r="AI68" s="1794">
        <v>0</v>
      </c>
      <c r="AJ68" s="1794">
        <v>0</v>
      </c>
      <c r="AK68" s="1794">
        <v>0</v>
      </c>
      <c r="AL68" s="1794">
        <v>0</v>
      </c>
      <c r="AM68" s="1794">
        <v>0</v>
      </c>
      <c r="AN68" s="1797"/>
      <c r="AO68" s="1797"/>
      <c r="AP68" s="1808">
        <f t="shared" si="18"/>
        <v>0.47721503258565584</v>
      </c>
      <c r="AQ68" s="1812">
        <f>IF(AP68&gt;[11]核心假设及结论!$B$62,[11]核心假设及结论!$D$62,IF(AP68&lt;=[11]核心假设及结论!$B$61,[11]核心假设及结论!$D$60,[11]核心假设及结论!$D$61))</f>
        <v>1.0811176582269599</v>
      </c>
      <c r="AR68" s="1809">
        <f t="shared" si="19"/>
        <v>365</v>
      </c>
      <c r="AS68" s="1811">
        <f>AG68*(AS$2&lt;=YEAR($K68))+AR68*$AQ68*(AS$2=YEAR($K68)+1)+INDEX([11]核心假设及结论!$E$17:$E$21,MATCH($D68,[11]核心假设及结论!$B$17:$B$21,0))*(AS$2&gt;YEAR($K68)+1)*AR68</f>
        <v>394.60794525284035</v>
      </c>
      <c r="AT68" s="1809">
        <f>AI68*(AT$2&lt;=YEAR($K68))+AS68*$AQ68*(AT$2=YEAR($K68)+1)+INDEX([11]核心假设及结论!$E$17:$E$21,MATCH($D68,[11]核心假设及结论!$B$17:$B$21,0))*(AT$2&gt;YEAR($K68)+1)*AS68</f>
        <v>406.689816672549</v>
      </c>
      <c r="AU68" s="1809">
        <f>AJ68*(AU$2&lt;=YEAR($K68))+AT68*$AQ68*(AU$2=YEAR($K68)+1)+INDEX([11]核心假设及结论!$E$17:$E$21,MATCH($D68,[11]核心假设及结论!$B$17:$B$21,0))*(AU$2&gt;YEAR($K68)+1)*AT68</f>
        <v>419.14160364707203</v>
      </c>
      <c r="AV68" s="1809">
        <f>AK68*(AV$2&lt;=YEAR($K68))+AU68*$AQ68*(AV$2=YEAR($K68)+1)+INDEX([11]核心假设及结论!$E$17:$E$21,MATCH($D68,[11]核心假设及结论!$B$17:$B$21,0))*(AV$2&gt;YEAR($K68)+1)*AU68</f>
        <v>431.97463203090172</v>
      </c>
      <c r="AW68" s="1809">
        <f>AL68*(AW$2&lt;=YEAR($K68))+AV68*$AQ68*(AW$2=YEAR($K68)+1)+INDEX([11]核心假设及结论!$E$17:$E$21,MATCH($D68,[11]核心假设及结论!$B$17:$B$21,0))*(AW$2&gt;YEAR($K68)+1)*AV68</f>
        <v>445.20057444680839</v>
      </c>
      <c r="AX68" s="1809">
        <f>AM68*(AX$2&lt;=YEAR($K68))+AW68*$AQ68*(AX$2=YEAR($K68)+1)+INDEX([11]核心假设及结论!$E$17:$E$21,MATCH($D68,[11]核心假设及结论!$B$17:$B$21,0))*(AX$2&gt;YEAR($K68)+1)*AW68</f>
        <v>458.83146090298538</v>
      </c>
      <c r="AZ68" s="1746">
        <f t="shared" ref="AZ68:AZ131" si="40">K68</f>
        <v>46008</v>
      </c>
      <c r="BA68" s="1817">
        <f t="shared" ref="BA68:BA131" si="41">$BA$2</f>
        <v>45658</v>
      </c>
      <c r="BB68" s="1817">
        <f t="shared" ref="BB68:BB131" si="42">DATE(YEAR(BA68),MONTH(AZ68),DAY(AZ68))</f>
        <v>46008</v>
      </c>
      <c r="BC68" s="1817">
        <f t="shared" ref="BC68:BC131" si="43">$BB$2</f>
        <v>46022</v>
      </c>
      <c r="BD68" s="1818">
        <f t="shared" ref="BD68:BD131" si="44">BB68-BA68+1</f>
        <v>351</v>
      </c>
      <c r="BE68" s="1818">
        <f t="shared" ref="BE68:BE131" si="45">365-BD68</f>
        <v>14</v>
      </c>
      <c r="BG68" s="1777">
        <f t="shared" si="28"/>
        <v>178.82065009989265</v>
      </c>
      <c r="BH68" s="1777">
        <f t="shared" si="30"/>
        <v>192.95285197934859</v>
      </c>
      <c r="BI68" s="1777">
        <f t="shared" si="30"/>
        <v>198.86056766456332</v>
      </c>
      <c r="BJ68" s="1777">
        <f t="shared" si="30"/>
        <v>204.94916227568828</v>
      </c>
      <c r="BK68" s="1777">
        <f t="shared" si="30"/>
        <v>211.22417385611976</v>
      </c>
      <c r="BL68" s="1777">
        <f t="shared" si="30"/>
        <v>217.69131000977401</v>
      </c>
      <c r="BM68" s="1777">
        <f t="shared" si="30"/>
        <v>215.49792660893513</v>
      </c>
      <c r="BO68" s="1739">
        <f t="shared" ref="BO68:BO131" si="46">YEAR(K68)</f>
        <v>2025</v>
      </c>
      <c r="BP68" s="1742">
        <f>_xlfn.IFNA(INDEX($AR68:$AX68,MATCH(BO68,$AR$2:$AX$2,0))*12/365*[11]核心假设及结论!$C$70*$H68,0)</f>
        <v>146520</v>
      </c>
      <c r="BR68" s="1739">
        <f t="shared" si="20"/>
        <v>2030</v>
      </c>
      <c r="BS68" s="1742">
        <f>_xlfn.IFNA(INDEX($AR68:$AX68,MATCH(BR68,$AR$2:$AX$2,0))*12/365*[11]核心假设及结论!$C$70*$H68,0)</f>
        <v>178714.48813135989</v>
      </c>
      <c r="BU68" s="1739">
        <f t="shared" si="21"/>
        <v>2035</v>
      </c>
      <c r="BV68" s="1742">
        <f>_xlfn.IFNA(INDEX($AR68:$AX68,MATCH(BU68,$AR$2:$AX$2,0))*12/365*[11]核心假设及结论!$C$70*$H68,0)</f>
        <v>0</v>
      </c>
      <c r="BX68" s="1739">
        <f t="shared" si="22"/>
        <v>2040</v>
      </c>
      <c r="BY68" s="1742">
        <f>_xlfn.IFNA(INDEX($AR68:$AX68,MATCH(BX68,$AR$2:$AX$2,0))*12/365*[11]核心假设及结论!$C$70*$H68,0)</f>
        <v>0</v>
      </c>
      <c r="CA68" s="1739">
        <f t="shared" si="23"/>
        <v>2045</v>
      </c>
      <c r="CB68" s="1742">
        <f>_xlfn.IFNA(INDEX($AR68:$AX68,MATCH(CA68,$AR$2:$AX$2,0))*12/365*[11]核心假设及结论!$C$70*$H68,0)</f>
        <v>0</v>
      </c>
    </row>
    <row r="69" spans="1:80" ht="30" customHeight="1">
      <c r="A69" s="1756" t="s">
        <v>1662</v>
      </c>
      <c r="B69" s="1757" t="s">
        <v>1817</v>
      </c>
      <c r="C69" s="1756" t="s">
        <v>1818</v>
      </c>
      <c r="D69" s="1756" t="s">
        <v>1685</v>
      </c>
      <c r="E69" s="1758" t="s">
        <v>1692</v>
      </c>
      <c r="F69" s="1759"/>
      <c r="G69" s="1760" t="s">
        <v>1661</v>
      </c>
      <c r="H69" s="1761">
        <v>400</v>
      </c>
      <c r="I69" s="1761" t="s">
        <v>1782</v>
      </c>
      <c r="J69" s="1773">
        <v>45271</v>
      </c>
      <c r="K69" s="1773">
        <v>46366</v>
      </c>
      <c r="L69" s="1764">
        <f t="shared" si="36"/>
        <v>36</v>
      </c>
      <c r="M69" s="1774">
        <f t="shared" ref="M69:M132" si="47">O69+R69+T69</f>
        <v>310868</v>
      </c>
      <c r="N69" s="1775">
        <f t="shared" ref="N69:N132" si="48">O69/H69</f>
        <v>669.17</v>
      </c>
      <c r="O69" s="1760">
        <v>267668</v>
      </c>
      <c r="P69" s="1776" t="s">
        <v>1819</v>
      </c>
      <c r="Q69" s="1783">
        <f t="shared" si="37"/>
        <v>90</v>
      </c>
      <c r="R69" s="1784">
        <v>36000</v>
      </c>
      <c r="S69" s="1777">
        <f t="shared" si="38"/>
        <v>18</v>
      </c>
      <c r="T69" s="1784">
        <v>7200</v>
      </c>
      <c r="U69" s="1777"/>
      <c r="V69" s="1785">
        <v>809566.77777777798</v>
      </c>
      <c r="W69" s="1785">
        <f t="shared" si="39"/>
        <v>2023.9169444444449</v>
      </c>
      <c r="X69" s="1786">
        <f t="shared" si="35"/>
        <v>0.37509938443071256</v>
      </c>
      <c r="Y69" s="1789">
        <f>VLOOKUP(E69,[11]核心假设及结论!$C$25:$E$45,3,0)</f>
        <v>0.2</v>
      </c>
      <c r="Z69" s="1790">
        <f t="shared" si="33"/>
        <v>281052</v>
      </c>
      <c r="AA69" s="1790">
        <f t="shared" si="33"/>
        <v>295164</v>
      </c>
      <c r="AB69" s="1790">
        <f t="shared" si="33"/>
        <v>0</v>
      </c>
      <c r="AC69" s="1790">
        <f t="shared" si="32"/>
        <v>0</v>
      </c>
      <c r="AD69" s="1790">
        <f t="shared" si="32"/>
        <v>0</v>
      </c>
      <c r="AE69" s="1790">
        <f t="shared" si="32"/>
        <v>0</v>
      </c>
      <c r="AF69" s="1790">
        <f t="shared" si="32"/>
        <v>0</v>
      </c>
      <c r="AG69" s="1794">
        <v>702.63</v>
      </c>
      <c r="AH69" s="1794">
        <v>737.91</v>
      </c>
      <c r="AI69" s="1794">
        <v>0</v>
      </c>
      <c r="AJ69" s="1794">
        <v>0</v>
      </c>
      <c r="AK69" s="1794">
        <v>0</v>
      </c>
      <c r="AL69" s="1794">
        <v>0</v>
      </c>
      <c r="AM69" s="1794">
        <v>0</v>
      </c>
      <c r="AN69" s="1797"/>
      <c r="AO69" s="1797"/>
      <c r="AP69" s="1808">
        <f t="shared" ref="AP69:AP132" si="49">IFERROR(X69/Y69,1.25)</f>
        <v>1.8754969221535627</v>
      </c>
      <c r="AQ69" s="1810">
        <f>IF(AP69&gt;[11]核心假设及结论!$B$59,[11]核心假设及结论!$D$59,IF(AP69&lt;=[11]核心假设及结论!$B$58,[11]核心假设及结论!$D$57,[11]核心假设及结论!$D$58))</f>
        <v>1</v>
      </c>
      <c r="AR69" s="1809">
        <f t="shared" ref="AR69:AR132" si="50">IF(K69&lt;=BA69,AQ69*AG69,AG69)</f>
        <v>702.63</v>
      </c>
      <c r="AS69" s="1809">
        <f>AH69*(AS$2&lt;=YEAR($K69))+AR69*$AQ69*(AS$2=YEAR($K69)+1)+INDEX([11]核心假设及结论!$E$17:$E$21,MATCH($D69,[11]核心假设及结论!$B$17:$B$21,0))*(AS$2&gt;YEAR($K69)+1)*AR69</f>
        <v>737.91</v>
      </c>
      <c r="AT69" s="1811">
        <f>AI69*(AT$2&lt;=YEAR($K69))+AS69*$AQ69*(AT$2=YEAR($K69)+1)+INDEX([11]核心假设及结论!$E$17:$E$21,MATCH($D69,[11]核心假设及结论!$B$17:$B$21,0))*(AT$2&gt;YEAR($K69)+1)*AS69</f>
        <v>737.91</v>
      </c>
      <c r="AU69" s="1809">
        <f>AJ69*(AU$2&lt;=YEAR($K69))+AT69*$AQ69*(AU$2=YEAR($K69)+1)+INDEX([11]核心假设及结论!$E$17:$E$21,MATCH($D69,[11]核心假设及结论!$B$17:$B$21,0))*(AU$2&gt;YEAR($K69)+1)*AT69</f>
        <v>757.88853765914507</v>
      </c>
      <c r="AV69" s="1809">
        <f>AK69*(AV$2&lt;=YEAR($K69))+AU69*$AQ69*(AV$2=YEAR($K69)+1)+INDEX([11]核心假设及结论!$E$17:$E$21,MATCH($D69,[11]核心假设及结论!$B$17:$B$21,0))*(AV$2&gt;YEAR($K69)+1)*AU69</f>
        <v>778.40798405648036</v>
      </c>
      <c r="AW69" s="1809">
        <f>AL69*(AW$2&lt;=YEAR($K69))+AV69*$AQ69*(AW$2=YEAR($K69)+1)+INDEX([11]核心假设及结论!$E$17:$E$21,MATCH($D69,[11]核心假设及结论!$B$17:$B$21,0))*(AW$2&gt;YEAR($K69)+1)*AV69</f>
        <v>799.48298402077364</v>
      </c>
      <c r="AX69" s="1809">
        <f>AM69*(AX$2&lt;=YEAR($K69))+AW69*$AQ69*(AX$2=YEAR($K69)+1)+INDEX([11]核心假设及结论!$E$17:$E$21,MATCH($D69,[11]核心假设及结论!$B$17:$B$21,0))*(AX$2&gt;YEAR($K69)+1)*AW69</f>
        <v>821.12857888207748</v>
      </c>
      <c r="AZ69" s="1746">
        <f t="shared" si="40"/>
        <v>46366</v>
      </c>
      <c r="BA69" s="1817">
        <f t="shared" si="41"/>
        <v>45658</v>
      </c>
      <c r="BB69" s="1817">
        <f t="shared" si="42"/>
        <v>46001</v>
      </c>
      <c r="BC69" s="1817">
        <f t="shared" si="43"/>
        <v>46022</v>
      </c>
      <c r="BD69" s="1818">
        <f t="shared" si="44"/>
        <v>344</v>
      </c>
      <c r="BE69" s="1818">
        <f t="shared" si="45"/>
        <v>21</v>
      </c>
      <c r="BG69" s="1777">
        <f t="shared" si="28"/>
        <v>338.23670794520552</v>
      </c>
      <c r="BH69" s="1777">
        <f t="shared" si="30"/>
        <v>354.19679999999994</v>
      </c>
      <c r="BI69" s="1777">
        <f t="shared" si="30"/>
        <v>354.74853605370998</v>
      </c>
      <c r="BJ69" s="1777">
        <f t="shared" si="30"/>
        <v>364.35317210292425</v>
      </c>
      <c r="BK69" s="1777">
        <f t="shared" si="30"/>
        <v>374.21784878448068</v>
      </c>
      <c r="BL69" s="1777">
        <f t="shared" si="30"/>
        <v>384.34960656614106</v>
      </c>
      <c r="BM69" s="1777">
        <f t="shared" si="30"/>
        <v>371.46507108221545</v>
      </c>
      <c r="BO69" s="1739">
        <f t="shared" si="46"/>
        <v>2026</v>
      </c>
      <c r="BP69" s="1742">
        <f>_xlfn.IFNA(INDEX($AR69:$AX69,MATCH(BO69,$AR$2:$AX$2,0))*12/365*[11]核心假设及结论!$C$70*$H69,0)</f>
        <v>291120.65753424657</v>
      </c>
      <c r="BR69" s="1739">
        <f t="shared" ref="BR69:BR132" si="51">BO69+ROUND($L69/12,0)</f>
        <v>2029</v>
      </c>
      <c r="BS69" s="1742">
        <f>_xlfn.IFNA(INDEX($AR69:$AX69,MATCH(BR69,$AR$2:$AX$2,0))*12/365*[11]核心假设及结论!$C$70*$H69,0)</f>
        <v>307097.94439488539</v>
      </c>
      <c r="BU69" s="1739">
        <f t="shared" ref="BU69:BU132" si="52">BR69+ROUND($L69/12,0)</f>
        <v>2032</v>
      </c>
      <c r="BV69" s="1742">
        <f>_xlfn.IFNA(INDEX($AR69:$AX69,MATCH(BU69,$AR$2:$AX$2,0))*12/365*[11]核心假设及结论!$C$70*$H69,0)</f>
        <v>0</v>
      </c>
      <c r="BX69" s="1739">
        <f t="shared" ref="BX69:BX132" si="53">BU69+ROUND($L69/12,0)</f>
        <v>2035</v>
      </c>
      <c r="BY69" s="1742">
        <f>_xlfn.IFNA(INDEX($AR69:$AX69,MATCH(BX69,$AR$2:$AX$2,0))*12/365*[11]核心假设及结论!$C$70*$H69,0)</f>
        <v>0</v>
      </c>
      <c r="CA69" s="1739">
        <f t="shared" ref="CA69:CA132" si="54">BX69+ROUND($L69/12,0)</f>
        <v>2038</v>
      </c>
      <c r="CB69" s="1742">
        <f>_xlfn.IFNA(INDEX($AR69:$AX69,MATCH(CA69,$AR$2:$AX$2,0))*12/365*[11]核心假设及结论!$C$70*$H69,0)</f>
        <v>0</v>
      </c>
    </row>
    <row r="70" spans="1:80" ht="30" customHeight="1">
      <c r="A70" s="1756" t="s">
        <v>1662</v>
      </c>
      <c r="B70" s="1757" t="s">
        <v>1820</v>
      </c>
      <c r="C70" s="1756" t="s">
        <v>1821</v>
      </c>
      <c r="D70" s="1756" t="s">
        <v>1685</v>
      </c>
      <c r="E70" s="1758" t="s">
        <v>1692</v>
      </c>
      <c r="F70" s="1759"/>
      <c r="G70" s="1760" t="s">
        <v>1661</v>
      </c>
      <c r="H70" s="1761">
        <v>398</v>
      </c>
      <c r="I70" s="1761" t="s">
        <v>1782</v>
      </c>
      <c r="J70" s="1773">
        <v>45119</v>
      </c>
      <c r="K70" s="1773">
        <v>45849</v>
      </c>
      <c r="L70" s="1764">
        <f t="shared" si="36"/>
        <v>24</v>
      </c>
      <c r="M70" s="1774">
        <f t="shared" si="47"/>
        <v>186490.86</v>
      </c>
      <c r="N70" s="1775">
        <f t="shared" si="48"/>
        <v>355.57</v>
      </c>
      <c r="O70" s="1760">
        <v>141516.85999999999</v>
      </c>
      <c r="P70" s="1776">
        <v>0.12</v>
      </c>
      <c r="Q70" s="1783">
        <f t="shared" si="37"/>
        <v>95</v>
      </c>
      <c r="R70" s="1784">
        <v>37810</v>
      </c>
      <c r="S70" s="1777">
        <f t="shared" si="38"/>
        <v>18</v>
      </c>
      <c r="T70" s="1784">
        <v>7164</v>
      </c>
      <c r="U70" s="1777"/>
      <c r="V70" s="1785">
        <v>975113.53583333304</v>
      </c>
      <c r="W70" s="1785">
        <f t="shared" si="39"/>
        <v>2450.0340096314899</v>
      </c>
      <c r="X70" s="1786">
        <f t="shared" si="35"/>
        <v>0.18390356959484422</v>
      </c>
      <c r="Y70" s="1789">
        <f>VLOOKUP(E70,[11]核心假设及结论!$C$25:$E$45,3,0)</f>
        <v>0.2</v>
      </c>
      <c r="Z70" s="1790">
        <f t="shared" si="33"/>
        <v>141516.85999999999</v>
      </c>
      <c r="AA70" s="1790">
        <f t="shared" si="33"/>
        <v>0</v>
      </c>
      <c r="AB70" s="1790">
        <f t="shared" si="33"/>
        <v>0</v>
      </c>
      <c r="AC70" s="1790">
        <f t="shared" si="32"/>
        <v>0</v>
      </c>
      <c r="AD70" s="1790">
        <f t="shared" si="32"/>
        <v>0</v>
      </c>
      <c r="AE70" s="1790">
        <f t="shared" si="32"/>
        <v>0</v>
      </c>
      <c r="AF70" s="1790">
        <f t="shared" si="32"/>
        <v>0</v>
      </c>
      <c r="AG70" s="1794">
        <v>355.57</v>
      </c>
      <c r="AH70" s="1794">
        <v>0</v>
      </c>
      <c r="AI70" s="1794">
        <v>0</v>
      </c>
      <c r="AJ70" s="1794">
        <v>0</v>
      </c>
      <c r="AK70" s="1794">
        <v>0</v>
      </c>
      <c r="AL70" s="1794">
        <v>0</v>
      </c>
      <c r="AM70" s="1794">
        <v>0</v>
      </c>
      <c r="AN70" s="1797"/>
      <c r="AO70" s="1797"/>
      <c r="AP70" s="1808">
        <f t="shared" si="49"/>
        <v>0.91951784797422109</v>
      </c>
      <c r="AQ70" s="1810">
        <f>IF(AP70&gt;[11]核心假设及结论!$B$59,[11]核心假设及结论!$D$59,IF(AP70&lt;=[11]核心假设及结论!$B$58,[11]核心假设及结论!$D$57,[11]核心假设及结论!$D$58))</f>
        <v>1.0342640124442799</v>
      </c>
      <c r="AR70" s="1809">
        <f t="shared" si="50"/>
        <v>355.57</v>
      </c>
      <c r="AS70" s="1811">
        <f>AH70*(AS$2&lt;=YEAR($K70))+AR70*$AQ70*(AS$2=YEAR($K70)+1)+INDEX([11]核心假设及结论!$E$17:$E$21,MATCH($D70,[11]核心假设及结论!$B$17:$B$21,0))*(AS$2&gt;YEAR($K70)+1)*AR70</f>
        <v>367.75325490481259</v>
      </c>
      <c r="AT70" s="1809">
        <f>AI70*(AT$2&lt;=YEAR($K70))+AS70*$AQ70*(AT$2=YEAR($K70)+1)+INDEX([11]核心假设及结论!$E$17:$E$21,MATCH($D70,[11]核心假设及结论!$B$17:$B$21,0))*(AT$2&gt;YEAR($K70)+1)*AS70</f>
        <v>377.7099870976125</v>
      </c>
      <c r="AU70" s="1809">
        <f>AJ70*(AU$2&lt;=YEAR($K70))+AT70*$AQ70*(AU$2=YEAR($K70)+1)+INDEX([11]核心假设及结论!$E$17:$E$21,MATCH($D70,[11]核心假设及结论!$B$17:$B$21,0))*(AU$2&gt;YEAR($K70)+1)*AT70</f>
        <v>387.93629274662777</v>
      </c>
      <c r="AV70" s="1809">
        <f>AK70*(AV$2&lt;=YEAR($K70))+AU70*$AQ70*(AV$2=YEAR($K70)+1)+INDEX([11]核心假设及结论!$E$17:$E$21,MATCH($D70,[11]核心假设及结论!$B$17:$B$21,0))*(AV$2&gt;YEAR($K70)+1)*AU70</f>
        <v>398.43947041597448</v>
      </c>
      <c r="AW70" s="1809">
        <f>AL70*(AW$2&lt;=YEAR($K70))+AV70*$AQ70*(AW$2=YEAR($K70)+1)+INDEX([11]核心假设及结论!$E$17:$E$21,MATCH($D70,[11]核心假设及结论!$B$17:$B$21,0))*(AW$2&gt;YEAR($K70)+1)*AV70</f>
        <v>409.22701627467728</v>
      </c>
      <c r="AX70" s="1809">
        <f>AM70*(AX$2&lt;=YEAR($K70))+AW70*$AQ70*(AX$2=YEAR($K70)+1)+INDEX([11]核心假设及结论!$E$17:$E$21,MATCH($D70,[11]核心假设及结论!$B$17:$B$21,0))*(AX$2&gt;YEAR($K70)+1)*AW70</f>
        <v>420.30662944672162</v>
      </c>
      <c r="AZ70" s="1746">
        <f t="shared" si="40"/>
        <v>45849</v>
      </c>
      <c r="BA70" s="1817">
        <f t="shared" si="41"/>
        <v>45658</v>
      </c>
      <c r="BB70" s="1817">
        <f t="shared" si="42"/>
        <v>45849</v>
      </c>
      <c r="BC70" s="1817">
        <f t="shared" si="43"/>
        <v>46022</v>
      </c>
      <c r="BD70" s="1818">
        <f t="shared" si="44"/>
        <v>192</v>
      </c>
      <c r="BE70" s="1818">
        <f t="shared" si="45"/>
        <v>173</v>
      </c>
      <c r="BG70" s="1777">
        <f t="shared" si="28"/>
        <v>172.57814706810726</v>
      </c>
      <c r="BH70" s="1777">
        <f t="shared" si="30"/>
        <v>177.89285318934301</v>
      </c>
      <c r="BI70" s="1777">
        <f t="shared" si="30"/>
        <v>182.70921164326836</v>
      </c>
      <c r="BJ70" s="1777">
        <f t="shared" si="30"/>
        <v>187.65597055084211</v>
      </c>
      <c r="BK70" s="1777">
        <f t="shared" si="30"/>
        <v>192.73666043797394</v>
      </c>
      <c r="BL70" s="1777">
        <f t="shared" si="30"/>
        <v>197.95490741776541</v>
      </c>
      <c r="BM70" s="1777">
        <f t="shared" si="30"/>
        <v>105.59392239715289</v>
      </c>
      <c r="BO70" s="1739">
        <f t="shared" si="46"/>
        <v>2025</v>
      </c>
      <c r="BP70" s="1742">
        <f>_xlfn.IFNA(INDEX($AR70:$AX70,MATCH(BO70,$AR$2:$AX$2,0))*12/365*[11]核心假设及结论!$C$70*$H70,0)</f>
        <v>139578.27287671232</v>
      </c>
      <c r="BR70" s="1739">
        <f t="shared" si="51"/>
        <v>2027</v>
      </c>
      <c r="BS70" s="1742">
        <f>_xlfn.IFNA(INDEX($AR70:$AX70,MATCH(BR70,$AR$2:$AX$2,0))*12/365*[11]核心假设及结论!$C$70*$H70,0)</f>
        <v>148269.27931875593</v>
      </c>
      <c r="BU70" s="1739">
        <f t="shared" si="52"/>
        <v>2029</v>
      </c>
      <c r="BV70" s="1742">
        <f>_xlfn.IFNA(INDEX($AR70:$AX70,MATCH(BU70,$AR$2:$AX$2,0))*12/365*[11]核心假设及结论!$C$70*$H70,0)</f>
        <v>156406.5954005502</v>
      </c>
      <c r="BX70" s="1739">
        <f t="shared" si="53"/>
        <v>2031</v>
      </c>
      <c r="BY70" s="1742">
        <f>_xlfn.IFNA(INDEX($AR70:$AX70,MATCH(BX70,$AR$2:$AX$2,0))*12/365*[11]核心假设及结论!$C$70*$H70,0)</f>
        <v>164990.50374555142</v>
      </c>
      <c r="CA70" s="1739">
        <f t="shared" si="54"/>
        <v>2033</v>
      </c>
      <c r="CB70" s="1742">
        <f>_xlfn.IFNA(INDEX($AR70:$AX70,MATCH(CA70,$AR$2:$AX$2,0))*12/365*[11]核心假设及结论!$C$70*$H70,0)</f>
        <v>0</v>
      </c>
    </row>
    <row r="71" spans="1:80" ht="30" customHeight="1">
      <c r="A71" s="1756" t="s">
        <v>1687</v>
      </c>
      <c r="B71" s="1757" t="s">
        <v>1822</v>
      </c>
      <c r="C71" s="1756" t="s">
        <v>1823</v>
      </c>
      <c r="D71" s="1756" t="s">
        <v>1676</v>
      </c>
      <c r="E71" s="1758" t="s">
        <v>1677</v>
      </c>
      <c r="F71" s="1759"/>
      <c r="G71" s="1760" t="s">
        <v>1661</v>
      </c>
      <c r="H71" s="1761">
        <v>398</v>
      </c>
      <c r="I71" s="1761" t="s">
        <v>1782</v>
      </c>
      <c r="J71" s="1773">
        <v>45522</v>
      </c>
      <c r="K71" s="1773">
        <v>47347</v>
      </c>
      <c r="L71" s="1764">
        <f t="shared" si="36"/>
        <v>60</v>
      </c>
      <c r="M71" s="1774">
        <f t="shared" si="47"/>
        <v>79886.559999999998</v>
      </c>
      <c r="N71" s="1775">
        <f t="shared" si="48"/>
        <v>139.92000000000002</v>
      </c>
      <c r="O71" s="1760">
        <v>55688.160000000003</v>
      </c>
      <c r="P71" s="1776">
        <v>0.1</v>
      </c>
      <c r="Q71" s="1783">
        <f t="shared" si="37"/>
        <v>45</v>
      </c>
      <c r="R71" s="1784">
        <v>17910</v>
      </c>
      <c r="S71" s="1777">
        <f t="shared" si="38"/>
        <v>15.799999999999999</v>
      </c>
      <c r="T71" s="1777">
        <v>6288.4</v>
      </c>
      <c r="U71" s="1777"/>
      <c r="V71" s="1785"/>
      <c r="W71" s="1785">
        <f t="shared" si="39"/>
        <v>0</v>
      </c>
      <c r="X71" s="1786" t="e">
        <f t="shared" si="35"/>
        <v>#DIV/0!</v>
      </c>
      <c r="Y71" s="1789">
        <f>VLOOKUP(E71,[11]核心假设及结论!$C$25:$E$45,3,0)</f>
        <v>0.25</v>
      </c>
      <c r="Z71" s="1790">
        <f t="shared" si="33"/>
        <v>55688.159999999996</v>
      </c>
      <c r="AA71" s="1790">
        <f t="shared" si="33"/>
        <v>57383.64</v>
      </c>
      <c r="AB71" s="1790">
        <f t="shared" si="33"/>
        <v>59075.14</v>
      </c>
      <c r="AC71" s="1790">
        <f t="shared" si="32"/>
        <v>60894</v>
      </c>
      <c r="AD71" s="1790">
        <f t="shared" si="32"/>
        <v>62708.88</v>
      </c>
      <c r="AE71" s="1790">
        <f t="shared" si="32"/>
        <v>0</v>
      </c>
      <c r="AF71" s="1790">
        <f t="shared" si="32"/>
        <v>0</v>
      </c>
      <c r="AG71" s="1794">
        <v>139.91999999999999</v>
      </c>
      <c r="AH71" s="1794">
        <v>144.18</v>
      </c>
      <c r="AI71" s="1794">
        <v>148.43</v>
      </c>
      <c r="AJ71" s="1794">
        <v>153</v>
      </c>
      <c r="AK71" s="1794">
        <v>157.56</v>
      </c>
      <c r="AL71" s="1794">
        <v>0</v>
      </c>
      <c r="AM71" s="1794">
        <v>0</v>
      </c>
      <c r="AN71" s="1795"/>
      <c r="AO71" s="1795"/>
      <c r="AP71" s="1808">
        <f t="shared" si="49"/>
        <v>1.25</v>
      </c>
      <c r="AQ71" s="1808">
        <f>IF(AP71&gt;[11]核心假设及结论!$B$65,[11]核心假设及结论!$D$65,IF(AP71&lt;=[11]核心假设及结论!$B$64,[11]核心假设及结论!$D$63,[11]核心假设及结论!$D$64))</f>
        <v>0.754</v>
      </c>
      <c r="AR71" s="1809">
        <f t="shared" si="50"/>
        <v>139.91999999999999</v>
      </c>
      <c r="AS71" s="1809">
        <f>AH71*(AS$2&lt;=YEAR($K71))+AR71*$AQ71*(AS$2=YEAR($K71)+1)+INDEX([11]核心假设及结论!$E$17:$E$21,MATCH($D71,[11]核心假设及结论!$B$17:$B$21,0))*(AS$2&gt;YEAR($K71)+1)*AR71</f>
        <v>144.18</v>
      </c>
      <c r="AT71" s="1809">
        <f>AI71*(AT$2&lt;=YEAR($K71))+AS71*$AQ71*(AT$2=YEAR($K71)+1)+INDEX([11]核心假设及结论!$E$17:$E$21,MATCH($D71,[11]核心假设及结论!$B$17:$B$21,0))*(AT$2&gt;YEAR($K71)+1)*AS71</f>
        <v>148.43</v>
      </c>
      <c r="AU71" s="1809">
        <f>AJ71*(AU$2&lt;=YEAR($K71))+AT71*$AQ71*(AU$2=YEAR($K71)+1)+INDEX([11]核心假设及结论!$E$17:$E$21,MATCH($D71,[11]核心假设及结论!$B$17:$B$21,0))*(AU$2&gt;YEAR($K71)+1)*AT71</f>
        <v>153</v>
      </c>
      <c r="AV71" s="1809">
        <f>AK71*(AV$2&lt;=YEAR($K71))+AU71*$AQ71*(AV$2=YEAR($K71)+1)+INDEX([11]核心假设及结论!$E$17:$E$21,MATCH($D71,[11]核心假设及结论!$B$17:$B$21,0))*(AV$2&gt;YEAR($K71)+1)*AU71</f>
        <v>157.56</v>
      </c>
      <c r="AW71" s="1811">
        <f>AL71*(AW$2&lt;=YEAR($K71))+AV71*$AQ71*(AW$2=YEAR($K71)+1)+INDEX([11]核心假设及结论!$E$17:$E$21,MATCH($D71,[11]核心假设及结论!$B$17:$B$21,0))*(AW$2&gt;YEAR($K71)+1)*AV71</f>
        <v>118.80024</v>
      </c>
      <c r="AX71" s="1809">
        <f>AM71*(AX$2&lt;=YEAR($K71))+AW71*$AQ71*(AX$2=YEAR($K71)+1)+INDEX([11]核心假设及结论!$E$17:$E$21,MATCH($D71,[11]核心假设及结论!$B$17:$B$21,0))*(AX$2&gt;YEAR($K71)+1)*AW71</f>
        <v>122.90776869272399</v>
      </c>
      <c r="AZ71" s="1746">
        <f t="shared" si="40"/>
        <v>47347</v>
      </c>
      <c r="BA71" s="1817">
        <f t="shared" si="41"/>
        <v>45658</v>
      </c>
      <c r="BB71" s="1817">
        <f t="shared" si="42"/>
        <v>45886</v>
      </c>
      <c r="BC71" s="1817">
        <f t="shared" si="43"/>
        <v>46022</v>
      </c>
      <c r="BD71" s="1818">
        <f t="shared" si="44"/>
        <v>229</v>
      </c>
      <c r="BE71" s="1818">
        <f t="shared" si="45"/>
        <v>136</v>
      </c>
      <c r="BG71" s="1777">
        <f t="shared" si="28"/>
        <v>67.583880591780826</v>
      </c>
      <c r="BH71" s="1777">
        <f t="shared" si="30"/>
        <v>69.616677041095897</v>
      </c>
      <c r="BI71" s="1777">
        <f t="shared" si="30"/>
        <v>71.703422663013711</v>
      </c>
      <c r="BJ71" s="1777">
        <f t="shared" si="30"/>
        <v>73.884275112328766</v>
      </c>
      <c r="BK71" s="1777">
        <f t="shared" si="30"/>
        <v>68.353160254421923</v>
      </c>
      <c r="BL71" s="1777">
        <f t="shared" si="30"/>
        <v>57.469950173851288</v>
      </c>
      <c r="BM71" s="1777">
        <f t="shared" si="30"/>
        <v>36.828689931590958</v>
      </c>
      <c r="BO71" s="1739">
        <f t="shared" si="46"/>
        <v>2029</v>
      </c>
      <c r="BP71" s="1742">
        <f>_xlfn.IFNA(INDEX($AR71:$AX71,MATCH(BO71,$AR$2:$AX$2,0))*12/365*[11]核心假设及结论!$C$70*$H71,0)</f>
        <v>61849.854246575349</v>
      </c>
      <c r="BR71" s="1739">
        <f t="shared" si="51"/>
        <v>2034</v>
      </c>
      <c r="BS71" s="1742">
        <f>_xlfn.IFNA(INDEX($AR71:$AX71,MATCH(BR71,$AR$2:$AX$2,0))*12/365*[11]核心假设及结论!$C$70*$H71,0)</f>
        <v>0</v>
      </c>
      <c r="BU71" s="1739">
        <f t="shared" si="52"/>
        <v>2039</v>
      </c>
      <c r="BV71" s="1742">
        <f>_xlfn.IFNA(INDEX($AR71:$AX71,MATCH(BU71,$AR$2:$AX$2,0))*12/365*[11]核心假设及结论!$C$70*$H71,0)</f>
        <v>0</v>
      </c>
      <c r="BX71" s="1739">
        <f t="shared" si="53"/>
        <v>2044</v>
      </c>
      <c r="BY71" s="1742">
        <f>_xlfn.IFNA(INDEX($AR71:$AX71,MATCH(BX71,$AR$2:$AX$2,0))*12/365*[11]核心假设及结论!$C$70*$H71,0)</f>
        <v>0</v>
      </c>
      <c r="CA71" s="1739">
        <f t="shared" si="54"/>
        <v>2049</v>
      </c>
      <c r="CB71" s="1742">
        <f>_xlfn.IFNA(INDEX($AR71:$AX71,MATCH(CA71,$AR$2:$AX$2,0))*12/365*[11]核心假设及结论!$C$70*$H71,0)</f>
        <v>0</v>
      </c>
    </row>
    <row r="72" spans="1:80" ht="30" customHeight="1">
      <c r="A72" s="1756" t="s">
        <v>1666</v>
      </c>
      <c r="B72" s="1757" t="s">
        <v>1824</v>
      </c>
      <c r="C72" s="1756" t="s">
        <v>1825</v>
      </c>
      <c r="D72" s="1756" t="s">
        <v>1698</v>
      </c>
      <c r="E72" s="1758" t="s">
        <v>1698</v>
      </c>
      <c r="F72" s="1759"/>
      <c r="G72" s="1760" t="s">
        <v>1661</v>
      </c>
      <c r="H72" s="1761">
        <v>390</v>
      </c>
      <c r="I72" s="1761" t="s">
        <v>1782</v>
      </c>
      <c r="J72" s="1773">
        <v>45323</v>
      </c>
      <c r="K72" s="1773">
        <v>47055</v>
      </c>
      <c r="L72" s="1764">
        <f t="shared" si="36"/>
        <v>57</v>
      </c>
      <c r="M72" s="1774">
        <f t="shared" si="47"/>
        <v>184470</v>
      </c>
      <c r="N72" s="1775">
        <f t="shared" si="48"/>
        <v>365</v>
      </c>
      <c r="O72" s="1760">
        <v>142350</v>
      </c>
      <c r="P72" s="1776">
        <v>0.08</v>
      </c>
      <c r="Q72" s="1783">
        <f t="shared" si="37"/>
        <v>90</v>
      </c>
      <c r="R72" s="1784">
        <v>35100</v>
      </c>
      <c r="S72" s="1777">
        <f t="shared" si="38"/>
        <v>18</v>
      </c>
      <c r="T72" s="1777">
        <v>7020</v>
      </c>
      <c r="U72" s="1777"/>
      <c r="V72" s="1785">
        <v>1908054.6637500001</v>
      </c>
      <c r="W72" s="1785">
        <f t="shared" si="39"/>
        <v>4892.447855769231</v>
      </c>
      <c r="X72" s="1786">
        <f t="shared" si="35"/>
        <v>9.3000480212264036E-2</v>
      </c>
      <c r="Y72" s="1789">
        <f>VLOOKUP(E72,[11]核心假设及结论!$C$25:$E$45,3,0)</f>
        <v>0.2</v>
      </c>
      <c r="Z72" s="1790">
        <f t="shared" si="33"/>
        <v>154213.80000000002</v>
      </c>
      <c r="AA72" s="1790">
        <f t="shared" si="33"/>
        <v>166073.69999999998</v>
      </c>
      <c r="AB72" s="1790">
        <f t="shared" si="33"/>
        <v>177937.5</v>
      </c>
      <c r="AC72" s="1790">
        <f t="shared" si="32"/>
        <v>189801.30000000002</v>
      </c>
      <c r="AD72" s="1790">
        <f t="shared" si="32"/>
        <v>0</v>
      </c>
      <c r="AE72" s="1790">
        <f t="shared" si="32"/>
        <v>0</v>
      </c>
      <c r="AF72" s="1790">
        <f t="shared" si="32"/>
        <v>0</v>
      </c>
      <c r="AG72" s="1794">
        <v>395.42</v>
      </c>
      <c r="AH72" s="1794">
        <v>425.83</v>
      </c>
      <c r="AI72" s="1794">
        <v>456.25</v>
      </c>
      <c r="AJ72" s="1794">
        <v>486.67</v>
      </c>
      <c r="AK72" s="1794">
        <v>0</v>
      </c>
      <c r="AL72" s="1794">
        <v>0</v>
      </c>
      <c r="AM72" s="1794">
        <v>0</v>
      </c>
      <c r="AN72" s="1795"/>
      <c r="AO72" s="1795"/>
      <c r="AP72" s="1808">
        <f t="shared" si="49"/>
        <v>0.46500240106132018</v>
      </c>
      <c r="AQ72" s="1812">
        <f>IF(AP72&gt;[11]核心假设及结论!$B$62,[11]核心假设及结论!$D$62,IF(AP72&lt;=[11]核心假设及结论!$B$61,[11]核心假设及结论!$D$60,[11]核心假设及结论!$D$61))</f>
        <v>1.0811176582269599</v>
      </c>
      <c r="AR72" s="1809">
        <f t="shared" si="50"/>
        <v>395.42</v>
      </c>
      <c r="AS72" s="1809">
        <f>AH72*(AS$2&lt;=YEAR($K72))+AR72*$AQ72*(AS$2=YEAR($K72)+1)+INDEX([11]核心假设及结论!$E$17:$E$21,MATCH($D72,[11]核心假设及结论!$B$17:$B$21,0))*(AS$2&gt;YEAR($K72)+1)*AR72</f>
        <v>425.83</v>
      </c>
      <c r="AT72" s="1809">
        <f>AI72*(AT$2&lt;=YEAR($K72))+AS72*$AQ72*(AT$2=YEAR($K72)+1)+INDEX([11]核心假设及结论!$E$17:$E$21,MATCH($D72,[11]核心假设及结论!$B$17:$B$21,0))*(AT$2&gt;YEAR($K72)+1)*AS72</f>
        <v>456.25</v>
      </c>
      <c r="AU72" s="1809">
        <f>AJ72*(AU$2&lt;=YEAR($K72))+AT72*$AQ72*(AU$2=YEAR($K72)+1)+INDEX([11]核心假设及结论!$E$17:$E$21,MATCH($D72,[11]核心假设及结论!$B$17:$B$21,0))*(AU$2&gt;YEAR($K72)+1)*AT72</f>
        <v>486.67</v>
      </c>
      <c r="AV72" s="1811">
        <f>AK72*(AV$2&lt;=YEAR($K72))+AU72*$AQ72*(AV$2=YEAR($K72)+1)+INDEX([11]核心假设及结论!$E$17:$E$21,MATCH($D72,[11]核心假设及结论!$B$17:$B$21,0))*(AV$2&gt;YEAR($K72)+1)*AU72</f>
        <v>526.14753072931455</v>
      </c>
      <c r="AW72" s="1809">
        <f>AL72*(AW$2&lt;=YEAR($K72))+AV72*$AQ72*(AW$2=YEAR($K72)+1)+INDEX([11]核心假设及结论!$E$17:$E$21,MATCH($D72,[11]核心假设及结论!$B$17:$B$21,0))*(AW$2&gt;YEAR($K72)+1)*AV72</f>
        <v>542.25680295898474</v>
      </c>
      <c r="AX72" s="1809">
        <f>AM72*(AX$2&lt;=YEAR($K72))+AW72*$AQ72*(AX$2=YEAR($K72)+1)+INDEX([11]核心假设及结论!$E$17:$E$21,MATCH($D72,[11]核心假设及结论!$B$17:$B$21,0))*(AX$2&gt;YEAR($K72)+1)*AW72</f>
        <v>558.85929930663167</v>
      </c>
      <c r="AZ72" s="1746">
        <f t="shared" si="40"/>
        <v>47055</v>
      </c>
      <c r="BA72" s="1817">
        <f t="shared" si="41"/>
        <v>45658</v>
      </c>
      <c r="BB72" s="1817">
        <f t="shared" si="42"/>
        <v>45959</v>
      </c>
      <c r="BC72" s="1817">
        <f t="shared" si="43"/>
        <v>46022</v>
      </c>
      <c r="BD72" s="1818">
        <f t="shared" si="44"/>
        <v>302</v>
      </c>
      <c r="BE72" s="1818">
        <f t="shared" si="45"/>
        <v>63</v>
      </c>
      <c r="BG72" s="1777">
        <f t="shared" si="28"/>
        <v>187.51302147945208</v>
      </c>
      <c r="BH72" s="1777">
        <f t="shared" si="30"/>
        <v>201.74570926027397</v>
      </c>
      <c r="BI72" s="1777">
        <f t="shared" si="30"/>
        <v>215.98226926027397</v>
      </c>
      <c r="BJ72" s="1777">
        <f t="shared" si="30"/>
        <v>230.95047922198111</v>
      </c>
      <c r="BK72" s="1777">
        <f t="shared" si="30"/>
        <v>247.53832049753731</v>
      </c>
      <c r="BL72" s="1777">
        <f t="shared" si="30"/>
        <v>255.1173015993638</v>
      </c>
      <c r="BM72" s="1777">
        <f t="shared" si="30"/>
        <v>216.40256966247148</v>
      </c>
      <c r="BO72" s="1739">
        <f t="shared" si="46"/>
        <v>2028</v>
      </c>
      <c r="BP72" s="1742">
        <f>_xlfn.IFNA(INDEX($AR72:$AX72,MATCH(BO72,$AR$2:$AX$2,0))*12/365*[11]核心假设及结论!$C$70*$H72,0)</f>
        <v>187201.2821917808</v>
      </c>
      <c r="BR72" s="1739">
        <f t="shared" si="51"/>
        <v>2033</v>
      </c>
      <c r="BS72" s="1742">
        <f>_xlfn.IFNA(INDEX($AR72:$AX72,MATCH(BR72,$AR$2:$AX$2,0))*12/365*[11]核心假设及结论!$C$70*$H72,0)</f>
        <v>0</v>
      </c>
      <c r="BU72" s="1739">
        <f t="shared" si="52"/>
        <v>2038</v>
      </c>
      <c r="BV72" s="1742">
        <f>_xlfn.IFNA(INDEX($AR72:$AX72,MATCH(BU72,$AR$2:$AX$2,0))*12/365*[11]核心假设及结论!$C$70*$H72,0)</f>
        <v>0</v>
      </c>
      <c r="BX72" s="1739">
        <f t="shared" si="53"/>
        <v>2043</v>
      </c>
      <c r="BY72" s="1742">
        <f>_xlfn.IFNA(INDEX($AR72:$AX72,MATCH(BX72,$AR$2:$AX$2,0))*12/365*[11]核心假设及结论!$C$70*$H72,0)</f>
        <v>0</v>
      </c>
      <c r="CA72" s="1739">
        <f t="shared" si="54"/>
        <v>2048</v>
      </c>
      <c r="CB72" s="1742">
        <f>_xlfn.IFNA(INDEX($AR72:$AX72,MATCH(CA72,$AR$2:$AX$2,0))*12/365*[11]核心假设及结论!$C$70*$H72,0)</f>
        <v>0</v>
      </c>
    </row>
    <row r="73" spans="1:80" ht="30" customHeight="1">
      <c r="A73" s="1756" t="s">
        <v>1687</v>
      </c>
      <c r="B73" s="1757" t="s">
        <v>1826</v>
      </c>
      <c r="C73" s="1756" t="s">
        <v>1827</v>
      </c>
      <c r="D73" s="1756" t="s">
        <v>1685</v>
      </c>
      <c r="E73" s="1758" t="s">
        <v>1692</v>
      </c>
      <c r="F73" s="1759"/>
      <c r="G73" s="1760" t="s">
        <v>1661</v>
      </c>
      <c r="H73" s="1761">
        <v>389</v>
      </c>
      <c r="I73" s="1761" t="s">
        <v>1782</v>
      </c>
      <c r="J73" s="1773">
        <v>45611</v>
      </c>
      <c r="K73" s="1773">
        <v>46630</v>
      </c>
      <c r="L73" s="1764">
        <f t="shared" si="36"/>
        <v>34</v>
      </c>
      <c r="M73" s="1774">
        <f t="shared" si="47"/>
        <v>267585.32</v>
      </c>
      <c r="N73" s="1775">
        <f t="shared" si="48"/>
        <v>574.88</v>
      </c>
      <c r="O73" s="1760">
        <v>223628.32</v>
      </c>
      <c r="P73" s="1776">
        <v>0.18</v>
      </c>
      <c r="Q73" s="1783">
        <f t="shared" si="37"/>
        <v>95</v>
      </c>
      <c r="R73" s="1784">
        <v>36955</v>
      </c>
      <c r="S73" s="1777">
        <f t="shared" si="38"/>
        <v>18</v>
      </c>
      <c r="T73" s="1777">
        <v>7002</v>
      </c>
      <c r="U73" s="1777"/>
      <c r="V73" s="1785">
        <v>509475.55249999999</v>
      </c>
      <c r="W73" s="1785">
        <f t="shared" si="39"/>
        <v>1309.7057904884318</v>
      </c>
      <c r="X73" s="1786">
        <f t="shared" si="35"/>
        <v>0.51147364916984905</v>
      </c>
      <c r="Y73" s="1789">
        <f>VLOOKUP(E73,[11]核心假设及结论!$C$25:$E$45,3,0)</f>
        <v>0.2</v>
      </c>
      <c r="Z73" s="1790">
        <f t="shared" si="33"/>
        <v>260307.12999999998</v>
      </c>
      <c r="AA73" s="1790">
        <f t="shared" si="33"/>
        <v>272136.62</v>
      </c>
      <c r="AB73" s="1790">
        <f t="shared" si="33"/>
        <v>283970</v>
      </c>
      <c r="AC73" s="1790">
        <f t="shared" si="32"/>
        <v>0</v>
      </c>
      <c r="AD73" s="1790">
        <f t="shared" si="32"/>
        <v>0</v>
      </c>
      <c r="AE73" s="1790">
        <f t="shared" si="32"/>
        <v>0</v>
      </c>
      <c r="AF73" s="1790">
        <f t="shared" si="32"/>
        <v>0</v>
      </c>
      <c r="AG73" s="1794">
        <v>669.17</v>
      </c>
      <c r="AH73" s="1794">
        <v>699.58</v>
      </c>
      <c r="AI73" s="1794">
        <v>730</v>
      </c>
      <c r="AJ73" s="1794">
        <v>0</v>
      </c>
      <c r="AK73" s="1794">
        <v>0</v>
      </c>
      <c r="AL73" s="1794">
        <v>0</v>
      </c>
      <c r="AM73" s="1794">
        <v>0</v>
      </c>
      <c r="AN73" s="1795"/>
      <c r="AO73" s="1795"/>
      <c r="AP73" s="1808">
        <f t="shared" si="49"/>
        <v>2.5573682458492453</v>
      </c>
      <c r="AQ73" s="1810">
        <f>IF(AP73&gt;[11]核心假设及结论!$B$59,[11]核心假设及结论!$D$59,IF(AP73&lt;=[11]核心假设及结论!$B$58,[11]核心假设及结论!$D$57,[11]核心假设及结论!$D$58))</f>
        <v>1</v>
      </c>
      <c r="AR73" s="1809">
        <f t="shared" si="50"/>
        <v>669.17</v>
      </c>
      <c r="AS73" s="1809">
        <f>AH73*(AS$2&lt;=YEAR($K73))+AR73*$AQ73*(AS$2=YEAR($K73)+1)+INDEX([11]核心假设及结论!$E$17:$E$21,MATCH($D73,[11]核心假设及结论!$B$17:$B$21,0))*(AS$2&gt;YEAR($K73)+1)*AR73</f>
        <v>699.58</v>
      </c>
      <c r="AT73" s="1809">
        <f>AI73*(AT$2&lt;=YEAR($K73))+AS73*$AQ73*(AT$2=YEAR($K73)+1)+INDEX([11]核心假设及结论!$E$17:$E$21,MATCH($D73,[11]核心假设及结论!$B$17:$B$21,0))*(AT$2&gt;YEAR($K73)+1)*AS73</f>
        <v>730</v>
      </c>
      <c r="AU73" s="1811">
        <f>AJ73*(AU$2&lt;=YEAR($K73))+AT73*$AQ73*(AU$2=YEAR($K73)+1)+INDEX([11]核心假设及结论!$E$17:$E$21,MATCH($D73,[11]核心假设及结论!$B$17:$B$21,0))*(AU$2&gt;YEAR($K73)+1)*AT73</f>
        <v>730</v>
      </c>
      <c r="AV73" s="1809">
        <f>AK73*(AV$2&lt;=YEAR($K73))+AU73*$AQ73*(AV$2=YEAR($K73)+1)+INDEX([11]核心假设及结论!$E$17:$E$21,MATCH($D73,[11]核心假设及结论!$B$17:$B$21,0))*(AV$2&gt;YEAR($K73)+1)*AU73</f>
        <v>749.76437843527788</v>
      </c>
      <c r="AW73" s="1809">
        <f>AL73*(AW$2&lt;=YEAR($K73))+AV73*$AQ73*(AW$2=YEAR($K73)+1)+INDEX([11]核心假设及结论!$E$17:$E$21,MATCH($D73,[11]核心假设及结论!$B$17:$B$21,0))*(AW$2&gt;YEAR($K73)+1)*AV73</f>
        <v>770.06386735676517</v>
      </c>
      <c r="AX73" s="1809">
        <f>AM73*(AX$2&lt;=YEAR($K73))+AW73*$AQ73*(AX$2=YEAR($K73)+1)+INDEX([11]核心假设及结论!$E$17:$E$21,MATCH($D73,[11]核心假设及结论!$B$17:$B$21,0))*(AX$2&gt;YEAR($K73)+1)*AW73</f>
        <v>790.9129546085087</v>
      </c>
      <c r="AZ73" s="1746">
        <f t="shared" si="40"/>
        <v>46630</v>
      </c>
      <c r="BA73" s="1817">
        <f t="shared" si="41"/>
        <v>45658</v>
      </c>
      <c r="BB73" s="1817">
        <f t="shared" si="42"/>
        <v>45900</v>
      </c>
      <c r="BC73" s="1817">
        <f t="shared" si="43"/>
        <v>46022</v>
      </c>
      <c r="BD73" s="1818">
        <f t="shared" si="44"/>
        <v>243</v>
      </c>
      <c r="BE73" s="1818">
        <f t="shared" si="45"/>
        <v>122</v>
      </c>
      <c r="BG73" s="1777">
        <f t="shared" si="28"/>
        <v>317.11331582465755</v>
      </c>
      <c r="BH73" s="1777">
        <f t="shared" si="30"/>
        <v>331.31026408767127</v>
      </c>
      <c r="BI73" s="1777">
        <f t="shared" si="30"/>
        <v>340.76400000000001</v>
      </c>
      <c r="BJ73" s="1777">
        <f t="shared" si="30"/>
        <v>343.84776286613072</v>
      </c>
      <c r="BK73" s="1777">
        <f t="shared" si="30"/>
        <v>353.15726602970585</v>
      </c>
      <c r="BL73" s="1777">
        <f t="shared" si="30"/>
        <v>362.71881925296503</v>
      </c>
      <c r="BM73" s="1777">
        <f t="shared" si="30"/>
        <v>245.7949441981759</v>
      </c>
      <c r="BO73" s="1739">
        <f t="shared" si="46"/>
        <v>2027</v>
      </c>
      <c r="BP73" s="1742">
        <f>_xlfn.IFNA(INDEX($AR73:$AX73,MATCH(BO73,$AR$2:$AX$2,0))*12/365*[11]核心假设及结论!$C$70*$H73,0)</f>
        <v>280080</v>
      </c>
      <c r="BR73" s="1739">
        <f t="shared" si="51"/>
        <v>2030</v>
      </c>
      <c r="BS73" s="1742">
        <f>_xlfn.IFNA(INDEX($AR73:$AX73,MATCH(BR73,$AR$2:$AX$2,0))*12/365*[11]核心假设及结论!$C$70*$H73,0)</f>
        <v>295451.35338257917</v>
      </c>
      <c r="BU73" s="1739">
        <f t="shared" si="52"/>
        <v>2033</v>
      </c>
      <c r="BV73" s="1742">
        <f>_xlfn.IFNA(INDEX($AR73:$AX73,MATCH(BU73,$AR$2:$AX$2,0))*12/365*[11]核心假设及结论!$C$70*$H73,0)</f>
        <v>0</v>
      </c>
      <c r="BX73" s="1739">
        <f t="shared" si="53"/>
        <v>2036</v>
      </c>
      <c r="BY73" s="1742">
        <f>_xlfn.IFNA(INDEX($AR73:$AX73,MATCH(BX73,$AR$2:$AX$2,0))*12/365*[11]核心假设及结论!$C$70*$H73,0)</f>
        <v>0</v>
      </c>
      <c r="CA73" s="1739">
        <f t="shared" si="54"/>
        <v>2039</v>
      </c>
      <c r="CB73" s="1742">
        <f>_xlfn.IFNA(INDEX($AR73:$AX73,MATCH(CA73,$AR$2:$AX$2,0))*12/365*[11]核心假设及结论!$C$70*$H73,0)</f>
        <v>0</v>
      </c>
    </row>
    <row r="74" spans="1:80" ht="30" customHeight="1">
      <c r="A74" s="1756" t="s">
        <v>1666</v>
      </c>
      <c r="B74" s="1757" t="s">
        <v>1828</v>
      </c>
      <c r="C74" s="1756" t="s">
        <v>1829</v>
      </c>
      <c r="D74" s="1756" t="s">
        <v>1698</v>
      </c>
      <c r="E74" s="1758" t="s">
        <v>1698</v>
      </c>
      <c r="F74" s="1759"/>
      <c r="G74" s="1760" t="s">
        <v>1661</v>
      </c>
      <c r="H74" s="1761">
        <v>389</v>
      </c>
      <c r="I74" s="1761" t="s">
        <v>1782</v>
      </c>
      <c r="J74" s="1773">
        <v>44207</v>
      </c>
      <c r="K74" s="1773">
        <v>45667</v>
      </c>
      <c r="L74" s="1764">
        <f t="shared" si="36"/>
        <v>48</v>
      </c>
      <c r="M74" s="1774">
        <f t="shared" si="47"/>
        <v>227596.12</v>
      </c>
      <c r="N74" s="1775">
        <f t="shared" si="48"/>
        <v>471.46</v>
      </c>
      <c r="O74" s="1760">
        <v>183397.94</v>
      </c>
      <c r="P74" s="1776">
        <v>0.11</v>
      </c>
      <c r="Q74" s="1783">
        <f t="shared" si="37"/>
        <v>95</v>
      </c>
      <c r="R74" s="1784">
        <v>36955</v>
      </c>
      <c r="S74" s="1777">
        <f t="shared" si="38"/>
        <v>18.62</v>
      </c>
      <c r="T74" s="1784">
        <v>7243.18</v>
      </c>
      <c r="U74" s="1777"/>
      <c r="V74" s="1785">
        <v>913229.44666666701</v>
      </c>
      <c r="W74" s="1785">
        <f t="shared" si="39"/>
        <v>2347.6335389888613</v>
      </c>
      <c r="X74" s="1786">
        <f t="shared" si="35"/>
        <v>0.24128978845820095</v>
      </c>
      <c r="Y74" s="1789">
        <f>VLOOKUP(E74,[11]核心假设及结论!$C$25:$E$45,3,0)</f>
        <v>0.2</v>
      </c>
      <c r="Z74" s="1790">
        <f t="shared" si="33"/>
        <v>183397.94</v>
      </c>
      <c r="AA74" s="1790">
        <f t="shared" si="33"/>
        <v>0</v>
      </c>
      <c r="AB74" s="1790">
        <f t="shared" si="33"/>
        <v>0</v>
      </c>
      <c r="AC74" s="1790">
        <f t="shared" si="32"/>
        <v>0</v>
      </c>
      <c r="AD74" s="1790">
        <f t="shared" si="32"/>
        <v>0</v>
      </c>
      <c r="AE74" s="1790">
        <f t="shared" si="32"/>
        <v>0</v>
      </c>
      <c r="AF74" s="1790">
        <f t="shared" si="32"/>
        <v>0</v>
      </c>
      <c r="AG74" s="1794">
        <v>471.46</v>
      </c>
      <c r="AH74" s="1794">
        <v>0</v>
      </c>
      <c r="AI74" s="1794">
        <v>0</v>
      </c>
      <c r="AJ74" s="1794">
        <v>0</v>
      </c>
      <c r="AK74" s="1794">
        <v>0</v>
      </c>
      <c r="AL74" s="1794">
        <v>0</v>
      </c>
      <c r="AM74" s="1794">
        <v>0</v>
      </c>
      <c r="AN74" s="1797"/>
      <c r="AO74" s="1797"/>
      <c r="AP74" s="1808">
        <f t="shared" si="49"/>
        <v>1.2064489422910047</v>
      </c>
      <c r="AQ74" s="1812">
        <f>IF(AP74&gt;[11]核心假设及结论!$B$62,[11]核心假设及结论!$D$62,IF(AP74&lt;=[11]核心假设及结论!$B$61,[11]核心假设及结论!$D$60,[11]核心假设及结论!$D$61))</f>
        <v>1.0489999999999999</v>
      </c>
      <c r="AR74" s="1809">
        <f t="shared" si="50"/>
        <v>471.46</v>
      </c>
      <c r="AS74" s="1811">
        <f>AH74*(AS$2&lt;=YEAR($K74))+AR74*$AQ74*(AS$2=YEAR($K74)+1)+INDEX([11]核心假设及结论!$E$17:$E$21,MATCH($D74,[11]核心假设及结论!$B$17:$B$21,0))*(AS$2&gt;YEAR($K74)+1)*AR74</f>
        <v>494.56153999999992</v>
      </c>
      <c r="AT74" s="1809">
        <f>AI74*(AT$2&lt;=YEAR($K74))+AS74*$AQ74*(AT$2=YEAR($K74)+1)+INDEX([11]核心假设及结论!$E$17:$E$21,MATCH($D74,[11]核心假设及结论!$B$17:$B$21,0))*(AT$2&gt;YEAR($K74)+1)*AS74</f>
        <v>509.70373114768336</v>
      </c>
      <c r="AU74" s="1809">
        <f>AJ74*(AU$2&lt;=YEAR($K74))+AT74*$AQ74*(AU$2=YEAR($K74)+1)+INDEX([11]核心假设及结论!$E$17:$E$21,MATCH($D74,[11]核心假设及结论!$B$17:$B$21,0))*(AU$2&gt;YEAR($K74)+1)*AT74</f>
        <v>525.30953689983642</v>
      </c>
      <c r="AV74" s="1809">
        <f>AK74*(AV$2&lt;=YEAR($K74))+AU74*$AQ74*(AV$2=YEAR($K74)+1)+INDEX([11]核心假设及结论!$E$17:$E$21,MATCH($D74,[11]核心假设及结论!$B$17:$B$21,0))*(AV$2&gt;YEAR($K74)+1)*AU74</f>
        <v>541.39315193273683</v>
      </c>
      <c r="AW74" s="1809">
        <f>AL74*(AW$2&lt;=YEAR($K74))+AV74*$AQ74*(AW$2=YEAR($K74)+1)+INDEX([11]核心假设及结论!$E$17:$E$21,MATCH($D74,[11]核心假设及结论!$B$17:$B$21,0))*(AW$2&gt;YEAR($K74)+1)*AV74</f>
        <v>557.96920552682002</v>
      </c>
      <c r="AX74" s="1809">
        <f>AM74*(AX$2&lt;=YEAR($K74))+AW74*$AQ74*(AX$2=YEAR($K74)+1)+INDEX([11]核心假设及结论!$E$17:$E$21,MATCH($D74,[11]核心假设及结论!$B$17:$B$21,0))*(AX$2&gt;YEAR($K74)+1)*AW74</f>
        <v>575.0527748731306</v>
      </c>
      <c r="AZ74" s="1746">
        <f t="shared" si="40"/>
        <v>45667</v>
      </c>
      <c r="BA74" s="1817">
        <f t="shared" si="41"/>
        <v>45658</v>
      </c>
      <c r="BB74" s="1817">
        <f t="shared" si="42"/>
        <v>45667</v>
      </c>
      <c r="BC74" s="1817">
        <f t="shared" si="43"/>
        <v>46022</v>
      </c>
      <c r="BD74" s="1818">
        <f t="shared" si="44"/>
        <v>10</v>
      </c>
      <c r="BE74" s="1818">
        <f t="shared" si="45"/>
        <v>355</v>
      </c>
      <c r="BG74" s="1777">
        <f t="shared" si="28"/>
        <v>230.56588032756159</v>
      </c>
      <c r="BH74" s="1777">
        <f t="shared" si="30"/>
        <v>237.73604759486901</v>
      </c>
      <c r="BI74" s="1777">
        <f t="shared" si="30"/>
        <v>245.01490853374489</v>
      </c>
      <c r="BJ74" s="1777">
        <f t="shared" si="30"/>
        <v>252.51662930857529</v>
      </c>
      <c r="BK74" s="1777">
        <f t="shared" si="30"/>
        <v>260.24803330929711</v>
      </c>
      <c r="BL74" s="1777">
        <f t="shared" si="30"/>
        <v>268.21615284034294</v>
      </c>
      <c r="BM74" s="1777">
        <f t="shared" si="30"/>
        <v>7.3543735701582831</v>
      </c>
      <c r="BO74" s="1739">
        <f t="shared" si="46"/>
        <v>2025</v>
      </c>
      <c r="BP74" s="1742">
        <f>_xlfn.IFNA(INDEX($AR74:$AX74,MATCH(BO74,$AR$2:$AX$2,0))*12/365*[11]核心假设及结论!$C$70*$H74,0)</f>
        <v>180885.63945205478</v>
      </c>
      <c r="BR74" s="1739">
        <f t="shared" si="51"/>
        <v>2029</v>
      </c>
      <c r="BS74" s="1742">
        <f>_xlfn.IFNA(INDEX($AR74:$AX74,MATCH(BR74,$AR$2:$AX$2,0))*12/365*[11]核心假设及结论!$C$70*$H74,0)</f>
        <v>207716.97807304238</v>
      </c>
      <c r="BU74" s="1739">
        <f t="shared" si="52"/>
        <v>2033</v>
      </c>
      <c r="BV74" s="1742">
        <f>_xlfn.IFNA(INDEX($AR74:$AX74,MATCH(BU74,$AR$2:$AX$2,0))*12/365*[11]核心假设及结论!$C$70*$H74,0)</f>
        <v>0</v>
      </c>
      <c r="BX74" s="1739">
        <f t="shared" si="53"/>
        <v>2037</v>
      </c>
      <c r="BY74" s="1742">
        <f>_xlfn.IFNA(INDEX($AR74:$AX74,MATCH(BX74,$AR$2:$AX$2,0))*12/365*[11]核心假设及结论!$C$70*$H74,0)</f>
        <v>0</v>
      </c>
      <c r="CA74" s="1739">
        <f t="shared" si="54"/>
        <v>2041</v>
      </c>
      <c r="CB74" s="1742">
        <f>_xlfn.IFNA(INDEX($AR74:$AX74,MATCH(CA74,$AR$2:$AX$2,0))*12/365*[11]核心假设及结论!$C$70*$H74,0)</f>
        <v>0</v>
      </c>
    </row>
    <row r="75" spans="1:80" ht="30" customHeight="1">
      <c r="A75" s="1756" t="s">
        <v>1666</v>
      </c>
      <c r="B75" s="1757" t="s">
        <v>1830</v>
      </c>
      <c r="C75" s="1756" t="s">
        <v>1831</v>
      </c>
      <c r="D75" s="1756" t="s">
        <v>1698</v>
      </c>
      <c r="E75" s="1758" t="s">
        <v>1698</v>
      </c>
      <c r="F75" s="1759"/>
      <c r="G75" s="1760" t="s">
        <v>1661</v>
      </c>
      <c r="H75" s="1761">
        <v>388</v>
      </c>
      <c r="I75" s="1761" t="s">
        <v>1782</v>
      </c>
      <c r="J75" s="1773">
        <v>41946</v>
      </c>
      <c r="K75" s="1773">
        <v>47424</v>
      </c>
      <c r="L75" s="1764">
        <f t="shared" si="36"/>
        <v>180</v>
      </c>
      <c r="M75" s="1774">
        <f t="shared" si="47"/>
        <v>59535.210000000006</v>
      </c>
      <c r="N75" s="1775">
        <f t="shared" si="48"/>
        <v>107.40889175257732</v>
      </c>
      <c r="O75" s="1760">
        <v>41674.65</v>
      </c>
      <c r="P75" s="1776">
        <v>3.5000000000000003E-2</v>
      </c>
      <c r="Q75" s="1783">
        <f t="shared" si="37"/>
        <v>46.032371134020622</v>
      </c>
      <c r="R75" s="1784">
        <v>17860.560000000001</v>
      </c>
      <c r="S75" s="1777">
        <f t="shared" si="38"/>
        <v>0</v>
      </c>
      <c r="T75" s="1784">
        <v>0</v>
      </c>
      <c r="U75" s="1777"/>
      <c r="V75" s="1785">
        <v>762723.57416666695</v>
      </c>
      <c r="W75" s="1785">
        <f t="shared" si="39"/>
        <v>1965.7824076460488</v>
      </c>
      <c r="X75" s="1786">
        <f t="shared" si="35"/>
        <v>7.805607695428414E-2</v>
      </c>
      <c r="Y75" s="1789">
        <f>VLOOKUP(E75,[11]核心假设及结论!$C$25:$E$45,3,0)</f>
        <v>0.2</v>
      </c>
      <c r="Z75" s="1790">
        <f t="shared" si="33"/>
        <v>41674.649999999878</v>
      </c>
      <c r="AA75" s="1790">
        <f t="shared" si="33"/>
        <v>41674.649999999878</v>
      </c>
      <c r="AB75" s="1790">
        <f t="shared" si="33"/>
        <v>41674.649999999878</v>
      </c>
      <c r="AC75" s="1790">
        <f t="shared" si="32"/>
        <v>41674.649999999878</v>
      </c>
      <c r="AD75" s="1790">
        <f t="shared" si="32"/>
        <v>41674.649999999878</v>
      </c>
      <c r="AE75" s="1790">
        <f t="shared" si="32"/>
        <v>0</v>
      </c>
      <c r="AF75" s="1790">
        <f t="shared" si="32"/>
        <v>0</v>
      </c>
      <c r="AG75" s="1794">
        <v>107.40889175257701</v>
      </c>
      <c r="AH75" s="1794">
        <v>107.40889175257701</v>
      </c>
      <c r="AI75" s="1794">
        <v>107.40889175257701</v>
      </c>
      <c r="AJ75" s="1794">
        <v>107.40889175257701</v>
      </c>
      <c r="AK75" s="1794">
        <v>107.40889175257701</v>
      </c>
      <c r="AL75" s="1794">
        <v>0</v>
      </c>
      <c r="AM75" s="1794">
        <v>0</v>
      </c>
      <c r="AN75" s="1797"/>
      <c r="AO75" s="1797"/>
      <c r="AP75" s="1808">
        <f t="shared" si="49"/>
        <v>0.39028038477142069</v>
      </c>
      <c r="AQ75" s="1812">
        <f>IF(AP75&gt;[11]核心假设及结论!$B$62,[11]核心假设及结论!$D$62,IF(AP75&lt;=[11]核心假设及结论!$B$61,[11]核心假设及结论!$D$60,[11]核心假设及结论!$D$61))</f>
        <v>1.0811176582269599</v>
      </c>
      <c r="AR75" s="1809">
        <f t="shared" si="50"/>
        <v>107.40889175257701</v>
      </c>
      <c r="AS75" s="1809">
        <f>AH75*(AS$2&lt;=YEAR($K75))+AR75*$AQ75*(AS$2=YEAR($K75)+1)+INDEX([11]核心假设及结论!$E$17:$E$21,MATCH($D75,[11]核心假设及结论!$B$17:$B$21,0))*(AS$2&gt;YEAR($K75)+1)*AR75</f>
        <v>107.40889175257701</v>
      </c>
      <c r="AT75" s="1809">
        <f>AI75*(AT$2&lt;=YEAR($K75))+AS75*$AQ75*(AT$2=YEAR($K75)+1)+INDEX([11]核心假设及结论!$E$17:$E$21,MATCH($D75,[11]核心假设及结论!$B$17:$B$21,0))*(AT$2&gt;YEAR($K75)+1)*AS75</f>
        <v>107.40889175257701</v>
      </c>
      <c r="AU75" s="1809">
        <f>AJ75*(AU$2&lt;=YEAR($K75))+AT75*$AQ75*(AU$2=YEAR($K75)+1)+INDEX([11]核心假设及结论!$E$17:$E$21,MATCH($D75,[11]核心假设及结论!$B$17:$B$21,0))*(AU$2&gt;YEAR($K75)+1)*AT75</f>
        <v>107.40889175257701</v>
      </c>
      <c r="AV75" s="1809">
        <f>AK75*(AV$2&lt;=YEAR($K75))+AU75*$AQ75*(AV$2=YEAR($K75)+1)+INDEX([11]核心假设及结论!$E$17:$E$21,MATCH($D75,[11]核心假设及结论!$B$17:$B$21,0))*(AV$2&gt;YEAR($K75)+1)*AU75</f>
        <v>107.40889175257701</v>
      </c>
      <c r="AW75" s="1811">
        <f>AL75*(AW$2&lt;=YEAR($K75))+AV75*$AQ75*(AW$2=YEAR($K75)+1)+INDEX([11]核心假设及结论!$E$17:$E$21,MATCH($D75,[11]核心假设及结论!$B$17:$B$21,0))*(AW$2&gt;YEAR($K75)+1)*AV75</f>
        <v>116.12164952429909</v>
      </c>
      <c r="AX75" s="1809">
        <f>AM75*(AX$2&lt;=YEAR($K75))+AW75*$AQ75*(AX$2=YEAR($K75)+1)+INDEX([11]核心假设及结论!$E$17:$E$21,MATCH($D75,[11]核心假设及结论!$B$17:$B$21,0))*(AX$2&gt;YEAR($K75)+1)*AW75</f>
        <v>119.67699313933481</v>
      </c>
      <c r="AZ75" s="1746">
        <f t="shared" si="40"/>
        <v>47424</v>
      </c>
      <c r="BA75" s="1817">
        <f t="shared" si="41"/>
        <v>45658</v>
      </c>
      <c r="BB75" s="1817">
        <f t="shared" si="42"/>
        <v>45963</v>
      </c>
      <c r="BC75" s="1817">
        <f t="shared" si="43"/>
        <v>46022</v>
      </c>
      <c r="BD75" s="1818">
        <f t="shared" si="44"/>
        <v>306</v>
      </c>
      <c r="BE75" s="1818">
        <f t="shared" si="45"/>
        <v>59</v>
      </c>
      <c r="BG75" s="1777">
        <f t="shared" si="28"/>
        <v>50.00957999999985</v>
      </c>
      <c r="BH75" s="1777">
        <f t="shared" si="30"/>
        <v>50.00957999999985</v>
      </c>
      <c r="BI75" s="1777">
        <f t="shared" si="30"/>
        <v>50.00957999999985</v>
      </c>
      <c r="BJ75" s="1777">
        <f t="shared" si="30"/>
        <v>50.00957999999985</v>
      </c>
      <c r="BK75" s="1777">
        <f t="shared" si="30"/>
        <v>50.665314085184278</v>
      </c>
      <c r="BL75" s="1777">
        <f t="shared" si="30"/>
        <v>54.333820049314959</v>
      </c>
      <c r="BM75" s="1777">
        <f t="shared" si="30"/>
        <v>46.714553560921459</v>
      </c>
      <c r="BO75" s="1739">
        <f t="shared" si="46"/>
        <v>2029</v>
      </c>
      <c r="BP75" s="1742">
        <f>_xlfn.IFNA(INDEX($AR75:$AX75,MATCH(BO75,$AR$2:$AX$2,0))*12/365*[11]核心假设及结论!$C$70*$H75,0)</f>
        <v>41103.764383561524</v>
      </c>
      <c r="BR75" s="1739">
        <f t="shared" si="51"/>
        <v>2044</v>
      </c>
      <c r="BS75" s="1742">
        <f>_xlfn.IFNA(INDEX($AR75:$AX75,MATCH(BR75,$AR$2:$AX$2,0))*12/365*[11]核心假设及结论!$C$70*$H75,0)</f>
        <v>0</v>
      </c>
      <c r="BU75" s="1739">
        <f t="shared" si="52"/>
        <v>2059</v>
      </c>
      <c r="BV75" s="1742">
        <f>_xlfn.IFNA(INDEX($AR75:$AX75,MATCH(BU75,$AR$2:$AX$2,0))*12/365*[11]核心假设及结论!$C$70*$H75,0)</f>
        <v>0</v>
      </c>
      <c r="BX75" s="1739">
        <f t="shared" si="53"/>
        <v>2074</v>
      </c>
      <c r="BY75" s="1742">
        <f>_xlfn.IFNA(INDEX($AR75:$AX75,MATCH(BX75,$AR$2:$AX$2,0))*12/365*[11]核心假设及结论!$C$70*$H75,0)</f>
        <v>0</v>
      </c>
      <c r="CA75" s="1739">
        <f t="shared" si="54"/>
        <v>2089</v>
      </c>
      <c r="CB75" s="1742">
        <f>_xlfn.IFNA(INDEX($AR75:$AX75,MATCH(CA75,$AR$2:$AX$2,0))*12/365*[11]核心假设及结论!$C$70*$H75,0)</f>
        <v>0</v>
      </c>
    </row>
    <row r="76" spans="1:80" ht="30" customHeight="1">
      <c r="A76" s="1756" t="s">
        <v>1666</v>
      </c>
      <c r="B76" s="1757" t="s">
        <v>1832</v>
      </c>
      <c r="C76" s="1756" t="s">
        <v>1833</v>
      </c>
      <c r="D76" s="1756" t="s">
        <v>1698</v>
      </c>
      <c r="E76" s="1758" t="s">
        <v>1698</v>
      </c>
      <c r="F76" s="1759"/>
      <c r="G76" s="1760" t="s">
        <v>1661</v>
      </c>
      <c r="H76" s="1761">
        <v>387</v>
      </c>
      <c r="I76" s="1761" t="s">
        <v>1782</v>
      </c>
      <c r="J76" s="1773">
        <v>45418</v>
      </c>
      <c r="K76" s="1773">
        <v>45782</v>
      </c>
      <c r="L76" s="1764">
        <f t="shared" si="36"/>
        <v>12</v>
      </c>
      <c r="M76" s="1774">
        <f t="shared" si="47"/>
        <v>220899.98699999999</v>
      </c>
      <c r="N76" s="1775">
        <f t="shared" si="48"/>
        <v>456.25</v>
      </c>
      <c r="O76" s="1760">
        <v>176568.75</v>
      </c>
      <c r="P76" s="1776">
        <v>0.14000000000000001</v>
      </c>
      <c r="Q76" s="1783">
        <f t="shared" si="37"/>
        <v>95</v>
      </c>
      <c r="R76" s="1784">
        <v>36765</v>
      </c>
      <c r="S76" s="1777">
        <f t="shared" si="38"/>
        <v>19.551000000000002</v>
      </c>
      <c r="T76" s="1777">
        <v>7566.2370000000001</v>
      </c>
      <c r="U76" s="1777"/>
      <c r="V76" s="1785">
        <v>1460922.3408333301</v>
      </c>
      <c r="W76" s="1785">
        <f t="shared" si="39"/>
        <v>3774.9931287682948</v>
      </c>
      <c r="X76" s="1786">
        <f t="shared" si="35"/>
        <v>0.14602675586322508</v>
      </c>
      <c r="Y76" s="1789">
        <f>VLOOKUP(E76,[11]核心假设及结论!$C$25:$E$45,3,0)</f>
        <v>0.2</v>
      </c>
      <c r="Z76" s="1790">
        <f t="shared" si="33"/>
        <v>176568.75</v>
      </c>
      <c r="AA76" s="1790">
        <f t="shared" si="33"/>
        <v>0</v>
      </c>
      <c r="AB76" s="1790">
        <f t="shared" si="33"/>
        <v>0</v>
      </c>
      <c r="AC76" s="1790">
        <f t="shared" si="32"/>
        <v>0</v>
      </c>
      <c r="AD76" s="1790">
        <f t="shared" si="32"/>
        <v>0</v>
      </c>
      <c r="AE76" s="1790">
        <f t="shared" si="32"/>
        <v>0</v>
      </c>
      <c r="AF76" s="1790">
        <f t="shared" si="32"/>
        <v>0</v>
      </c>
      <c r="AG76" s="1794">
        <v>456.25</v>
      </c>
      <c r="AH76" s="1794">
        <v>0</v>
      </c>
      <c r="AI76" s="1794">
        <v>0</v>
      </c>
      <c r="AJ76" s="1794">
        <v>0</v>
      </c>
      <c r="AK76" s="1794">
        <v>0</v>
      </c>
      <c r="AL76" s="1794">
        <v>0</v>
      </c>
      <c r="AM76" s="1794">
        <v>0</v>
      </c>
      <c r="AN76" s="1795"/>
      <c r="AO76" s="1795"/>
      <c r="AP76" s="1808">
        <f t="shared" si="49"/>
        <v>0.73013377931612533</v>
      </c>
      <c r="AQ76" s="1812">
        <f>IF(AP76&gt;[11]核心假设及结论!$B$62,[11]核心假设及结论!$D$62,IF(AP76&lt;=[11]核心假设及结论!$B$61,[11]核心假设及结论!$D$60,[11]核心假设及结论!$D$61))</f>
        <v>1.0811176582269599</v>
      </c>
      <c r="AR76" s="1809">
        <f t="shared" si="50"/>
        <v>456.25</v>
      </c>
      <c r="AS76" s="1811">
        <f>AH76*(AS$2&lt;=YEAR($K76))+AR76*$AQ76*(AS$2=YEAR($K76)+1)+INDEX([11]核心假设及结论!$E$17:$E$21,MATCH($D76,[11]核心假设及结论!$B$17:$B$21,0))*(AS$2&gt;YEAR($K76)+1)*AR76</f>
        <v>493.25993156605045</v>
      </c>
      <c r="AT76" s="1809">
        <f>AI76*(AT$2&lt;=YEAR($K76))+AS76*$AQ76*(AT$2=YEAR($K76)+1)+INDEX([11]核心假设及结论!$E$17:$E$21,MATCH($D76,[11]核心假设及结论!$B$17:$B$21,0))*(AT$2&gt;YEAR($K76)+1)*AS76</f>
        <v>508.36227084068628</v>
      </c>
      <c r="AU76" s="1809">
        <f>AJ76*(AU$2&lt;=YEAR($K76))+AT76*$AQ76*(AU$2=YEAR($K76)+1)+INDEX([11]核心假设及结论!$E$17:$E$21,MATCH($D76,[11]核心假设及结论!$B$17:$B$21,0))*(AU$2&gt;YEAR($K76)+1)*AT76</f>
        <v>523.92700455884005</v>
      </c>
      <c r="AV76" s="1809">
        <f>AK76*(AV$2&lt;=YEAR($K76))+AU76*$AQ76*(AV$2=YEAR($K76)+1)+INDEX([11]核心假设及结论!$E$17:$E$21,MATCH($D76,[11]核心假设及结论!$B$17:$B$21,0))*(AV$2&gt;YEAR($K76)+1)*AU76</f>
        <v>539.96829003862717</v>
      </c>
      <c r="AW76" s="1809">
        <f>AL76*(AW$2&lt;=YEAR($K76))+AV76*$AQ76*(AW$2=YEAR($K76)+1)+INDEX([11]核心假设及结论!$E$17:$E$21,MATCH($D76,[11]核心假设及结论!$B$17:$B$21,0))*(AW$2&gt;YEAR($K76)+1)*AV76</f>
        <v>556.50071805851053</v>
      </c>
      <c r="AX76" s="1809">
        <f>AM76*(AX$2&lt;=YEAR($K76))+AW76*$AQ76*(AX$2=YEAR($K76)+1)+INDEX([11]核心假设及结论!$E$17:$E$21,MATCH($D76,[11]核心假设及结论!$B$17:$B$21,0))*(AX$2&gt;YEAR($K76)+1)*AW76</f>
        <v>573.53932612873177</v>
      </c>
      <c r="AZ76" s="1746">
        <f t="shared" si="40"/>
        <v>45782</v>
      </c>
      <c r="BA76" s="1817">
        <f t="shared" si="41"/>
        <v>45658</v>
      </c>
      <c r="BB76" s="1817">
        <f t="shared" si="42"/>
        <v>45782</v>
      </c>
      <c r="BC76" s="1817">
        <f t="shared" si="43"/>
        <v>46022</v>
      </c>
      <c r="BD76" s="1818">
        <f t="shared" si="44"/>
        <v>125</v>
      </c>
      <c r="BE76" s="1818">
        <f t="shared" si="45"/>
        <v>240</v>
      </c>
      <c r="BG76" s="1777">
        <f t="shared" si="28"/>
        <v>223.18381214418005</v>
      </c>
      <c r="BH76" s="1777">
        <f t="shared" si="30"/>
        <v>233.6815459896678</v>
      </c>
      <c r="BI76" s="1777">
        <f t="shared" si="30"/>
        <v>240.83626860934771</v>
      </c>
      <c r="BJ76" s="1777">
        <f t="shared" si="30"/>
        <v>248.21005027174218</v>
      </c>
      <c r="BK76" s="1777">
        <f t="shared" si="30"/>
        <v>255.80959799636071</v>
      </c>
      <c r="BL76" s="1777">
        <f t="shared" si="30"/>
        <v>263.64182415424784</v>
      </c>
      <c r="BM76" s="1777">
        <f t="shared" si="30"/>
        <v>91.2163229637613</v>
      </c>
      <c r="BO76" s="1739">
        <f t="shared" si="46"/>
        <v>2025</v>
      </c>
      <c r="BP76" s="1742">
        <f>_xlfn.IFNA(INDEX($AR76:$AX76,MATCH(BO76,$AR$2:$AX$2,0))*12/365*[11]核心假设及结论!$C$70*$H76,0)</f>
        <v>174150</v>
      </c>
      <c r="BR76" s="1739">
        <f t="shared" si="51"/>
        <v>2026</v>
      </c>
      <c r="BS76" s="1742">
        <f>_xlfn.IFNA(INDEX($AR76:$AX76,MATCH(BR76,$AR$2:$AX$2,0))*12/365*[11]核心假设及结论!$C$70*$H76,0)</f>
        <v>188276.64018022505</v>
      </c>
      <c r="BU76" s="1739">
        <f t="shared" si="52"/>
        <v>2027</v>
      </c>
      <c r="BV76" s="1742">
        <f>_xlfn.IFNA(INDEX($AR76:$AX76,MATCH(BU76,$AR$2:$AX$2,0))*12/365*[11]核心假设及结论!$C$70*$H76,0)</f>
        <v>194041.18239321758</v>
      </c>
      <c r="BX76" s="1739">
        <f t="shared" si="53"/>
        <v>2028</v>
      </c>
      <c r="BY76" s="1742">
        <f>_xlfn.IFNA(INDEX($AR76:$AX76,MATCH(BX76,$AR$2:$AX$2,0))*12/365*[11]核心假设及结论!$C$70*$H76,0)</f>
        <v>199982.2199318838</v>
      </c>
      <c r="CA76" s="1739">
        <f t="shared" si="54"/>
        <v>2029</v>
      </c>
      <c r="CB76" s="1742">
        <f>_xlfn.IFNA(INDEX($AR76:$AX76,MATCH(CA76,$AR$2:$AX$2,0))*12/365*[11]核心假设及结论!$C$70*$H76,0)</f>
        <v>206105.15662515492</v>
      </c>
    </row>
    <row r="77" spans="1:80" ht="30" customHeight="1">
      <c r="A77" s="1756" t="s">
        <v>1687</v>
      </c>
      <c r="B77" s="1757" t="s">
        <v>1834</v>
      </c>
      <c r="C77" s="1756" t="s">
        <v>1835</v>
      </c>
      <c r="D77" s="1756" t="s">
        <v>1685</v>
      </c>
      <c r="E77" s="1758" t="s">
        <v>1735</v>
      </c>
      <c r="F77" s="1759"/>
      <c r="G77" s="1760" t="s">
        <v>1661</v>
      </c>
      <c r="H77" s="1761">
        <v>386</v>
      </c>
      <c r="I77" s="1761" t="s">
        <v>1782</v>
      </c>
      <c r="J77" s="1773">
        <v>44545</v>
      </c>
      <c r="K77" s="1773">
        <v>46005</v>
      </c>
      <c r="L77" s="1764">
        <f t="shared" si="36"/>
        <v>48</v>
      </c>
      <c r="M77" s="1774">
        <f t="shared" si="47"/>
        <v>231735.1</v>
      </c>
      <c r="N77" s="1775">
        <f t="shared" si="48"/>
        <v>486.73</v>
      </c>
      <c r="O77" s="1760">
        <v>187877.78</v>
      </c>
      <c r="P77" s="1776">
        <v>0.12</v>
      </c>
      <c r="Q77" s="1783">
        <f t="shared" si="37"/>
        <v>95</v>
      </c>
      <c r="R77" s="1784">
        <v>36670</v>
      </c>
      <c r="S77" s="1777">
        <f t="shared" si="38"/>
        <v>18.62</v>
      </c>
      <c r="T77" s="1777">
        <v>7187.32</v>
      </c>
      <c r="U77" s="1777"/>
      <c r="V77" s="1785">
        <v>569527.78583333304</v>
      </c>
      <c r="W77" s="1785">
        <f t="shared" si="39"/>
        <v>1475.4605850604482</v>
      </c>
      <c r="X77" s="1786">
        <f t="shared" si="35"/>
        <v>0.39427010513884181</v>
      </c>
      <c r="Y77" s="1789">
        <f>VLOOKUP(E77,[11]核心假设及结论!$C$25:$E$45,3,0)</f>
        <v>0.2</v>
      </c>
      <c r="Z77" s="1790">
        <f t="shared" si="33"/>
        <v>199589.02000000002</v>
      </c>
      <c r="AA77" s="1790">
        <f t="shared" si="33"/>
        <v>0</v>
      </c>
      <c r="AB77" s="1790">
        <f t="shared" si="33"/>
        <v>0</v>
      </c>
      <c r="AC77" s="1790">
        <f t="shared" si="32"/>
        <v>0</v>
      </c>
      <c r="AD77" s="1790">
        <f t="shared" si="32"/>
        <v>0</v>
      </c>
      <c r="AE77" s="1790">
        <f t="shared" si="32"/>
        <v>0</v>
      </c>
      <c r="AF77" s="1790">
        <f t="shared" si="32"/>
        <v>0</v>
      </c>
      <c r="AG77" s="1794">
        <v>517.07000000000005</v>
      </c>
      <c r="AH77" s="1741">
        <v>0</v>
      </c>
      <c r="AI77" s="1794">
        <v>0</v>
      </c>
      <c r="AJ77" s="1794">
        <v>0</v>
      </c>
      <c r="AK77" s="1794">
        <v>0</v>
      </c>
      <c r="AL77" s="1794">
        <v>0</v>
      </c>
      <c r="AM77" s="1794">
        <v>0</v>
      </c>
      <c r="AN77" s="1795"/>
      <c r="AO77" s="1795"/>
      <c r="AP77" s="1808">
        <f t="shared" si="49"/>
        <v>1.971350525694209</v>
      </c>
      <c r="AQ77" s="1810">
        <f>IF(AP77&gt;[11]核心假设及结论!$B$59,[11]核心假设及结论!$D$59,IF(AP77&lt;=[11]核心假设及结论!$B$58,[11]核心假设及结论!$D$57,[11]核心假设及结论!$D$58))</f>
        <v>1</v>
      </c>
      <c r="AR77" s="1809">
        <f t="shared" si="50"/>
        <v>517.07000000000005</v>
      </c>
      <c r="AS77" s="1811">
        <f>AG77*(AS$2&lt;=YEAR($K77))+AR77*$AQ77*(AS$2=YEAR($K77)+1)+INDEX([11]核心假设及结论!$E$17:$E$21,MATCH($D77,[11]核心假设及结论!$B$17:$B$21,0))*(AS$2&gt;YEAR($K77)+1)*AR77</f>
        <v>517.07000000000005</v>
      </c>
      <c r="AT77" s="1809">
        <f>AI77*(AT$2&lt;=YEAR($K77))+AS77*$AQ77*(AT$2=YEAR($K77)+1)+INDEX([11]核心假设及结论!$E$17:$E$21,MATCH($D77,[11]核心假设及结论!$B$17:$B$21,0))*(AT$2&gt;YEAR($K77)+1)*AS77</f>
        <v>531.06940706510852</v>
      </c>
      <c r="AU77" s="1809">
        <f>AJ77*(AU$2&lt;=YEAR($K77))+AT77*$AQ77*(AU$2=YEAR($K77)+1)+INDEX([11]核心假设及结论!$E$17:$E$21,MATCH($D77,[11]核心假设及结论!$B$17:$B$21,0))*(AU$2&gt;YEAR($K77)+1)*AT77</f>
        <v>545.44784095090779</v>
      </c>
      <c r="AV77" s="1809">
        <f>AK77*(AV$2&lt;=YEAR($K77))+AU77*$AQ77*(AV$2=YEAR($K77)+1)+INDEX([11]核心假设及结论!$E$17:$E$21,MATCH($D77,[11]核心假设及结论!$B$17:$B$21,0))*(AV$2&gt;YEAR($K77)+1)*AU77</f>
        <v>560.21556361564615</v>
      </c>
      <c r="AW77" s="1809">
        <f>AL77*(AW$2&lt;=YEAR($K77))+AV77*$AQ77*(AW$2=YEAR($K77)+1)+INDEX([11]核心假设及结论!$E$17:$E$21,MATCH($D77,[11]核心假设及结论!$B$17:$B$21,0))*(AW$2&gt;YEAR($K77)+1)*AV77</f>
        <v>575.38311485486827</v>
      </c>
      <c r="AX77" s="1809">
        <f>AM77*(AX$2&lt;=YEAR($K77))+AW77*$AQ77*(AX$2=YEAR($K77)+1)+INDEX([11]核心假设及结论!$E$17:$E$21,MATCH($D77,[11]核心假设及结论!$B$17:$B$21,0))*(AX$2&gt;YEAR($K77)+1)*AW77</f>
        <v>590.96131982371844</v>
      </c>
      <c r="AZ77" s="1746">
        <f t="shared" si="40"/>
        <v>46005</v>
      </c>
      <c r="BA77" s="1817">
        <f t="shared" si="41"/>
        <v>45658</v>
      </c>
      <c r="BB77" s="1817">
        <f t="shared" si="42"/>
        <v>46005</v>
      </c>
      <c r="BC77" s="1817">
        <f t="shared" si="43"/>
        <v>46022</v>
      </c>
      <c r="BD77" s="1818">
        <f t="shared" si="44"/>
        <v>348</v>
      </c>
      <c r="BE77" s="1818">
        <f t="shared" si="45"/>
        <v>17</v>
      </c>
      <c r="BG77" s="1777">
        <f t="shared" si="28"/>
        <v>239.50682400000002</v>
      </c>
      <c r="BH77" s="1777">
        <f t="shared" si="30"/>
        <v>239.8088429890233</v>
      </c>
      <c r="BI77" s="1777">
        <f t="shared" si="30"/>
        <v>246.3015453519838</v>
      </c>
      <c r="BJ77" s="1777">
        <f t="shared" si="30"/>
        <v>252.97003432668299</v>
      </c>
      <c r="BK77" s="1777">
        <f t="shared" si="30"/>
        <v>259.81906924615947</v>
      </c>
      <c r="BL77" s="1777">
        <f t="shared" si="30"/>
        <v>266.85353829997143</v>
      </c>
      <c r="BM77" s="1777">
        <f t="shared" si="30"/>
        <v>260.98406192640152</v>
      </c>
      <c r="BO77" s="1739">
        <f t="shared" si="46"/>
        <v>2025</v>
      </c>
      <c r="BP77" s="1742">
        <f>_xlfn.IFNA(INDEX($AR77:$AX77,MATCH(BO77,$AR$2:$AX$2,0))*12/365*[11]核心假设及结论!$C$70*$H77,0)</f>
        <v>196854.92383561644</v>
      </c>
      <c r="BR77" s="1739">
        <f t="shared" si="51"/>
        <v>2029</v>
      </c>
      <c r="BS77" s="1742">
        <f>_xlfn.IFNA(INDEX($AR77:$AX77,MATCH(BR77,$AR$2:$AX$2,0))*12/365*[11]核心假设及结论!$C$70*$H77,0)</f>
        <v>213280.97183569914</v>
      </c>
      <c r="BU77" s="1739">
        <f t="shared" si="52"/>
        <v>2033</v>
      </c>
      <c r="BV77" s="1742">
        <f>_xlfn.IFNA(INDEX($AR77:$AX77,MATCH(BU77,$AR$2:$AX$2,0))*12/365*[11]核心假设及结论!$C$70*$H77,0)</f>
        <v>0</v>
      </c>
      <c r="BX77" s="1739">
        <f t="shared" si="53"/>
        <v>2037</v>
      </c>
      <c r="BY77" s="1742">
        <f>_xlfn.IFNA(INDEX($AR77:$AX77,MATCH(BX77,$AR$2:$AX$2,0))*12/365*[11]核心假设及结论!$C$70*$H77,0)</f>
        <v>0</v>
      </c>
      <c r="CA77" s="1739">
        <f t="shared" si="54"/>
        <v>2041</v>
      </c>
      <c r="CB77" s="1742">
        <f>_xlfn.IFNA(INDEX($AR77:$AX77,MATCH(CA77,$AR$2:$AX$2,0))*12/365*[11]核心假设及结论!$C$70*$H77,0)</f>
        <v>0</v>
      </c>
    </row>
    <row r="78" spans="1:80" ht="30" customHeight="1">
      <c r="A78" s="1756" t="s">
        <v>1662</v>
      </c>
      <c r="B78" s="1757" t="s">
        <v>1836</v>
      </c>
      <c r="C78" s="1756" t="s">
        <v>1837</v>
      </c>
      <c r="D78" s="1756" t="s">
        <v>1685</v>
      </c>
      <c r="E78" s="1758" t="s">
        <v>1838</v>
      </c>
      <c r="F78" s="1759"/>
      <c r="G78" s="1760" t="s">
        <v>1661</v>
      </c>
      <c r="H78" s="1761">
        <v>383</v>
      </c>
      <c r="I78" s="1761" t="s">
        <v>1782</v>
      </c>
      <c r="J78" s="1773">
        <v>45243</v>
      </c>
      <c r="K78" s="1773">
        <v>47434</v>
      </c>
      <c r="L78" s="1764">
        <f t="shared" si="36"/>
        <v>72</v>
      </c>
      <c r="M78" s="1774">
        <f t="shared" si="47"/>
        <v>149864.07</v>
      </c>
      <c r="N78" s="1775">
        <f t="shared" si="48"/>
        <v>285.2</v>
      </c>
      <c r="O78" s="1760">
        <v>109231.6</v>
      </c>
      <c r="P78" s="1776">
        <v>0.08</v>
      </c>
      <c r="Q78" s="1783">
        <f t="shared" si="37"/>
        <v>90</v>
      </c>
      <c r="R78" s="1784">
        <v>34470</v>
      </c>
      <c r="S78" s="1777">
        <f t="shared" si="38"/>
        <v>16.09</v>
      </c>
      <c r="T78" s="1777">
        <v>6162.47</v>
      </c>
      <c r="U78" s="1777"/>
      <c r="V78" s="1785">
        <v>2905310.7259166702</v>
      </c>
      <c r="W78" s="1785">
        <f t="shared" si="39"/>
        <v>7585.6676916884335</v>
      </c>
      <c r="X78" s="1786">
        <f t="shared" si="35"/>
        <v>4.9461697407481242E-2</v>
      </c>
      <c r="Y78" s="1789">
        <f>VLOOKUP(E78,[11]核心假设及结论!$C$25:$E$45,3,0)</f>
        <v>0.2</v>
      </c>
      <c r="Z78" s="1790">
        <f t="shared" si="33"/>
        <v>109231.59999999999</v>
      </c>
      <c r="AA78" s="1790">
        <f t="shared" si="33"/>
        <v>114735.31</v>
      </c>
      <c r="AB78" s="1790">
        <f t="shared" si="33"/>
        <v>114735.31</v>
      </c>
      <c r="AC78" s="1790">
        <f t="shared" si="32"/>
        <v>120484.14</v>
      </c>
      <c r="AD78" s="1790">
        <f t="shared" si="32"/>
        <v>120484.14</v>
      </c>
      <c r="AE78" s="1790">
        <f t="shared" si="32"/>
        <v>0</v>
      </c>
      <c r="AF78" s="1790">
        <f t="shared" si="32"/>
        <v>0</v>
      </c>
      <c r="AG78" s="1794">
        <v>285.2</v>
      </c>
      <c r="AH78" s="1794">
        <v>299.57</v>
      </c>
      <c r="AI78" s="1794">
        <v>299.57</v>
      </c>
      <c r="AJ78" s="1794">
        <v>314.58</v>
      </c>
      <c r="AK78" s="1794">
        <v>314.58</v>
      </c>
      <c r="AL78" s="1794">
        <v>0</v>
      </c>
      <c r="AM78" s="1794">
        <v>0</v>
      </c>
      <c r="AN78" s="1795"/>
      <c r="AO78" s="1795"/>
      <c r="AP78" s="1808">
        <f t="shared" si="49"/>
        <v>0.24730848703740621</v>
      </c>
      <c r="AQ78" s="1810">
        <f>IF(AP78&gt;[11]核心假设及结论!$B$59,[11]核心假设及结论!$D$59,IF(AP78&lt;=[11]核心假设及结论!$B$58,[11]核心假设及结论!$D$57,[11]核心假设及结论!$D$58))</f>
        <v>1.0342640124442799</v>
      </c>
      <c r="AR78" s="1809">
        <f t="shared" si="50"/>
        <v>285.2</v>
      </c>
      <c r="AS78" s="1809">
        <f>AH78*(AS$2&lt;=YEAR($K78))+AR78*$AQ78*(AS$2=YEAR($K78)+1)+INDEX([11]核心假设及结论!$E$17:$E$21,MATCH($D78,[11]核心假设及结论!$B$17:$B$21,0))*(AS$2&gt;YEAR($K78)+1)*AR78</f>
        <v>299.57</v>
      </c>
      <c r="AT78" s="1809">
        <f>AI78*(AT$2&lt;=YEAR($K78))+AS78*$AQ78*(AT$2=YEAR($K78)+1)+INDEX([11]核心假设及结论!$E$17:$E$21,MATCH($D78,[11]核心假设及结论!$B$17:$B$21,0))*(AT$2&gt;YEAR($K78)+1)*AS78</f>
        <v>299.57</v>
      </c>
      <c r="AU78" s="1809">
        <f>AJ78*(AU$2&lt;=YEAR($K78))+AT78*$AQ78*(AU$2=YEAR($K78)+1)+INDEX([11]核心假设及结论!$E$17:$E$21,MATCH($D78,[11]核心假设及结论!$B$17:$B$21,0))*(AU$2&gt;YEAR($K78)+1)*AT78</f>
        <v>314.58</v>
      </c>
      <c r="AV78" s="1809">
        <f>AK78*(AV$2&lt;=YEAR($K78))+AU78*$AQ78*(AV$2=YEAR($K78)+1)+INDEX([11]核心假设及结论!$E$17:$E$21,MATCH($D78,[11]核心假设及结论!$B$17:$B$21,0))*(AV$2&gt;YEAR($K78)+1)*AU78</f>
        <v>314.58</v>
      </c>
      <c r="AW78" s="1811">
        <f>AL78*(AW$2&lt;=YEAR($K78))+AV78*$AQ78*(AW$2=YEAR($K78)+1)+INDEX([11]核心假设及结论!$E$17:$E$21,MATCH($D78,[11]核心假设及结论!$B$17:$B$21,0))*(AW$2&gt;YEAR($K78)+1)*AV78</f>
        <v>325.35877303472154</v>
      </c>
      <c r="AX78" s="1809">
        <f>AM78*(AX$2&lt;=YEAR($K78))+AW78*$AQ78*(AX$2=YEAR($K78)+1)+INDEX([11]核心假设及结论!$E$17:$E$21,MATCH($D78,[11]核心假设及结论!$B$17:$B$21,0))*(AX$2&gt;YEAR($K78)+1)*AW78</f>
        <v>334.1676962093735</v>
      </c>
      <c r="AZ78" s="1746">
        <f t="shared" si="40"/>
        <v>47434</v>
      </c>
      <c r="BA78" s="1817">
        <f t="shared" si="41"/>
        <v>45658</v>
      </c>
      <c r="BB78" s="1817">
        <f t="shared" si="42"/>
        <v>45973</v>
      </c>
      <c r="BC78" s="1817">
        <f t="shared" si="43"/>
        <v>46022</v>
      </c>
      <c r="BD78" s="1818">
        <f t="shared" si="44"/>
        <v>316</v>
      </c>
      <c r="BE78" s="1818">
        <f t="shared" si="45"/>
        <v>49</v>
      </c>
      <c r="BG78" s="1777">
        <f t="shared" si="28"/>
        <v>131.96454506301373</v>
      </c>
      <c r="BH78" s="1777">
        <f t="shared" si="30"/>
        <v>137.68237199999999</v>
      </c>
      <c r="BI78" s="1777">
        <f t="shared" si="30"/>
        <v>138.60848488767121</v>
      </c>
      <c r="BJ78" s="1777">
        <f t="shared" si="30"/>
        <v>144.58096799999998</v>
      </c>
      <c r="BK78" s="1777">
        <f t="shared" si="30"/>
        <v>145.2460153431538</v>
      </c>
      <c r="BL78" s="1777">
        <f t="shared" si="30"/>
        <v>150.07840023323041</v>
      </c>
      <c r="BM78" s="1777">
        <f t="shared" si="30"/>
        <v>132.9654178745032</v>
      </c>
      <c r="BO78" s="1739">
        <f t="shared" si="46"/>
        <v>2029</v>
      </c>
      <c r="BP78" s="1742">
        <f>_xlfn.IFNA(INDEX($AR78:$AX78,MATCH(BO78,$AR$2:$AX$2,0))*12/365*[11]核心假设及结论!$C$70*$H78,0)</f>
        <v>118833.67232876712</v>
      </c>
      <c r="BR78" s="1739">
        <f t="shared" si="51"/>
        <v>2035</v>
      </c>
      <c r="BS78" s="1742">
        <f>_xlfn.IFNA(INDEX($AR78:$AX78,MATCH(BR78,$AR$2:$AX$2,0))*12/365*[11]核心假设及结论!$C$70*$H78,0)</f>
        <v>0</v>
      </c>
      <c r="BU78" s="1739">
        <f t="shared" si="52"/>
        <v>2041</v>
      </c>
      <c r="BV78" s="1742">
        <f>_xlfn.IFNA(INDEX($AR78:$AX78,MATCH(BU78,$AR$2:$AX$2,0))*12/365*[11]核心假设及结论!$C$70*$H78,0)</f>
        <v>0</v>
      </c>
      <c r="BX78" s="1739">
        <f t="shared" si="53"/>
        <v>2047</v>
      </c>
      <c r="BY78" s="1742">
        <f>_xlfn.IFNA(INDEX($AR78:$AX78,MATCH(BX78,$AR$2:$AX$2,0))*12/365*[11]核心假设及结论!$C$70*$H78,0)</f>
        <v>0</v>
      </c>
      <c r="CA78" s="1739">
        <f t="shared" si="54"/>
        <v>2053</v>
      </c>
      <c r="CB78" s="1742">
        <f>_xlfn.IFNA(INDEX($AR78:$AX78,MATCH(CA78,$AR$2:$AX$2,0))*12/365*[11]核心假设及结论!$C$70*$H78,0)</f>
        <v>0</v>
      </c>
    </row>
    <row r="79" spans="1:80" ht="30" customHeight="1">
      <c r="A79" s="1756" t="s">
        <v>1662</v>
      </c>
      <c r="B79" s="1757" t="s">
        <v>1839</v>
      </c>
      <c r="C79" s="1756" t="s">
        <v>1840</v>
      </c>
      <c r="D79" s="1756" t="s">
        <v>1698</v>
      </c>
      <c r="E79" s="1758" t="s">
        <v>1698</v>
      </c>
      <c r="F79" s="1759"/>
      <c r="G79" s="1760" t="s">
        <v>1661</v>
      </c>
      <c r="H79" s="1761">
        <v>381</v>
      </c>
      <c r="I79" s="1761" t="s">
        <v>1782</v>
      </c>
      <c r="J79" s="1773">
        <v>44980</v>
      </c>
      <c r="K79" s="1773">
        <v>47901</v>
      </c>
      <c r="L79" s="1764">
        <f t="shared" si="36"/>
        <v>96</v>
      </c>
      <c r="M79" s="1774">
        <f t="shared" si="47"/>
        <v>193593.72</v>
      </c>
      <c r="N79" s="1775">
        <f t="shared" si="48"/>
        <v>395.39</v>
      </c>
      <c r="O79" s="1760">
        <v>150643.59</v>
      </c>
      <c r="P79" s="1776">
        <v>0.09</v>
      </c>
      <c r="Q79" s="1783">
        <f t="shared" si="37"/>
        <v>95</v>
      </c>
      <c r="R79" s="1784">
        <v>36195</v>
      </c>
      <c r="S79" s="1777">
        <f t="shared" si="38"/>
        <v>17.73</v>
      </c>
      <c r="T79" s="1777">
        <v>6755.13</v>
      </c>
      <c r="U79" s="1777"/>
      <c r="V79" s="1785">
        <v>1074853.8933333301</v>
      </c>
      <c r="W79" s="1785">
        <f t="shared" si="39"/>
        <v>2821.1388276465354</v>
      </c>
      <c r="X79" s="1786">
        <f t="shared" si="35"/>
        <v>0.17382696491015848</v>
      </c>
      <c r="Y79" s="1789">
        <f>VLOOKUP(E79,[11]核心假设及结论!$C$25:$E$45,3,0)</f>
        <v>0.2</v>
      </c>
      <c r="Z79" s="1790">
        <f t="shared" si="33"/>
        <v>150643.59</v>
      </c>
      <c r="AA79" s="1790">
        <f t="shared" si="33"/>
        <v>162199.32</v>
      </c>
      <c r="AB79" s="1790">
        <f t="shared" si="33"/>
        <v>162199.32</v>
      </c>
      <c r="AC79" s="1790">
        <f t="shared" si="32"/>
        <v>173880.78</v>
      </c>
      <c r="AD79" s="1790">
        <f t="shared" si="32"/>
        <v>173880.78</v>
      </c>
      <c r="AE79" s="1790">
        <f t="shared" si="32"/>
        <v>185444.13</v>
      </c>
      <c r="AF79" s="1790">
        <f t="shared" si="32"/>
        <v>185444.13</v>
      </c>
      <c r="AG79" s="1794">
        <v>395.39</v>
      </c>
      <c r="AH79" s="1794">
        <v>425.72</v>
      </c>
      <c r="AI79" s="1794">
        <v>425.72</v>
      </c>
      <c r="AJ79" s="1794">
        <v>456.38</v>
      </c>
      <c r="AK79" s="1794">
        <v>456.38</v>
      </c>
      <c r="AL79" s="1794">
        <v>486.73</v>
      </c>
      <c r="AM79" s="1794">
        <v>486.73</v>
      </c>
      <c r="AN79" s="1795"/>
      <c r="AO79" s="1795"/>
      <c r="AP79" s="1808">
        <f t="shared" si="49"/>
        <v>0.86913482455079238</v>
      </c>
      <c r="AQ79" s="1812">
        <f>IF(AP79&gt;[11]核心假设及结论!$B$62,[11]核心假设及结论!$D$62,IF(AP79&lt;=[11]核心假设及结论!$B$61,[11]核心假设及结论!$D$60,[11]核心假设及结论!$D$61))</f>
        <v>1.0811176582269599</v>
      </c>
      <c r="AR79" s="1809">
        <f t="shared" si="50"/>
        <v>395.39</v>
      </c>
      <c r="AS79" s="1809">
        <f>AH79*(AS$2&lt;=YEAR($K79))+AR79*$AQ79*(AS$2=YEAR($K79)+1)+INDEX([11]核心假设及结论!$E$17:$E$21,MATCH($D79,[11]核心假设及结论!$B$17:$B$21,0))*(AS$2&gt;YEAR($K79)+1)*AR79</f>
        <v>425.72</v>
      </c>
      <c r="AT79" s="1809">
        <f>AI79*(AT$2&lt;=YEAR($K79))+AS79*$AQ79*(AT$2=YEAR($K79)+1)+INDEX([11]核心假设及结论!$E$17:$E$21,MATCH($D79,[11]核心假设及结论!$B$17:$B$21,0))*(AT$2&gt;YEAR($K79)+1)*AS79</f>
        <v>425.72</v>
      </c>
      <c r="AU79" s="1809">
        <f>AJ79*(AU$2&lt;=YEAR($K79))+AT79*$AQ79*(AU$2=YEAR($K79)+1)+INDEX([11]核心假设及结论!$E$17:$E$21,MATCH($D79,[11]核心假设及结论!$B$17:$B$21,0))*(AU$2&gt;YEAR($K79)+1)*AT79</f>
        <v>456.38</v>
      </c>
      <c r="AV79" s="1809">
        <f>AK79*(AV$2&lt;=YEAR($K79))+AU79*$AQ79*(AV$2=YEAR($K79)+1)+INDEX([11]核心假设及结论!$E$17:$E$21,MATCH($D79,[11]核心假设及结论!$B$17:$B$21,0))*(AV$2&gt;YEAR($K79)+1)*AU79</f>
        <v>456.38</v>
      </c>
      <c r="AW79" s="1809">
        <f>AL79*(AW$2&lt;=YEAR($K79))+AV79*$AQ79*(AW$2=YEAR($K79)+1)+INDEX([11]核心假设及结论!$E$17:$E$21,MATCH($D79,[11]核心假设及结论!$B$17:$B$21,0))*(AW$2&gt;YEAR($K79)+1)*AV79</f>
        <v>486.73</v>
      </c>
      <c r="AX79" s="1809">
        <f>AM79*(AX$2&lt;=YEAR($K79))+AW79*$AQ79*(AX$2=YEAR($K79)+1)+INDEX([11]核心假设及结论!$E$17:$E$21,MATCH($D79,[11]核心假设及结论!$B$17:$B$21,0))*(AX$2&gt;YEAR($K79)+1)*AW79</f>
        <v>486.73</v>
      </c>
      <c r="AZ79" s="1746">
        <f t="shared" si="40"/>
        <v>47901</v>
      </c>
      <c r="BA79" s="1817">
        <f t="shared" si="41"/>
        <v>45658</v>
      </c>
      <c r="BB79" s="1817">
        <f t="shared" si="42"/>
        <v>45710</v>
      </c>
      <c r="BC79" s="1817">
        <f t="shared" si="43"/>
        <v>46022</v>
      </c>
      <c r="BD79" s="1818">
        <f t="shared" si="44"/>
        <v>53</v>
      </c>
      <c r="BE79" s="1818">
        <f t="shared" si="45"/>
        <v>312</v>
      </c>
      <c r="BG79" s="1777">
        <f t="shared" si="28"/>
        <v>192.6256376219178</v>
      </c>
      <c r="BH79" s="1777">
        <f t="shared" si="30"/>
        <v>194.639184</v>
      </c>
      <c r="BI79" s="1777">
        <f t="shared" si="30"/>
        <v>206.62148159999998</v>
      </c>
      <c r="BJ79" s="1777">
        <f t="shared" si="30"/>
        <v>208.65693599999997</v>
      </c>
      <c r="BK79" s="1777">
        <f t="shared" ref="BK79:BM141" si="55">(AV79*$BD79*$H79*12/365+$BE79*AW79*$H79*12/365)/10000</f>
        <v>220.51808186301369</v>
      </c>
      <c r="BL79" s="1777">
        <f t="shared" si="55"/>
        <v>222.53295600000001</v>
      </c>
      <c r="BM79" s="1777">
        <f t="shared" si="55"/>
        <v>32.313004569863018</v>
      </c>
      <c r="BO79" s="1739">
        <f t="shared" si="46"/>
        <v>2031</v>
      </c>
      <c r="BP79" s="1742">
        <f>_xlfn.IFNA(INDEX($AR79:$AX79,MATCH(BO79,$AR$2:$AX$2,0))*12/365*[11]核心假设及结论!$C$70*$H79,0)</f>
        <v>182903.79945205478</v>
      </c>
      <c r="BR79" s="1739">
        <f t="shared" si="51"/>
        <v>2039</v>
      </c>
      <c r="BS79" s="1742">
        <f>_xlfn.IFNA(INDEX($AR79:$AX79,MATCH(BR79,$AR$2:$AX$2,0))*12/365*[11]核心假设及结论!$C$70*$H79,0)</f>
        <v>0</v>
      </c>
      <c r="BU79" s="1739">
        <f t="shared" si="52"/>
        <v>2047</v>
      </c>
      <c r="BV79" s="1742">
        <f>_xlfn.IFNA(INDEX($AR79:$AX79,MATCH(BU79,$AR$2:$AX$2,0))*12/365*[11]核心假设及结论!$C$70*$H79,0)</f>
        <v>0</v>
      </c>
      <c r="BX79" s="1739">
        <f t="shared" si="53"/>
        <v>2055</v>
      </c>
      <c r="BY79" s="1742">
        <f>_xlfn.IFNA(INDEX($AR79:$AX79,MATCH(BX79,$AR$2:$AX$2,0))*12/365*[11]核心假设及结论!$C$70*$H79,0)</f>
        <v>0</v>
      </c>
      <c r="CA79" s="1739">
        <f t="shared" si="54"/>
        <v>2063</v>
      </c>
      <c r="CB79" s="1742">
        <f>_xlfn.IFNA(INDEX($AR79:$AX79,MATCH(CA79,$AR$2:$AX$2,0))*12/365*[11]核心假设及结论!$C$70*$H79,0)</f>
        <v>0</v>
      </c>
    </row>
    <row r="80" spans="1:80" ht="30" customHeight="1">
      <c r="A80" s="1756" t="s">
        <v>1666</v>
      </c>
      <c r="B80" s="1757" t="s">
        <v>1841</v>
      </c>
      <c r="C80" s="1756" t="s">
        <v>1842</v>
      </c>
      <c r="D80" s="1756" t="s">
        <v>1698</v>
      </c>
      <c r="E80" s="1758" t="s">
        <v>1698</v>
      </c>
      <c r="F80" s="1759"/>
      <c r="G80" s="1760" t="s">
        <v>1661</v>
      </c>
      <c r="H80" s="1761">
        <v>315</v>
      </c>
      <c r="I80" s="1761" t="s">
        <v>1782</v>
      </c>
      <c r="J80" s="1773">
        <v>45658</v>
      </c>
      <c r="K80" s="1773">
        <v>47418</v>
      </c>
      <c r="L80" s="1764">
        <f t="shared" si="36"/>
        <v>58</v>
      </c>
      <c r="M80" s="1774">
        <f t="shared" si="47"/>
        <v>204755.4</v>
      </c>
      <c r="N80" s="1775">
        <f t="shared" si="48"/>
        <v>513.6996825396825</v>
      </c>
      <c r="O80" s="1760">
        <v>161815.4</v>
      </c>
      <c r="P80" s="1776">
        <v>0.13</v>
      </c>
      <c r="Q80" s="1783">
        <f t="shared" si="37"/>
        <v>114.60317460317461</v>
      </c>
      <c r="R80" s="1784">
        <v>36100</v>
      </c>
      <c r="S80" s="1777">
        <f t="shared" si="38"/>
        <v>21.714285714285715</v>
      </c>
      <c r="T80" s="1777">
        <v>6840</v>
      </c>
      <c r="U80" s="1777"/>
      <c r="V80" s="1785">
        <v>855801.16500000004</v>
      </c>
      <c r="W80" s="1785">
        <f t="shared" si="39"/>
        <v>2716.8290952380953</v>
      </c>
      <c r="X80" s="1823">
        <f>(O80+R80)/V80</f>
        <v>0.23126329817510821</v>
      </c>
      <c r="Y80" s="1789">
        <f>VLOOKUP(E80,[11]核心假设及结论!$C$25:$E$45,3,0)</f>
        <v>0.2</v>
      </c>
      <c r="Z80" s="1790">
        <f t="shared" si="33"/>
        <v>143718.75</v>
      </c>
      <c r="AA80" s="1790">
        <f t="shared" si="33"/>
        <v>148031.1</v>
      </c>
      <c r="AB80" s="1790">
        <f t="shared" si="33"/>
        <v>152437.95000000001</v>
      </c>
      <c r="AC80" s="1790">
        <f t="shared" si="32"/>
        <v>157036.94999999998</v>
      </c>
      <c r="AD80" s="1790">
        <f t="shared" si="32"/>
        <v>161730.44999999998</v>
      </c>
      <c r="AE80" s="1790">
        <f t="shared" si="32"/>
        <v>0</v>
      </c>
      <c r="AF80" s="1790">
        <f t="shared" si="32"/>
        <v>0</v>
      </c>
      <c r="AG80" s="1794">
        <v>456.25</v>
      </c>
      <c r="AH80" s="1794">
        <v>469.94</v>
      </c>
      <c r="AI80" s="1794">
        <v>483.93</v>
      </c>
      <c r="AJ80" s="1794">
        <v>498.53</v>
      </c>
      <c r="AK80" s="1794">
        <v>513.42999999999995</v>
      </c>
      <c r="AL80" s="1794">
        <v>0</v>
      </c>
      <c r="AM80" s="1794">
        <v>0</v>
      </c>
      <c r="AN80" s="1795"/>
      <c r="AO80" s="1795"/>
      <c r="AP80" s="1808">
        <f t="shared" si="49"/>
        <v>1.156316490875541</v>
      </c>
      <c r="AQ80" s="1812">
        <f>IF(AP80&gt;[11]核心假设及结论!$B$62,[11]核心假设及结论!$D$62,IF(AP80&lt;=[11]核心假设及结论!$B$61,[11]核心假设及结论!$D$60,[11]核心假设及结论!$D$61))</f>
        <v>1.0489999999999999</v>
      </c>
      <c r="AR80" s="1809">
        <f t="shared" si="50"/>
        <v>456.25</v>
      </c>
      <c r="AS80" s="1809">
        <f>AH80*(AS$2&lt;=YEAR($K80))+AR80*$AQ80*(AS$2=YEAR($K80)+1)+INDEX([11]核心假设及结论!$E$17:$E$21,MATCH($D80,[11]核心假设及结论!$B$17:$B$21,0))*(AS$2&gt;YEAR($K80)+1)*AR80</f>
        <v>469.94</v>
      </c>
      <c r="AT80" s="1809">
        <f>AI80*(AT$2&lt;=YEAR($K80))+AS80*$AQ80*(AT$2=YEAR($K80)+1)+INDEX([11]核心假设及结论!$E$17:$E$21,MATCH($D80,[11]核心假设及结论!$B$17:$B$21,0))*(AT$2&gt;YEAR($K80)+1)*AS80</f>
        <v>483.93</v>
      </c>
      <c r="AU80" s="1809">
        <f>AJ80*(AU$2&lt;=YEAR($K80))+AT80*$AQ80*(AU$2=YEAR($K80)+1)+INDEX([11]核心假设及结论!$E$17:$E$21,MATCH($D80,[11]核心假设及结论!$B$17:$B$21,0))*(AU$2&gt;YEAR($K80)+1)*AT80</f>
        <v>498.53</v>
      </c>
      <c r="AV80" s="1809">
        <f>AK80*(AV$2&lt;=YEAR($K80))+AU80*$AQ80*(AV$2=YEAR($K80)+1)+INDEX([11]核心假设及结论!$E$17:$E$21,MATCH($D80,[11]核心假设及结论!$B$17:$B$21,0))*(AV$2&gt;YEAR($K80)+1)*AU80</f>
        <v>513.42999999999995</v>
      </c>
      <c r="AW80" s="1811">
        <f>AL80*(AW$2&lt;=YEAR($K80))+AV80*$AQ80*(AW$2=YEAR($K80)+1)+INDEX([11]核心假设及结论!$E$17:$E$21,MATCH($D80,[11]核心假设及结论!$B$17:$B$21,0))*(AW$2&gt;YEAR($K80)+1)*AV80</f>
        <v>538.5880699999999</v>
      </c>
      <c r="AX80" s="1809">
        <f>AM80*(AX$2&lt;=YEAR($K80))+AW80*$AQ80*(AX$2=YEAR($K80)+1)+INDEX([11]核心假设及结论!$E$17:$E$21,MATCH($D80,[11]核心假设及结论!$B$17:$B$21,0))*(AX$2&gt;YEAR($K80)+1)*AW80</f>
        <v>555.07823926346896</v>
      </c>
      <c r="AZ80" s="1746">
        <f t="shared" si="40"/>
        <v>47418</v>
      </c>
      <c r="BA80" s="1817">
        <f t="shared" si="41"/>
        <v>45658</v>
      </c>
      <c r="BB80" s="1817">
        <f t="shared" si="42"/>
        <v>45957</v>
      </c>
      <c r="BC80" s="1817">
        <f t="shared" si="43"/>
        <v>46022</v>
      </c>
      <c r="BD80" s="1818">
        <f t="shared" si="44"/>
        <v>300</v>
      </c>
      <c r="BE80" s="1818">
        <f t="shared" si="45"/>
        <v>65</v>
      </c>
      <c r="BG80" s="1777">
        <f t="shared" si="28"/>
        <v>173.38404328767123</v>
      </c>
      <c r="BH80" s="1777">
        <f t="shared" ref="BH80:BM142" si="56">(AS80*$BD80*$H80*12/365+$BE80*AT80*$H80*12/365)/10000</f>
        <v>178.57905780821918</v>
      </c>
      <c r="BI80" s="1777">
        <f t="shared" si="56"/>
        <v>183.90833999999998</v>
      </c>
      <c r="BJ80" s="1777">
        <f t="shared" si="56"/>
        <v>189.44733452054794</v>
      </c>
      <c r="BK80" s="1777">
        <f t="shared" si="55"/>
        <v>195.77005720520543</v>
      </c>
      <c r="BL80" s="1777">
        <f t="shared" si="55"/>
        <v>204.69632733343403</v>
      </c>
      <c r="BM80" s="1777">
        <f t="shared" si="55"/>
        <v>172.45444474651342</v>
      </c>
      <c r="BO80" s="1826">
        <f t="shared" si="46"/>
        <v>2029</v>
      </c>
      <c r="BP80" s="1742">
        <f>_xlfn.IFNA(INDEX($AR80:$AX80,MATCH(BO80,$AR$2:$AX$2,0))*12/365*[11]核心假设及结论!$C$70*$H80,0)</f>
        <v>159514.96438356166</v>
      </c>
      <c r="BR80" s="1739">
        <f t="shared" si="51"/>
        <v>2034</v>
      </c>
      <c r="BS80" s="1742">
        <f>_xlfn.IFNA(INDEX($AR80:$AX80,MATCH(BR80,$AR$2:$AX$2,0))*12/365*[11]核心假设及结论!$C$70*$H80,0)</f>
        <v>0</v>
      </c>
      <c r="BU80" s="1739">
        <f t="shared" si="52"/>
        <v>2039</v>
      </c>
      <c r="BV80" s="1742">
        <f>_xlfn.IFNA(INDEX($AR80:$AX80,MATCH(BU80,$AR$2:$AX$2,0))*12/365*[11]核心假设及结论!$C$70*$H80,0)</f>
        <v>0</v>
      </c>
      <c r="BX80" s="1739">
        <f t="shared" si="53"/>
        <v>2044</v>
      </c>
      <c r="BY80" s="1742">
        <f>_xlfn.IFNA(INDEX($AR80:$AX80,MATCH(BX80,$AR$2:$AX$2,0))*12/365*[11]核心假设及结论!$C$70*$H80,0)</f>
        <v>0</v>
      </c>
      <c r="CA80" s="1739">
        <f t="shared" si="54"/>
        <v>2049</v>
      </c>
      <c r="CB80" s="1742">
        <f>_xlfn.IFNA(INDEX($AR80:$AX80,MATCH(CA80,$AR$2:$AX$2,0))*12/365*[11]核心假设及结论!$C$70*$H80,0)</f>
        <v>0</v>
      </c>
    </row>
    <row r="81" spans="1:80" ht="30" customHeight="1">
      <c r="A81" s="1756" t="s">
        <v>1687</v>
      </c>
      <c r="B81" s="1757" t="s">
        <v>1843</v>
      </c>
      <c r="C81" s="1756" t="s">
        <v>1844</v>
      </c>
      <c r="D81" s="1756" t="s">
        <v>1685</v>
      </c>
      <c r="E81" s="1758" t="s">
        <v>1709</v>
      </c>
      <c r="F81" s="1759"/>
      <c r="G81" s="1760" t="s">
        <v>1661</v>
      </c>
      <c r="H81" s="1761">
        <v>374</v>
      </c>
      <c r="I81" s="1761" t="s">
        <v>1782</v>
      </c>
      <c r="J81" s="1773">
        <v>45624</v>
      </c>
      <c r="K81" s="1773">
        <v>47053</v>
      </c>
      <c r="L81" s="1764">
        <f t="shared" si="36"/>
        <v>47</v>
      </c>
      <c r="M81" s="1774">
        <f t="shared" si="47"/>
        <v>151926.28</v>
      </c>
      <c r="N81" s="1775">
        <f t="shared" si="48"/>
        <v>293.49</v>
      </c>
      <c r="O81" s="1760">
        <v>109765.26</v>
      </c>
      <c r="P81" s="1776">
        <v>0.06</v>
      </c>
      <c r="Q81" s="1783">
        <f t="shared" si="37"/>
        <v>95</v>
      </c>
      <c r="R81" s="1784">
        <v>35530</v>
      </c>
      <c r="S81" s="1777">
        <f t="shared" si="38"/>
        <v>17.73</v>
      </c>
      <c r="T81" s="1784">
        <v>6631.02</v>
      </c>
      <c r="U81" s="1777"/>
      <c r="V81" s="1785">
        <v>1034380.66666667</v>
      </c>
      <c r="W81" s="1785">
        <f t="shared" si="39"/>
        <v>2765.723707664893</v>
      </c>
      <c r="X81" s="1786">
        <f t="shared" si="35"/>
        <v>0.14046594709491175</v>
      </c>
      <c r="Y81" s="1789">
        <f>VLOOKUP(E81,[11]核心假设及结论!$C$25:$E$45,3,0)</f>
        <v>0.2</v>
      </c>
      <c r="Z81" s="1790">
        <f t="shared" si="33"/>
        <v>109765.26000000001</v>
      </c>
      <c r="AA81" s="1790">
        <f t="shared" si="33"/>
        <v>147887.08000000002</v>
      </c>
      <c r="AB81" s="1790">
        <f t="shared" si="33"/>
        <v>153575.62</v>
      </c>
      <c r="AC81" s="1790">
        <f t="shared" si="32"/>
        <v>159260.41999999998</v>
      </c>
      <c r="AD81" s="1790">
        <f t="shared" si="32"/>
        <v>0</v>
      </c>
      <c r="AE81" s="1790">
        <f t="shared" si="32"/>
        <v>0</v>
      </c>
      <c r="AF81" s="1790">
        <f t="shared" si="32"/>
        <v>0</v>
      </c>
      <c r="AG81" s="1794">
        <v>293.49</v>
      </c>
      <c r="AH81" s="1794">
        <v>395.42</v>
      </c>
      <c r="AI81" s="1794">
        <v>410.63</v>
      </c>
      <c r="AJ81" s="1794">
        <v>425.83</v>
      </c>
      <c r="AK81" s="1794">
        <v>0</v>
      </c>
      <c r="AL81" s="1794">
        <v>0</v>
      </c>
      <c r="AM81" s="1794">
        <v>0</v>
      </c>
      <c r="AN81" s="1796"/>
      <c r="AO81" s="1796"/>
      <c r="AP81" s="1808">
        <f t="shared" si="49"/>
        <v>0.70232973547455868</v>
      </c>
      <c r="AQ81" s="1810">
        <f>IF(AP81&gt;[11]核心假设及结论!$B$59,[11]核心假设及结论!$D$59,IF(AP81&lt;=[11]核心假设及结论!$B$58,[11]核心假设及结论!$D$57,[11]核心假设及结论!$D$58))</f>
        <v>1.0342640124442799</v>
      </c>
      <c r="AR81" s="1809">
        <f t="shared" si="50"/>
        <v>293.49</v>
      </c>
      <c r="AS81" s="1809">
        <f>AH81*(AS$2&lt;=YEAR($K81))+AR81*$AQ81*(AS$2=YEAR($K81)+1)+INDEX([11]核心假设及结论!$E$17:$E$21,MATCH($D81,[11]核心假设及结论!$B$17:$B$21,0))*(AS$2&gt;YEAR($K81)+1)*AR81</f>
        <v>395.42</v>
      </c>
      <c r="AT81" s="1809">
        <f>AI81*(AT$2&lt;=YEAR($K81))+AS81*$AQ81*(AT$2=YEAR($K81)+1)+INDEX([11]核心假设及结论!$E$17:$E$21,MATCH($D81,[11]核心假设及结论!$B$17:$B$21,0))*(AT$2&gt;YEAR($K81)+1)*AS81</f>
        <v>410.63</v>
      </c>
      <c r="AU81" s="1809">
        <f>AJ81*(AU$2&lt;=YEAR($K81))+AT81*$AQ81*(AU$2=YEAR($K81)+1)+INDEX([11]核心假设及结论!$E$17:$E$21,MATCH($D81,[11]核心假设及结论!$B$17:$B$21,0))*(AU$2&gt;YEAR($K81)+1)*AT81</f>
        <v>425.83</v>
      </c>
      <c r="AV81" s="1811">
        <f>AK81*(AV$2&lt;=YEAR($K81))+AU81*$AQ81*(AV$2=YEAR($K81)+1)+INDEX([11]核心假设及结论!$E$17:$E$21,MATCH($D81,[11]核心假设及结论!$B$17:$B$21,0))*(AV$2&gt;YEAR($K81)+1)*AU81</f>
        <v>440.42064441914772</v>
      </c>
      <c r="AW81" s="1809">
        <f>AL81*(AW$2&lt;=YEAR($K81))+AV81*$AQ81*(AW$2=YEAR($K81)+1)+INDEX([11]核心假设及结论!$E$17:$E$21,MATCH($D81,[11]核心假设及结论!$B$17:$B$21,0))*(AW$2&gt;YEAR($K81)+1)*AV81</f>
        <v>452.34480919587241</v>
      </c>
      <c r="AX81" s="1809">
        <f>AM81*(AX$2&lt;=YEAR($K81))+AW81*$AQ81*(AX$2=YEAR($K81)+1)+INDEX([11]核心假设及结论!$E$17:$E$21,MATCH($D81,[11]核心假设及结论!$B$17:$B$21,0))*(AX$2&gt;YEAR($K81)+1)*AW81</f>
        <v>464.59181466461325</v>
      </c>
      <c r="AZ81" s="1746">
        <f t="shared" si="40"/>
        <v>47053</v>
      </c>
      <c r="BA81" s="1817">
        <f t="shared" si="41"/>
        <v>45658</v>
      </c>
      <c r="BB81" s="1817">
        <f t="shared" si="42"/>
        <v>45957</v>
      </c>
      <c r="BC81" s="1817">
        <f t="shared" si="43"/>
        <v>46022</v>
      </c>
      <c r="BD81" s="1818">
        <f t="shared" si="44"/>
        <v>300</v>
      </c>
      <c r="BE81" s="1818">
        <f t="shared" si="45"/>
        <v>65</v>
      </c>
      <c r="BG81" s="1777">
        <f t="shared" si="28"/>
        <v>139.86489271232878</v>
      </c>
      <c r="BH81" s="1777">
        <f t="shared" si="56"/>
        <v>178.68012920547946</v>
      </c>
      <c r="BI81" s="1777">
        <f t="shared" si="56"/>
        <v>185.50557797260274</v>
      </c>
      <c r="BJ81" s="1777">
        <f t="shared" si="56"/>
        <v>192.27863627122022</v>
      </c>
      <c r="BK81" s="1777">
        <f t="shared" si="55"/>
        <v>198.61380366700283</v>
      </c>
      <c r="BL81" s="1777">
        <f t="shared" si="55"/>
        <v>203.99117130829688</v>
      </c>
      <c r="BM81" s="1777">
        <f t="shared" si="55"/>
        <v>171.37710116833844</v>
      </c>
      <c r="BO81" s="1739">
        <f t="shared" si="46"/>
        <v>2028</v>
      </c>
      <c r="BP81" s="1742">
        <f>_xlfn.IFNA(INDEX($AR81:$AX81,MATCH(BO81,$AR$2:$AX$2,0))*12/365*[11]核心假设及结论!$C$70*$H81,0)</f>
        <v>157078.77041095891</v>
      </c>
      <c r="BR81" s="1739">
        <f t="shared" si="51"/>
        <v>2032</v>
      </c>
      <c r="BS81" s="1742">
        <f>_xlfn.IFNA(INDEX($AR81:$AX81,MATCH(BR81,$AR$2:$AX$2,0))*12/365*[11]核心假设及结论!$C$70*$H81,0)</f>
        <v>0</v>
      </c>
      <c r="BU81" s="1739">
        <f t="shared" si="52"/>
        <v>2036</v>
      </c>
      <c r="BV81" s="1742">
        <f>_xlfn.IFNA(INDEX($AR81:$AX81,MATCH(BU81,$AR$2:$AX$2,0))*12/365*[11]核心假设及结论!$C$70*$H81,0)</f>
        <v>0</v>
      </c>
      <c r="BX81" s="1739">
        <f t="shared" si="53"/>
        <v>2040</v>
      </c>
      <c r="BY81" s="1742">
        <f>_xlfn.IFNA(INDEX($AR81:$AX81,MATCH(BX81,$AR$2:$AX$2,0))*12/365*[11]核心假设及结论!$C$70*$H81,0)</f>
        <v>0</v>
      </c>
      <c r="CA81" s="1739">
        <f t="shared" si="54"/>
        <v>2044</v>
      </c>
      <c r="CB81" s="1742">
        <f>_xlfn.IFNA(INDEX($AR81:$AX81,MATCH(CA81,$AR$2:$AX$2,0))*12/365*[11]核心假设及结论!$C$70*$H81,0)</f>
        <v>0</v>
      </c>
    </row>
    <row r="82" spans="1:80" ht="30" customHeight="1">
      <c r="A82" s="1756" t="s">
        <v>1687</v>
      </c>
      <c r="B82" s="1757" t="s">
        <v>1845</v>
      </c>
      <c r="C82" s="1756" t="s">
        <v>1846</v>
      </c>
      <c r="D82" s="1756" t="s">
        <v>1676</v>
      </c>
      <c r="E82" s="1758" t="s">
        <v>1677</v>
      </c>
      <c r="F82" s="1759"/>
      <c r="G82" s="1760" t="s">
        <v>1661</v>
      </c>
      <c r="H82" s="1761">
        <v>373</v>
      </c>
      <c r="I82" s="1761" t="s">
        <v>1782</v>
      </c>
      <c r="J82" s="1773">
        <v>45383</v>
      </c>
      <c r="K82" s="1773">
        <v>47208</v>
      </c>
      <c r="L82" s="1764">
        <f t="shared" si="36"/>
        <v>60</v>
      </c>
      <c r="M82" s="1774">
        <f t="shared" si="47"/>
        <v>100415.33</v>
      </c>
      <c r="N82" s="1775">
        <f t="shared" si="48"/>
        <v>161.21</v>
      </c>
      <c r="O82" s="1760">
        <v>60131.33</v>
      </c>
      <c r="P82" s="1776">
        <v>0.13</v>
      </c>
      <c r="Q82" s="1783">
        <f t="shared" si="37"/>
        <v>90</v>
      </c>
      <c r="R82" s="1784">
        <v>33570</v>
      </c>
      <c r="S82" s="1777">
        <f t="shared" si="38"/>
        <v>18</v>
      </c>
      <c r="T82" s="1784">
        <v>6714</v>
      </c>
      <c r="U82" s="1777"/>
      <c r="V82" s="1785">
        <v>142042.44333333301</v>
      </c>
      <c r="W82" s="1785">
        <f t="shared" si="39"/>
        <v>380.81084003574534</v>
      </c>
      <c r="X82" s="1786">
        <f t="shared" si="35"/>
        <v>0.65967134752891965</v>
      </c>
      <c r="Y82" s="1789">
        <f>VLOOKUP(E82,[11]核心假设及结论!$C$25:$E$45,3,0)</f>
        <v>0.25</v>
      </c>
      <c r="Z82" s="1790">
        <f t="shared" si="33"/>
        <v>60131.33</v>
      </c>
      <c r="AA82" s="1790">
        <f t="shared" si="33"/>
        <v>60131.33</v>
      </c>
      <c r="AB82" s="1790">
        <f t="shared" si="33"/>
        <v>63193.659999999996</v>
      </c>
      <c r="AC82" s="1790">
        <f t="shared" si="32"/>
        <v>63193.659999999996</v>
      </c>
      <c r="AD82" s="1790">
        <f t="shared" si="32"/>
        <v>66255.990000000005</v>
      </c>
      <c r="AE82" s="1790">
        <f t="shared" si="32"/>
        <v>0</v>
      </c>
      <c r="AF82" s="1790">
        <f t="shared" si="32"/>
        <v>0</v>
      </c>
      <c r="AG82" s="1794">
        <v>161.21</v>
      </c>
      <c r="AH82" s="1794">
        <v>161.21</v>
      </c>
      <c r="AI82" s="1794">
        <v>169.42</v>
      </c>
      <c r="AJ82" s="1794">
        <v>169.42</v>
      </c>
      <c r="AK82" s="1794">
        <v>177.63</v>
      </c>
      <c r="AL82" s="1794">
        <v>0</v>
      </c>
      <c r="AM82" s="1794">
        <v>0</v>
      </c>
      <c r="AN82" s="1797"/>
      <c r="AO82" s="1797"/>
      <c r="AP82" s="1808">
        <f t="shared" si="49"/>
        <v>2.6386853901156786</v>
      </c>
      <c r="AQ82" s="1808">
        <f>IF(AP82&gt;[11]核心假设及结论!$B$65,[11]核心假设及结论!$D$65,IF(AP82&lt;=[11]核心假设及结论!$B$64,[11]核心假设及结论!$D$63,[11]核心假设及结论!$D$64))</f>
        <v>0.72793038402688603</v>
      </c>
      <c r="AR82" s="1809">
        <f t="shared" si="50"/>
        <v>161.21</v>
      </c>
      <c r="AS82" s="1809">
        <f>AH82*(AS$2&lt;=YEAR($K82))+AR82*$AQ82*(AS$2=YEAR($K82)+1)+INDEX([11]核心假设及结论!$E$17:$E$21,MATCH($D82,[11]核心假设及结论!$B$17:$B$21,0))*(AS$2&gt;YEAR($K82)+1)*AR82</f>
        <v>161.21</v>
      </c>
      <c r="AT82" s="1809">
        <f>AI82*(AT$2&lt;=YEAR($K82))+AS82*$AQ82*(AT$2=YEAR($K82)+1)+INDEX([11]核心假设及结论!$E$17:$E$21,MATCH($D82,[11]核心假设及结论!$B$17:$B$21,0))*(AT$2&gt;YEAR($K82)+1)*AS82</f>
        <v>169.42</v>
      </c>
      <c r="AU82" s="1809">
        <f>AJ82*(AU$2&lt;=YEAR($K82))+AT82*$AQ82*(AU$2=YEAR($K82)+1)+INDEX([11]核心假设及结论!$E$17:$E$21,MATCH($D82,[11]核心假设及结论!$B$17:$B$21,0))*(AU$2&gt;YEAR($K82)+1)*AT82</f>
        <v>169.42</v>
      </c>
      <c r="AV82" s="1809">
        <f>AK82*(AV$2&lt;=YEAR($K82))+AU82*$AQ82*(AV$2=YEAR($K82)+1)+INDEX([11]核心假设及结论!$E$17:$E$21,MATCH($D82,[11]核心假设及结论!$B$17:$B$21,0))*(AV$2&gt;YEAR($K82)+1)*AU82</f>
        <v>177.63</v>
      </c>
      <c r="AW82" s="1811">
        <f>AL82*(AW$2&lt;=YEAR($K82))+AV82*$AQ82*(AW$2=YEAR($K82)+1)+INDEX([11]核心假设及结论!$E$17:$E$21,MATCH($D82,[11]核心假设及结论!$B$17:$B$21,0))*(AW$2&gt;YEAR($K82)+1)*AV82</f>
        <v>129.30227411469576</v>
      </c>
      <c r="AX82" s="1809">
        <f>AM82*(AX$2&lt;=YEAR($K82))+AW82*$AQ82*(AX$2=YEAR($K82)+1)+INDEX([11]核心假设及结论!$E$17:$E$21,MATCH($D82,[11]核心假设及结论!$B$17:$B$21,0))*(AX$2&gt;YEAR($K82)+1)*AW82</f>
        <v>133.77291155583708</v>
      </c>
      <c r="AZ82" s="1746">
        <f t="shared" si="40"/>
        <v>47208</v>
      </c>
      <c r="BA82" s="1817">
        <f t="shared" si="41"/>
        <v>45658</v>
      </c>
      <c r="BB82" s="1817">
        <f t="shared" si="42"/>
        <v>45747</v>
      </c>
      <c r="BC82" s="1817">
        <f t="shared" si="43"/>
        <v>46022</v>
      </c>
      <c r="BD82" s="1818">
        <f t="shared" si="44"/>
        <v>90</v>
      </c>
      <c r="BE82" s="1818">
        <f t="shared" si="45"/>
        <v>275</v>
      </c>
      <c r="BG82" s="1777">
        <f t="shared" si="28"/>
        <v>72.157596000000012</v>
      </c>
      <c r="BH82" s="1777">
        <f t="shared" si="56"/>
        <v>74.926277917808221</v>
      </c>
      <c r="BI82" s="1777">
        <f t="shared" si="56"/>
        <v>75.832391999999999</v>
      </c>
      <c r="BJ82" s="1777">
        <f t="shared" si="56"/>
        <v>78.601073917808222</v>
      </c>
      <c r="BK82" s="1777">
        <f t="shared" si="55"/>
        <v>63.209489974733977</v>
      </c>
      <c r="BL82" s="1777">
        <f t="shared" si="55"/>
        <v>59.383343818751754</v>
      </c>
      <c r="BM82" s="1777">
        <f t="shared" si="55"/>
        <v>14.764131422233811</v>
      </c>
      <c r="BO82" s="1739">
        <f t="shared" si="46"/>
        <v>2029</v>
      </c>
      <c r="BP82" s="1742">
        <f>_xlfn.IFNA(INDEX($AR82:$AX82,MATCH(BO82,$AR$2:$AX$2,0))*12/365*[11]核心假设及结论!$C$70*$H82,0)</f>
        <v>65348.373698630137</v>
      </c>
      <c r="BR82" s="1739">
        <f t="shared" si="51"/>
        <v>2034</v>
      </c>
      <c r="BS82" s="1742">
        <f>_xlfn.IFNA(INDEX($AR82:$AX82,MATCH(BR82,$AR$2:$AX$2,0))*12/365*[11]核心假设及结论!$C$70*$H82,0)</f>
        <v>0</v>
      </c>
      <c r="BU82" s="1739">
        <f t="shared" si="52"/>
        <v>2039</v>
      </c>
      <c r="BV82" s="1742">
        <f>_xlfn.IFNA(INDEX($AR82:$AX82,MATCH(BU82,$AR$2:$AX$2,0))*12/365*[11]核心假设及结论!$C$70*$H82,0)</f>
        <v>0</v>
      </c>
      <c r="BX82" s="1739">
        <f t="shared" si="53"/>
        <v>2044</v>
      </c>
      <c r="BY82" s="1742">
        <f>_xlfn.IFNA(INDEX($AR82:$AX82,MATCH(BX82,$AR$2:$AX$2,0))*12/365*[11]核心假设及结论!$C$70*$H82,0)</f>
        <v>0</v>
      </c>
      <c r="CA82" s="1739">
        <f t="shared" si="54"/>
        <v>2049</v>
      </c>
      <c r="CB82" s="1742">
        <f>_xlfn.IFNA(INDEX($AR82:$AX82,MATCH(CA82,$AR$2:$AX$2,0))*12/365*[11]核心假设及结论!$C$70*$H82,0)</f>
        <v>0</v>
      </c>
    </row>
    <row r="83" spans="1:80" ht="30" customHeight="1">
      <c r="A83" s="1756" t="s">
        <v>1666</v>
      </c>
      <c r="B83" s="1757" t="s">
        <v>1847</v>
      </c>
      <c r="C83" s="1756" t="s">
        <v>1848</v>
      </c>
      <c r="D83" s="1756" t="s">
        <v>1685</v>
      </c>
      <c r="E83" s="1758" t="s">
        <v>1692</v>
      </c>
      <c r="F83" s="1762"/>
      <c r="G83" s="1760" t="s">
        <v>1661</v>
      </c>
      <c r="H83" s="1761">
        <v>367</v>
      </c>
      <c r="I83" s="1761" t="s">
        <v>1782</v>
      </c>
      <c r="J83" s="1773">
        <v>45221</v>
      </c>
      <c r="K83" s="1773">
        <v>46316</v>
      </c>
      <c r="L83" s="1764">
        <f t="shared" si="36"/>
        <v>36</v>
      </c>
      <c r="M83" s="1774">
        <f t="shared" si="47"/>
        <v>208914.75</v>
      </c>
      <c r="N83" s="1775">
        <f t="shared" si="48"/>
        <v>456.25</v>
      </c>
      <c r="O83" s="1760">
        <v>167443.75</v>
      </c>
      <c r="P83" s="1776">
        <v>0.17</v>
      </c>
      <c r="Q83" s="1783">
        <f t="shared" si="37"/>
        <v>95</v>
      </c>
      <c r="R83" s="1784">
        <v>34865</v>
      </c>
      <c r="S83" s="1777">
        <f t="shared" si="38"/>
        <v>18</v>
      </c>
      <c r="T83" s="1784">
        <v>6606</v>
      </c>
      <c r="U83" s="1777"/>
      <c r="V83" s="1785">
        <v>764718.46</v>
      </c>
      <c r="W83" s="1785">
        <f t="shared" si="39"/>
        <v>2083.7015258855586</v>
      </c>
      <c r="X83" s="1786">
        <f>(N83+Q83+S83)*H83/V83</f>
        <v>0.27319171816514015</v>
      </c>
      <c r="Y83" s="1789">
        <f>VLOOKUP(E83,[11]核心假设及结论!$C$25:$E$45,3,0)</f>
        <v>0.2</v>
      </c>
      <c r="Z83" s="1790">
        <f t="shared" si="33"/>
        <v>173025.82</v>
      </c>
      <c r="AA83" s="1790">
        <f t="shared" si="33"/>
        <v>178607.89</v>
      </c>
      <c r="AB83" s="1790">
        <f t="shared" si="33"/>
        <v>0</v>
      </c>
      <c r="AC83" s="1790">
        <f t="shared" si="32"/>
        <v>0</v>
      </c>
      <c r="AD83" s="1790">
        <f t="shared" si="32"/>
        <v>0</v>
      </c>
      <c r="AE83" s="1790">
        <f t="shared" si="32"/>
        <v>0</v>
      </c>
      <c r="AF83" s="1790">
        <f t="shared" si="32"/>
        <v>0</v>
      </c>
      <c r="AG83" s="1794">
        <v>471.46</v>
      </c>
      <c r="AH83" s="1794">
        <v>486.67</v>
      </c>
      <c r="AI83" s="1794">
        <v>0</v>
      </c>
      <c r="AJ83" s="1794">
        <v>0</v>
      </c>
      <c r="AK83" s="1794">
        <v>0</v>
      </c>
      <c r="AL83" s="1794">
        <v>0</v>
      </c>
      <c r="AM83" s="1794">
        <v>0</v>
      </c>
      <c r="AN83" s="1797"/>
      <c r="AO83" s="1797"/>
      <c r="AP83" s="1808">
        <f t="shared" si="49"/>
        <v>1.3659585908257006</v>
      </c>
      <c r="AQ83" s="1810">
        <f>IF(AP83&gt;[11]核心假设及结论!$B$59,[11]核心假设及结论!$D$59,IF(AP83&lt;=[11]核心假设及结论!$B$58,[11]核心假设及结论!$D$57,[11]核心假设及结论!$D$58))</f>
        <v>1.0069999999999999</v>
      </c>
      <c r="AR83" s="1809">
        <f t="shared" si="50"/>
        <v>471.46</v>
      </c>
      <c r="AS83" s="1809">
        <f>AH83*(AS$2&lt;=YEAR($K83))+AR83*$AQ83*(AS$2=YEAR($K83)+1)+INDEX([11]核心假设及结论!$E$17:$E$21,MATCH($D83,[11]核心假设及结论!$B$17:$B$21,0))*(AS$2&gt;YEAR($K83)+1)*AR83</f>
        <v>486.67</v>
      </c>
      <c r="AT83" s="1811">
        <f>AI83*(AT$2&lt;=YEAR($K83))+AS83*$AQ83*(AT$2=YEAR($K83)+1)+INDEX([11]核心假设及结论!$E$17:$E$21,MATCH($D83,[11]核心假设及结论!$B$17:$B$21,0))*(AT$2&gt;YEAR($K83)+1)*AS83</f>
        <v>490.07668999999999</v>
      </c>
      <c r="AU83" s="1809">
        <f>AJ83*(AU$2&lt;=YEAR($K83))+AT83*$AQ83*(AU$2=YEAR($K83)+1)+INDEX([11]核心假设及结论!$E$17:$E$21,MATCH($D83,[11]核心假设及结论!$B$17:$B$21,0))*(AU$2&gt;YEAR($K83)+1)*AT83</f>
        <v>503.34526693625804</v>
      </c>
      <c r="AV83" s="1809">
        <f>AK83*(AV$2&lt;=YEAR($K83))+AU83*$AQ83*(AV$2=YEAR($K83)+1)+INDEX([11]核心假设及结论!$E$17:$E$21,MATCH($D83,[11]核心假设及结论!$B$17:$B$21,0))*(AV$2&gt;YEAR($K83)+1)*AU83</f>
        <v>516.97308383945551</v>
      </c>
      <c r="AW83" s="1809">
        <f>AL83*(AW$2&lt;=YEAR($K83))+AV83*$AQ83*(AW$2=YEAR($K83)+1)+INDEX([11]核心假设及结论!$E$17:$E$21,MATCH($D83,[11]核心假设及结论!$B$17:$B$21,0))*(AW$2&gt;YEAR($K83)+1)*AV83</f>
        <v>530.96986694884686</v>
      </c>
      <c r="AX83" s="1809">
        <f>AM83*(AX$2&lt;=YEAR($K83))+AW83*$AQ83*(AX$2=YEAR($K83)+1)+INDEX([11]核心假设及结论!$E$17:$E$21,MATCH($D83,[11]核心假设及结论!$B$17:$B$21,0))*(AX$2&gt;YEAR($K83)+1)*AW83</f>
        <v>545.34560583666348</v>
      </c>
      <c r="AZ83" s="1746">
        <f t="shared" si="40"/>
        <v>46316</v>
      </c>
      <c r="BA83" s="1817">
        <f t="shared" si="41"/>
        <v>45658</v>
      </c>
      <c r="BB83" s="1817">
        <f t="shared" si="42"/>
        <v>45951</v>
      </c>
      <c r="BC83" s="1817">
        <f t="shared" si="43"/>
        <v>46022</v>
      </c>
      <c r="BD83" s="1818">
        <f t="shared" si="44"/>
        <v>294</v>
      </c>
      <c r="BE83" s="1818">
        <f t="shared" si="45"/>
        <v>71</v>
      </c>
      <c r="BG83" s="1777">
        <f t="shared" si="28"/>
        <v>208.93397677808221</v>
      </c>
      <c r="BH83" s="1777">
        <f t="shared" si="56"/>
        <v>214.62130839889315</v>
      </c>
      <c r="BI83" s="1777">
        <f t="shared" si="56"/>
        <v>216.96645145702379</v>
      </c>
      <c r="BJ83" s="1777">
        <f t="shared" si="56"/>
        <v>222.84070769586759</v>
      </c>
      <c r="BK83" s="1777">
        <f t="shared" si="55"/>
        <v>228.87400643242412</v>
      </c>
      <c r="BL83" s="1777">
        <f t="shared" si="55"/>
        <v>235.07065366136754</v>
      </c>
      <c r="BM83" s="1777">
        <f t="shared" si="55"/>
        <v>193.45216497062242</v>
      </c>
      <c r="BO83" s="1739">
        <f t="shared" si="46"/>
        <v>2026</v>
      </c>
      <c r="BP83" s="1742">
        <f>_xlfn.IFNA(INDEX($AR83:$AX83,MATCH(BO83,$AR$2:$AX$2,0))*12/365*[11]核心假设及结论!$C$70*$H83,0)</f>
        <v>176161.20657534245</v>
      </c>
      <c r="BR83" s="1739">
        <f t="shared" si="51"/>
        <v>2029</v>
      </c>
      <c r="BS83" s="1742">
        <f>_xlfn.IFNA(INDEX($AR83:$AX83,MATCH(BR83,$AR$2:$AX$2,0))*12/365*[11]核心假设及结论!$C$70*$H83,0)</f>
        <v>187130.0927037503</v>
      </c>
      <c r="BU83" s="1739">
        <f t="shared" si="52"/>
        <v>2032</v>
      </c>
      <c r="BV83" s="1742">
        <f>_xlfn.IFNA(INDEX($AR83:$AX83,MATCH(BU83,$AR$2:$AX$2,0))*12/365*[11]核心假设及结论!$C$70*$H83,0)</f>
        <v>0</v>
      </c>
      <c r="BX83" s="1739">
        <f t="shared" si="53"/>
        <v>2035</v>
      </c>
      <c r="BY83" s="1742">
        <f>_xlfn.IFNA(INDEX($AR83:$AX83,MATCH(BX83,$AR$2:$AX$2,0))*12/365*[11]核心假设及结论!$C$70*$H83,0)</f>
        <v>0</v>
      </c>
      <c r="CA83" s="1739">
        <f t="shared" si="54"/>
        <v>2038</v>
      </c>
      <c r="CB83" s="1742">
        <f>_xlfn.IFNA(INDEX($AR83:$AX83,MATCH(CA83,$AR$2:$AX$2,0))*12/365*[11]核心假设及结论!$C$70*$H83,0)</f>
        <v>0</v>
      </c>
    </row>
    <row r="84" spans="1:80" ht="30" customHeight="1">
      <c r="A84" s="1756" t="s">
        <v>1662</v>
      </c>
      <c r="B84" s="1757" t="s">
        <v>1849</v>
      </c>
      <c r="C84" s="1756" t="s">
        <v>1850</v>
      </c>
      <c r="D84" s="1756" t="s">
        <v>1685</v>
      </c>
      <c r="E84" s="1758" t="s">
        <v>1745</v>
      </c>
      <c r="F84" s="1759"/>
      <c r="G84" s="1760" t="s">
        <v>1682</v>
      </c>
      <c r="H84" s="1761">
        <v>363</v>
      </c>
      <c r="I84" s="1761" t="s">
        <v>1782</v>
      </c>
      <c r="J84" s="1773">
        <v>45215</v>
      </c>
      <c r="K84" s="1773">
        <v>46310</v>
      </c>
      <c r="L84" s="1764">
        <f t="shared" si="36"/>
        <v>36</v>
      </c>
      <c r="M84" s="1774">
        <f t="shared" si="47"/>
        <v>280152.50999999995</v>
      </c>
      <c r="N84" s="1775">
        <f t="shared" si="48"/>
        <v>669.17</v>
      </c>
      <c r="O84" s="1760">
        <v>242908.71</v>
      </c>
      <c r="P84" s="1776">
        <v>0</v>
      </c>
      <c r="Q84" s="1783">
        <f t="shared" si="37"/>
        <v>90</v>
      </c>
      <c r="R84" s="1784">
        <v>32670</v>
      </c>
      <c r="S84" s="1777">
        <f t="shared" si="38"/>
        <v>12.6</v>
      </c>
      <c r="T84" s="1777">
        <v>4573.8</v>
      </c>
      <c r="U84" s="1777"/>
      <c r="V84" s="1785">
        <v>35143200</v>
      </c>
      <c r="W84" s="1785">
        <f t="shared" si="39"/>
        <v>96813.223140495873</v>
      </c>
      <c r="X84" s="1786">
        <f t="shared" ref="X84:X93" si="57">(N84+Q84)*H84/V84</f>
        <v>7.8415941063989612E-3</v>
      </c>
      <c r="Y84" s="1789" t="e">
        <f>VLOOKUP(E84,[11]核心假设及结论!$C$25:$E$45,3,0)</f>
        <v>#N/A</v>
      </c>
      <c r="Z84" s="1790">
        <f t="shared" si="33"/>
        <v>253947.54</v>
      </c>
      <c r="AA84" s="1790">
        <f t="shared" si="33"/>
        <v>264990</v>
      </c>
      <c r="AB84" s="1790">
        <f t="shared" si="33"/>
        <v>0</v>
      </c>
      <c r="AC84" s="1790">
        <f t="shared" si="32"/>
        <v>0</v>
      </c>
      <c r="AD84" s="1790">
        <f t="shared" si="32"/>
        <v>0</v>
      </c>
      <c r="AE84" s="1790">
        <f t="shared" si="32"/>
        <v>0</v>
      </c>
      <c r="AF84" s="1790">
        <f t="shared" si="32"/>
        <v>0</v>
      </c>
      <c r="AG84" s="1794">
        <v>699.58</v>
      </c>
      <c r="AH84" s="1794">
        <v>730</v>
      </c>
      <c r="AI84" s="1794">
        <v>0</v>
      </c>
      <c r="AJ84" s="1794">
        <v>0</v>
      </c>
      <c r="AK84" s="1794">
        <v>0</v>
      </c>
      <c r="AL84" s="1794">
        <v>0</v>
      </c>
      <c r="AM84" s="1794">
        <v>0</v>
      </c>
      <c r="AN84" s="1795"/>
      <c r="AO84" s="1795"/>
      <c r="AP84" s="1808">
        <f t="shared" si="49"/>
        <v>1.25</v>
      </c>
      <c r="AQ84" s="1810">
        <f>IF(AP84&gt;[11]核心假设及结论!$B$59,[11]核心假设及结论!$D$59,IF(AP84&lt;=[11]核心假设及结论!$B$58,[11]核心假设及结论!$D$57,[11]核心假设及结论!$D$58))</f>
        <v>1.0069999999999999</v>
      </c>
      <c r="AR84" s="1809">
        <f t="shared" si="50"/>
        <v>699.58</v>
      </c>
      <c r="AS84" s="1809">
        <f>AH84*(AS$2&lt;=YEAR($K84))+AR84*$AQ84*(AS$2=YEAR($K84)+1)+INDEX([11]核心假设及结论!$E$17:$E$21,MATCH($D84,[11]核心假设及结论!$B$17:$B$21,0))*(AS$2&gt;YEAR($K84)+1)*AR84</f>
        <v>730</v>
      </c>
      <c r="AT84" s="1811">
        <f>AI84*(AT$2&lt;=YEAR($K84))+AS84*$AQ84*(AT$2=YEAR($K84)+1)+INDEX([11]核心假设及结论!$E$17:$E$21,MATCH($D84,[11]核心假设及结论!$B$17:$B$21,0))*(AT$2&gt;YEAR($K84)+1)*AS84</f>
        <v>735.1099999999999</v>
      </c>
      <c r="AU84" s="1809">
        <f>AJ84*(AU$2&lt;=YEAR($K84))+AT84*$AQ84*(AU$2=YEAR($K84)+1)+INDEX([11]核心假设及结论!$E$17:$E$21,MATCH($D84,[11]核心假设及结论!$B$17:$B$21,0))*(AU$2&gt;YEAR($K84)+1)*AT84</f>
        <v>755.01272908432475</v>
      </c>
      <c r="AV84" s="1809">
        <f>AK84*(AV$2&lt;=YEAR($K84))+AU84*$AQ84*(AV$2=YEAR($K84)+1)+INDEX([11]核心假设及结论!$E$17:$E$21,MATCH($D84,[11]核心假设及结论!$B$17:$B$21,0))*(AV$2&gt;YEAR($K84)+1)*AU84</f>
        <v>775.45431442826248</v>
      </c>
      <c r="AW84" s="1809">
        <f>AL84*(AW$2&lt;=YEAR($K84))+AV84*$AQ84*(AW$2=YEAR($K84)+1)+INDEX([11]核心假设及结论!$E$17:$E$21,MATCH($D84,[11]核心假设及结论!$B$17:$B$21,0))*(AW$2&gt;YEAR($K84)+1)*AV84</f>
        <v>796.44934529076818</v>
      </c>
      <c r="AX84" s="1809">
        <f>AM84*(AX$2&lt;=YEAR($K84))+AW84*$AQ84*(AX$2=YEAR($K84)+1)+INDEX([11]核心假设及结论!$E$17:$E$21,MATCH($D84,[11]核心假设及结论!$B$17:$B$21,0))*(AX$2&gt;YEAR($K84)+1)*AW84</f>
        <v>818.01280592755734</v>
      </c>
      <c r="AZ84" s="1746">
        <f t="shared" si="40"/>
        <v>46310</v>
      </c>
      <c r="BA84" s="1817">
        <f t="shared" si="41"/>
        <v>45658</v>
      </c>
      <c r="BB84" s="1817">
        <f t="shared" si="42"/>
        <v>45945</v>
      </c>
      <c r="BC84" s="1817">
        <f t="shared" si="43"/>
        <v>46022</v>
      </c>
      <c r="BD84" s="1818">
        <f t="shared" si="44"/>
        <v>288</v>
      </c>
      <c r="BE84" s="1818">
        <f t="shared" si="45"/>
        <v>77</v>
      </c>
      <c r="BG84" s="1777">
        <f t="shared" si="28"/>
        <v>307.53245431232875</v>
      </c>
      <c r="BH84" s="1777">
        <f t="shared" si="56"/>
        <v>318.45757680000003</v>
      </c>
      <c r="BI84" s="1777">
        <f t="shared" si="56"/>
        <v>322.04285138839225</v>
      </c>
      <c r="BJ84" s="1777">
        <f t="shared" si="56"/>
        <v>330.76199767224989</v>
      </c>
      <c r="BK84" s="1777">
        <f t="shared" si="55"/>
        <v>339.71721040376059</v>
      </c>
      <c r="BL84" s="1777">
        <f t="shared" si="55"/>
        <v>348.91488096183855</v>
      </c>
      <c r="BM84" s="1777">
        <f t="shared" si="55"/>
        <v>281.15615599854431</v>
      </c>
      <c r="BO84" s="1739">
        <f t="shared" si="46"/>
        <v>2026</v>
      </c>
      <c r="BP84" s="1742">
        <f>_xlfn.IFNA(INDEX($AR84:$AX84,MATCH(BO84,$AR$2:$AX$2,0))*12/365*[11]核心假设及结论!$C$70*$H84,0)</f>
        <v>261360</v>
      </c>
      <c r="BR84" s="1739">
        <f t="shared" si="51"/>
        <v>2029</v>
      </c>
      <c r="BS84" s="1742">
        <f>_xlfn.IFNA(INDEX($AR84:$AX84,MATCH(BR84,$AR$2:$AX$2,0))*12/365*[11]核心假设及结论!$C$70*$H84,0)</f>
        <v>277633.88988900091</v>
      </c>
      <c r="BU84" s="1739">
        <f t="shared" si="52"/>
        <v>2032</v>
      </c>
      <c r="BV84" s="1742">
        <f>_xlfn.IFNA(INDEX($AR84:$AX84,MATCH(BU84,$AR$2:$AX$2,0))*12/365*[11]核心假设及结论!$C$70*$H84,0)</f>
        <v>0</v>
      </c>
      <c r="BX84" s="1739">
        <f t="shared" si="53"/>
        <v>2035</v>
      </c>
      <c r="BY84" s="1742">
        <f>_xlfn.IFNA(INDEX($AR84:$AX84,MATCH(BX84,$AR$2:$AX$2,0))*12/365*[11]核心假设及结论!$C$70*$H84,0)</f>
        <v>0</v>
      </c>
      <c r="CA84" s="1739">
        <f t="shared" si="54"/>
        <v>2038</v>
      </c>
      <c r="CB84" s="1742">
        <f>_xlfn.IFNA(INDEX($AR84:$AX84,MATCH(CA84,$AR$2:$AX$2,0))*12/365*[11]核心假设及结论!$C$70*$H84,0)</f>
        <v>0</v>
      </c>
    </row>
    <row r="85" spans="1:80" ht="30" customHeight="1">
      <c r="A85" s="1756" t="s">
        <v>1666</v>
      </c>
      <c r="B85" s="1757" t="s">
        <v>1851</v>
      </c>
      <c r="C85" s="1756" t="s">
        <v>1852</v>
      </c>
      <c r="D85" s="1756" t="s">
        <v>1698</v>
      </c>
      <c r="E85" s="1758" t="s">
        <v>1698</v>
      </c>
      <c r="F85" s="1759"/>
      <c r="G85" s="1760" t="s">
        <v>1661</v>
      </c>
      <c r="H85" s="1761">
        <v>361</v>
      </c>
      <c r="I85" s="1761" t="s">
        <v>1782</v>
      </c>
      <c r="J85" s="1773">
        <v>43760</v>
      </c>
      <c r="K85" s="1773">
        <v>46681</v>
      </c>
      <c r="L85" s="1764">
        <f t="shared" si="36"/>
        <v>96</v>
      </c>
      <c r="M85" s="1774">
        <f t="shared" si="47"/>
        <v>227682.7</v>
      </c>
      <c r="N85" s="1775">
        <f t="shared" si="48"/>
        <v>517.08000000000004</v>
      </c>
      <c r="O85" s="1760">
        <v>186665.88</v>
      </c>
      <c r="P85" s="1776">
        <v>0.12</v>
      </c>
      <c r="Q85" s="1783">
        <f t="shared" si="37"/>
        <v>95</v>
      </c>
      <c r="R85" s="1784">
        <v>34295</v>
      </c>
      <c r="S85" s="1777">
        <f t="shared" si="38"/>
        <v>18.619999999999997</v>
      </c>
      <c r="T85" s="1784">
        <v>6721.82</v>
      </c>
      <c r="U85" s="1777"/>
      <c r="V85" s="1785">
        <v>1253663.3158333299</v>
      </c>
      <c r="W85" s="1785">
        <f t="shared" si="39"/>
        <v>3472.7515674053461</v>
      </c>
      <c r="X85" s="1786">
        <f t="shared" si="57"/>
        <v>0.17625217010766867</v>
      </c>
      <c r="Y85" s="1789">
        <f>VLOOKUP(E85,[11]核心假设及结论!$C$25:$E$45,3,0)</f>
        <v>0.2</v>
      </c>
      <c r="Z85" s="1790">
        <f t="shared" si="33"/>
        <v>186665.88</v>
      </c>
      <c r="AA85" s="1790">
        <f t="shared" si="33"/>
        <v>186665.88</v>
      </c>
      <c r="AB85" s="1790">
        <f t="shared" si="33"/>
        <v>186665.88</v>
      </c>
      <c r="AC85" s="1790">
        <f t="shared" si="32"/>
        <v>0</v>
      </c>
      <c r="AD85" s="1790">
        <f t="shared" si="32"/>
        <v>0</v>
      </c>
      <c r="AE85" s="1790">
        <f t="shared" si="32"/>
        <v>0</v>
      </c>
      <c r="AF85" s="1790">
        <f t="shared" si="32"/>
        <v>0</v>
      </c>
      <c r="AG85" s="1794">
        <v>517.08000000000004</v>
      </c>
      <c r="AH85" s="1794">
        <v>517.08000000000004</v>
      </c>
      <c r="AI85" s="1794">
        <v>517.08000000000004</v>
      </c>
      <c r="AJ85" s="1794">
        <v>0</v>
      </c>
      <c r="AK85" s="1794">
        <v>0</v>
      </c>
      <c r="AL85" s="1794">
        <v>0</v>
      </c>
      <c r="AM85" s="1794">
        <v>0</v>
      </c>
      <c r="AN85" s="1797"/>
      <c r="AO85" s="1797"/>
      <c r="AP85" s="1808">
        <f t="shared" si="49"/>
        <v>0.88126085053834324</v>
      </c>
      <c r="AQ85" s="1812">
        <f>IF(AP85&gt;[11]核心假设及结论!$B$62,[11]核心假设及结论!$D$62,IF(AP85&lt;=[11]核心假设及结论!$B$61,[11]核心假设及结论!$D$60,[11]核心假设及结论!$D$61))</f>
        <v>1.0811176582269599</v>
      </c>
      <c r="AR85" s="1809">
        <f t="shared" si="50"/>
        <v>517.08000000000004</v>
      </c>
      <c r="AS85" s="1809">
        <f>AH85*(AS$2&lt;=YEAR($K85))+AR85*$AQ85*(AS$2=YEAR($K85)+1)+INDEX([11]核心假设及结论!$E$17:$E$21,MATCH($D85,[11]核心假设及结论!$B$17:$B$21,0))*(AS$2&gt;YEAR($K85)+1)*AR85</f>
        <v>517.08000000000004</v>
      </c>
      <c r="AT85" s="1809">
        <f>AI85*(AT$2&lt;=YEAR($K85))+AS85*$AQ85*(AT$2=YEAR($K85)+1)+INDEX([11]核心假设及结论!$E$17:$E$21,MATCH($D85,[11]核心假设及结论!$B$17:$B$21,0))*(AT$2&gt;YEAR($K85)+1)*AS85</f>
        <v>517.08000000000004</v>
      </c>
      <c r="AU85" s="1811">
        <f>AJ85*(AU$2&lt;=YEAR($K85))+AT85*$AQ85*(AU$2=YEAR($K85)+1)+INDEX([11]核心假设及结论!$E$17:$E$21,MATCH($D85,[11]核心假设及结论!$B$17:$B$21,0))*(AU$2&gt;YEAR($K85)+1)*AT85</f>
        <v>559.02431871599651</v>
      </c>
      <c r="AV85" s="1809">
        <f>AK85*(AV$2&lt;=YEAR($K85))+AU85*$AQ85*(AV$2=YEAR($K85)+1)+INDEX([11]核心假设及结论!$E$17:$E$21,MATCH($D85,[11]核心假设及结论!$B$17:$B$21,0))*(AV$2&gt;YEAR($K85)+1)*AU85</f>
        <v>576.14019289052521</v>
      </c>
      <c r="AW85" s="1809">
        <f>AL85*(AW$2&lt;=YEAR($K85))+AV85*$AQ85*(AW$2=YEAR($K85)+1)+INDEX([11]核心假设及结论!$E$17:$E$21,MATCH($D85,[11]核心假设及结论!$B$17:$B$21,0))*(AW$2&gt;YEAR($K85)+1)*AV85</f>
        <v>593.78011072281663</v>
      </c>
      <c r="AX85" s="1809">
        <f>AM85*(AX$2&lt;=YEAR($K85))+AW85*$AQ85*(AX$2=YEAR($K85)+1)+INDEX([11]核心假设及结论!$E$17:$E$21,MATCH($D85,[11]核心假设及结论!$B$17:$B$21,0))*(AX$2&gt;YEAR($K85)+1)*AW85</f>
        <v>611.9601170699691</v>
      </c>
      <c r="AZ85" s="1746">
        <f t="shared" si="40"/>
        <v>46681</v>
      </c>
      <c r="BA85" s="1817">
        <f t="shared" si="41"/>
        <v>45658</v>
      </c>
      <c r="BB85" s="1817">
        <f t="shared" si="42"/>
        <v>45951</v>
      </c>
      <c r="BC85" s="1817">
        <f t="shared" si="43"/>
        <v>46022</v>
      </c>
      <c r="BD85" s="1818">
        <f t="shared" si="44"/>
        <v>294</v>
      </c>
      <c r="BE85" s="1818">
        <f t="shared" si="45"/>
        <v>71</v>
      </c>
      <c r="BG85" s="1777">
        <f t="shared" si="28"/>
        <v>223.99905600000005</v>
      </c>
      <c r="BH85" s="1777">
        <f t="shared" si="56"/>
        <v>223.99905600000005</v>
      </c>
      <c r="BI85" s="1777">
        <f t="shared" si="56"/>
        <v>227.53354860167579</v>
      </c>
      <c r="BJ85" s="1777">
        <f t="shared" si="56"/>
        <v>243.61162627916917</v>
      </c>
      <c r="BK85" s="1777">
        <f t="shared" si="55"/>
        <v>251.070382192371</v>
      </c>
      <c r="BL85" s="1777">
        <f t="shared" si="55"/>
        <v>258.75750585887937</v>
      </c>
      <c r="BM85" s="1777">
        <f t="shared" si="55"/>
        <v>213.53350706335596</v>
      </c>
      <c r="BO85" s="1739">
        <f t="shared" si="46"/>
        <v>2027</v>
      </c>
      <c r="BP85" s="1742">
        <f>_xlfn.IFNA(INDEX($AR85:$AX85,MATCH(BO85,$AR$2:$AX$2,0))*12/365*[11]核心假设及结论!$C$70*$H85,0)</f>
        <v>184108.81315068499</v>
      </c>
      <c r="BR85" s="1739">
        <f t="shared" si="51"/>
        <v>2035</v>
      </c>
      <c r="BS85" s="1742">
        <f>_xlfn.IFNA(INDEX($AR85:$AX85,MATCH(BR85,$AR$2:$AX$2,0))*12/365*[11]核心假设及结论!$C$70*$H85,0)</f>
        <v>0</v>
      </c>
      <c r="BU85" s="1739">
        <f t="shared" si="52"/>
        <v>2043</v>
      </c>
      <c r="BV85" s="1742">
        <f>_xlfn.IFNA(INDEX($AR85:$AX85,MATCH(BU85,$AR$2:$AX$2,0))*12/365*[11]核心假设及结论!$C$70*$H85,0)</f>
        <v>0</v>
      </c>
      <c r="BX85" s="1739">
        <f t="shared" si="53"/>
        <v>2051</v>
      </c>
      <c r="BY85" s="1742">
        <f>_xlfn.IFNA(INDEX($AR85:$AX85,MATCH(BX85,$AR$2:$AX$2,0))*12/365*[11]核心假设及结论!$C$70*$H85,0)</f>
        <v>0</v>
      </c>
      <c r="CA85" s="1739">
        <f t="shared" si="54"/>
        <v>2059</v>
      </c>
      <c r="CB85" s="1742">
        <f>_xlfn.IFNA(INDEX($AR85:$AX85,MATCH(CA85,$AR$2:$AX$2,0))*12/365*[11]核心假设及结论!$C$70*$H85,0)</f>
        <v>0</v>
      </c>
    </row>
    <row r="86" spans="1:80" ht="30" customHeight="1">
      <c r="A86" s="1756" t="s">
        <v>1662</v>
      </c>
      <c r="B86" s="1757" t="s">
        <v>1853</v>
      </c>
      <c r="C86" s="1756" t="s">
        <v>1854</v>
      </c>
      <c r="D86" s="1756" t="s">
        <v>1685</v>
      </c>
      <c r="E86" s="1758" t="s">
        <v>1692</v>
      </c>
      <c r="F86" s="1759"/>
      <c r="G86" s="1760" t="s">
        <v>1661</v>
      </c>
      <c r="H86" s="1761">
        <v>358</v>
      </c>
      <c r="I86" s="1761" t="s">
        <v>1782</v>
      </c>
      <c r="J86" s="1773">
        <v>44788</v>
      </c>
      <c r="K86" s="1773">
        <v>45883</v>
      </c>
      <c r="L86" s="1764">
        <f t="shared" si="36"/>
        <v>36</v>
      </c>
      <c r="M86" s="1774">
        <f t="shared" si="47"/>
        <v>226119.00235</v>
      </c>
      <c r="N86" s="1775">
        <f t="shared" si="48"/>
        <v>517.07000000000005</v>
      </c>
      <c r="O86" s="1760">
        <v>185111.06</v>
      </c>
      <c r="P86" s="1776">
        <v>0.18</v>
      </c>
      <c r="Q86" s="1783">
        <f t="shared" si="37"/>
        <v>95</v>
      </c>
      <c r="R86" s="1784">
        <v>34010</v>
      </c>
      <c r="S86" s="1777">
        <f t="shared" si="38"/>
        <v>19.547325000000001</v>
      </c>
      <c r="T86" s="1784">
        <v>6997.9423500000003</v>
      </c>
      <c r="U86" s="1777"/>
      <c r="V86" s="1785">
        <v>1043017.275</v>
      </c>
      <c r="W86" s="1785">
        <f t="shared" si="39"/>
        <v>2913.4560754189943</v>
      </c>
      <c r="X86" s="1786">
        <f t="shared" si="57"/>
        <v>0.21008382627219671</v>
      </c>
      <c r="Y86" s="1789">
        <f>VLOOKUP(E86,[11]核心假设及结论!$C$25:$E$45,3,0)</f>
        <v>0.2</v>
      </c>
      <c r="Z86" s="1790">
        <f t="shared" si="33"/>
        <v>185111.06000000003</v>
      </c>
      <c r="AA86" s="1790">
        <f t="shared" si="33"/>
        <v>0</v>
      </c>
      <c r="AB86" s="1790">
        <f t="shared" si="33"/>
        <v>0</v>
      </c>
      <c r="AC86" s="1790">
        <f t="shared" si="32"/>
        <v>0</v>
      </c>
      <c r="AD86" s="1790">
        <f t="shared" si="32"/>
        <v>0</v>
      </c>
      <c r="AE86" s="1790">
        <f t="shared" si="32"/>
        <v>0</v>
      </c>
      <c r="AF86" s="1790">
        <f t="shared" si="32"/>
        <v>0</v>
      </c>
      <c r="AG86" s="1794">
        <v>517.07000000000005</v>
      </c>
      <c r="AH86" s="1794">
        <v>0</v>
      </c>
      <c r="AI86" s="1794">
        <v>0</v>
      </c>
      <c r="AJ86" s="1794">
        <v>0</v>
      </c>
      <c r="AK86" s="1794">
        <v>0</v>
      </c>
      <c r="AL86" s="1794">
        <v>0</v>
      </c>
      <c r="AM86" s="1794">
        <v>0</v>
      </c>
      <c r="AN86" s="1797"/>
      <c r="AO86" s="1797"/>
      <c r="AP86" s="1808">
        <f t="shared" si="49"/>
        <v>1.0504191313609834</v>
      </c>
      <c r="AQ86" s="1810">
        <f>IF(AP86&gt;[11]核心假设及结论!$B$59,[11]核心假设及结论!$D$59,IF(AP86&lt;=[11]核心假设及结论!$B$58,[11]核心假设及结论!$D$57,[11]核心假设及结论!$D$58))</f>
        <v>1.0069999999999999</v>
      </c>
      <c r="AR86" s="1809">
        <f t="shared" si="50"/>
        <v>517.07000000000005</v>
      </c>
      <c r="AS86" s="1811">
        <f>AH86*(AS$2&lt;=YEAR($K86))+AR86*$AQ86*(AS$2=YEAR($K86)+1)+INDEX([11]核心假设及结论!$E$17:$E$21,MATCH($D86,[11]核心假设及结论!$B$17:$B$21,0))*(AS$2&gt;YEAR($K86)+1)*AR86</f>
        <v>520.68948999999998</v>
      </c>
      <c r="AT86" s="1809">
        <f>AI86*(AT$2&lt;=YEAR($K86))+AS86*$AQ86*(AT$2=YEAR($K86)+1)+INDEX([11]核心假设及结论!$E$17:$E$21,MATCH($D86,[11]核心假设及结论!$B$17:$B$21,0))*(AT$2&gt;YEAR($K86)+1)*AS86</f>
        <v>534.78689291456419</v>
      </c>
      <c r="AU86" s="1809">
        <f>AJ86*(AU$2&lt;=YEAR($K86))+AT86*$AQ86*(AU$2=YEAR($K86)+1)+INDEX([11]核心假设及结论!$E$17:$E$21,MATCH($D86,[11]核心假设及结论!$B$17:$B$21,0))*(AU$2&gt;YEAR($K86)+1)*AT86</f>
        <v>549.26597583756404</v>
      </c>
      <c r="AV86" s="1809">
        <f>AK86*(AV$2&lt;=YEAR($K86))+AU86*$AQ86*(AV$2=YEAR($K86)+1)+INDEX([11]核心假设及结论!$E$17:$E$21,MATCH($D86,[11]核心假设及结论!$B$17:$B$21,0))*(AV$2&gt;YEAR($K86)+1)*AU86</f>
        <v>564.13707256095563</v>
      </c>
      <c r="AW86" s="1809">
        <f>AL86*(AW$2&lt;=YEAR($K86))+AV86*$AQ86*(AW$2=YEAR($K86)+1)+INDEX([11]核心假设及结论!$E$17:$E$21,MATCH($D86,[11]核心假设及结论!$B$17:$B$21,0))*(AW$2&gt;YEAR($K86)+1)*AV86</f>
        <v>579.41079665885229</v>
      </c>
      <c r="AX86" s="1809">
        <f>AM86*(AX$2&lt;=YEAR($K86))+AW86*$AQ86*(AX$2=YEAR($K86)+1)+INDEX([11]核心假设及结论!$E$17:$E$21,MATCH($D86,[11]核心假设及结论!$B$17:$B$21,0))*(AX$2&gt;YEAR($K86)+1)*AW86</f>
        <v>595.09804906248439</v>
      </c>
      <c r="AZ86" s="1746">
        <f t="shared" si="40"/>
        <v>45883</v>
      </c>
      <c r="BA86" s="1817">
        <f t="shared" si="41"/>
        <v>45658</v>
      </c>
      <c r="BB86" s="1817">
        <f t="shared" si="42"/>
        <v>45883</v>
      </c>
      <c r="BC86" s="1817">
        <f t="shared" si="43"/>
        <v>46022</v>
      </c>
      <c r="BD86" s="1818">
        <f t="shared" si="44"/>
        <v>226</v>
      </c>
      <c r="BE86" s="1818">
        <f t="shared" si="45"/>
        <v>139</v>
      </c>
      <c r="BG86" s="1777">
        <f t="shared" ref="BG86:BG149" si="58">(AR86*$BD86*$H86*12/365+BE86*AS86*$H86*12/365)/10000</f>
        <v>222.7254245305644</v>
      </c>
      <c r="BH86" s="1777">
        <f t="shared" si="56"/>
        <v>225.99455547003137</v>
      </c>
      <c r="BI86" s="1777">
        <f t="shared" si="56"/>
        <v>232.11324302978767</v>
      </c>
      <c r="BJ86" s="1777">
        <f t="shared" si="56"/>
        <v>238.3975909408567</v>
      </c>
      <c r="BK86" s="1777">
        <f t="shared" si="55"/>
        <v>244.85208437293022</v>
      </c>
      <c r="BL86" s="1777">
        <f t="shared" si="55"/>
        <v>251.48132992938665</v>
      </c>
      <c r="BM86" s="1777">
        <f t="shared" si="55"/>
        <v>158.29542888837531</v>
      </c>
      <c r="BO86" s="1739">
        <f t="shared" si="46"/>
        <v>2025</v>
      </c>
      <c r="BP86" s="1742">
        <f>_xlfn.IFNA(INDEX($AR86:$AX86,MATCH(BO86,$AR$2:$AX$2,0))*12/365*[11]核心假设及结论!$C$70*$H86,0)</f>
        <v>182575.29205479453</v>
      </c>
      <c r="BR86" s="1739">
        <f t="shared" si="51"/>
        <v>2028</v>
      </c>
      <c r="BS86" s="1742">
        <f>_xlfn.IFNA(INDEX($AR86:$AX86,MATCH(BR86,$AR$2:$AX$2,0))*12/365*[11]核心假设及结论!$C$70*$H86,0)</f>
        <v>193943.55881080893</v>
      </c>
      <c r="BU86" s="1739">
        <f t="shared" si="52"/>
        <v>2031</v>
      </c>
      <c r="BV86" s="1742">
        <f>_xlfn.IFNA(INDEX($AR86:$AX86,MATCH(BU86,$AR$2:$AX$2,0))*12/365*[11]核心假设及结论!$C$70*$H86,0)</f>
        <v>210126.67551554245</v>
      </c>
      <c r="BX86" s="1739">
        <f t="shared" si="53"/>
        <v>2034</v>
      </c>
      <c r="BY86" s="1742">
        <f>_xlfn.IFNA(INDEX($AR86:$AX86,MATCH(BX86,$AR$2:$AX$2,0))*12/365*[11]核心假设及结论!$C$70*$H86,0)</f>
        <v>0</v>
      </c>
      <c r="CA86" s="1739">
        <f t="shared" si="54"/>
        <v>2037</v>
      </c>
      <c r="CB86" s="1742">
        <f>_xlfn.IFNA(INDEX($AR86:$AX86,MATCH(CA86,$AR$2:$AX$2,0))*12/365*[11]核心假设及结论!$C$70*$H86,0)</f>
        <v>0</v>
      </c>
    </row>
    <row r="87" spans="1:80" ht="30" customHeight="1">
      <c r="A87" s="1756" t="s">
        <v>1687</v>
      </c>
      <c r="B87" s="1757" t="s">
        <v>1855</v>
      </c>
      <c r="C87" s="1756" t="s">
        <v>1856</v>
      </c>
      <c r="D87" s="1756" t="s">
        <v>1685</v>
      </c>
      <c r="E87" s="1758" t="s">
        <v>1692</v>
      </c>
      <c r="F87" s="1759"/>
      <c r="G87" s="1760" t="s">
        <v>1661</v>
      </c>
      <c r="H87" s="1761">
        <v>354</v>
      </c>
      <c r="I87" s="1761" t="s">
        <v>1782</v>
      </c>
      <c r="J87" s="1773">
        <v>44876</v>
      </c>
      <c r="K87" s="1773">
        <v>45747</v>
      </c>
      <c r="L87" s="1764">
        <f t="shared" si="36"/>
        <v>29</v>
      </c>
      <c r="M87" s="1774">
        <f t="shared" si="47"/>
        <v>276859.86</v>
      </c>
      <c r="N87" s="1775">
        <f t="shared" si="48"/>
        <v>669.08999999999992</v>
      </c>
      <c r="O87" s="1760">
        <v>236857.86</v>
      </c>
      <c r="P87" s="1776">
        <v>0.16</v>
      </c>
      <c r="Q87" s="1783">
        <f t="shared" si="37"/>
        <v>95</v>
      </c>
      <c r="R87" s="1784">
        <v>33630</v>
      </c>
      <c r="S87" s="1777">
        <f t="shared" si="38"/>
        <v>18</v>
      </c>
      <c r="T87" s="1784">
        <v>6372</v>
      </c>
      <c r="U87" s="1777"/>
      <c r="V87" s="1785">
        <v>1674330</v>
      </c>
      <c r="W87" s="1785">
        <f t="shared" si="39"/>
        <v>4729.7457627118647</v>
      </c>
      <c r="X87" s="1786">
        <f t="shared" si="57"/>
        <v>0.16154990951604523</v>
      </c>
      <c r="Y87" s="1789">
        <f>VLOOKUP(E87,[11]核心假设及结论!$C$25:$E$45,3,0)</f>
        <v>0.2</v>
      </c>
      <c r="Z87" s="1790">
        <f t="shared" si="33"/>
        <v>236857.86000000002</v>
      </c>
      <c r="AA87" s="1790">
        <f t="shared" si="33"/>
        <v>0</v>
      </c>
      <c r="AB87" s="1790">
        <f t="shared" si="33"/>
        <v>0</v>
      </c>
      <c r="AC87" s="1790">
        <f t="shared" si="32"/>
        <v>0</v>
      </c>
      <c r="AD87" s="1790">
        <f t="shared" si="32"/>
        <v>0</v>
      </c>
      <c r="AE87" s="1790">
        <f t="shared" si="32"/>
        <v>0</v>
      </c>
      <c r="AF87" s="1790">
        <f t="shared" si="32"/>
        <v>0</v>
      </c>
      <c r="AG87" s="1794">
        <v>669.09</v>
      </c>
      <c r="AH87" s="1794">
        <v>0</v>
      </c>
      <c r="AI87" s="1794">
        <v>0</v>
      </c>
      <c r="AJ87" s="1794">
        <v>0</v>
      </c>
      <c r="AK87" s="1794">
        <v>0</v>
      </c>
      <c r="AL87" s="1794">
        <v>0</v>
      </c>
      <c r="AM87" s="1794">
        <v>0</v>
      </c>
      <c r="AN87" s="1797"/>
      <c r="AO87" s="1797"/>
      <c r="AP87" s="1808">
        <f t="shared" si="49"/>
        <v>0.8077495475802261</v>
      </c>
      <c r="AQ87" s="1810">
        <f>IF(AP87&gt;[11]核心假设及结论!$B$59,[11]核心假设及结论!$D$59,IF(AP87&lt;=[11]核心假设及结论!$B$58,[11]核心假设及结论!$D$57,[11]核心假设及结论!$D$58))</f>
        <v>1.0342640124442799</v>
      </c>
      <c r="AR87" s="1809">
        <f t="shared" si="50"/>
        <v>669.09</v>
      </c>
      <c r="AS87" s="1811">
        <f>AH87*(AS$2&lt;=YEAR($K87))+AR87*$AQ87*(AS$2=YEAR($K87)+1)+INDEX([11]核心假设及结论!$E$17:$E$21,MATCH($D87,[11]核心假设及结论!$B$17:$B$21,0))*(AS$2&gt;YEAR($K87)+1)*AR87</f>
        <v>692.01570808634324</v>
      </c>
      <c r="AT87" s="1809">
        <f>AI87*(AT$2&lt;=YEAR($K87))+AS87*$AQ87*(AT$2=YEAR($K87)+1)+INDEX([11]核心假设及结论!$E$17:$E$21,MATCH($D87,[11]核心假设及结论!$B$17:$B$21,0))*(AT$2&gt;YEAR($K87)+1)*AS87</f>
        <v>710.75168115178883</v>
      </c>
      <c r="AU87" s="1809">
        <f>AJ87*(AU$2&lt;=YEAR($K87))+AT87*$AQ87*(AU$2=YEAR($K87)+1)+INDEX([11]核心假设及结论!$E$17:$E$21,MATCH($D87,[11]核心假设及结论!$B$17:$B$21,0))*(AU$2&gt;YEAR($K87)+1)*AT87</f>
        <v>729.99492115150656</v>
      </c>
      <c r="AV87" s="1809">
        <f>AK87*(AV$2&lt;=YEAR($K87))+AU87*$AQ87*(AV$2=YEAR($K87)+1)+INDEX([11]核心假设及结论!$E$17:$E$21,MATCH($D87,[11]核心假设及结论!$B$17:$B$21,0))*(AV$2&gt;YEAR($K87)+1)*AU87</f>
        <v>749.75916207954663</v>
      </c>
      <c r="AW87" s="1809">
        <f>AL87*(AW$2&lt;=YEAR($K87))+AV87*$AQ87*(AW$2=YEAR($K87)+1)+INDEX([11]核心假设及结论!$E$17:$E$21,MATCH($D87,[11]核心假设及结论!$B$17:$B$21,0))*(AW$2&gt;YEAR($K87)+1)*AV87</f>
        <v>770.05850977085765</v>
      </c>
      <c r="AX87" s="1809">
        <f>AM87*(AX$2&lt;=YEAR($K87))+AW87*$AQ87*(AX$2=YEAR($K87)+1)+INDEX([11]核心假设及结论!$E$17:$E$21,MATCH($D87,[11]核心假设及结论!$B$17:$B$21,0))*(AX$2&gt;YEAR($K87)+1)*AW87</f>
        <v>790.90745196868966</v>
      </c>
      <c r="AZ87" s="1746">
        <f t="shared" si="40"/>
        <v>45747</v>
      </c>
      <c r="BA87" s="1817">
        <f t="shared" si="41"/>
        <v>45658</v>
      </c>
      <c r="BB87" s="1817">
        <f t="shared" si="42"/>
        <v>45747</v>
      </c>
      <c r="BC87" s="1817">
        <f t="shared" si="43"/>
        <v>46022</v>
      </c>
      <c r="BD87" s="1818">
        <f t="shared" si="44"/>
        <v>90</v>
      </c>
      <c r="BE87" s="1818">
        <f t="shared" si="45"/>
        <v>275</v>
      </c>
      <c r="BG87" s="1777">
        <f t="shared" si="58"/>
        <v>291.56691479081263</v>
      </c>
      <c r="BH87" s="1777">
        <f t="shared" si="56"/>
        <v>299.96481080468237</v>
      </c>
      <c r="BI87" s="1777">
        <f t="shared" si="56"/>
        <v>308.08620537729917</v>
      </c>
      <c r="BJ87" s="1777">
        <f t="shared" si="56"/>
        <v>316.42748257423847</v>
      </c>
      <c r="BK87" s="1777">
        <f t="shared" si="55"/>
        <v>324.99459560563508</v>
      </c>
      <c r="BL87" s="1777">
        <f t="shared" si="55"/>
        <v>333.79365886175822</v>
      </c>
      <c r="BM87" s="1777">
        <f t="shared" si="55"/>
        <v>82.843763571690261</v>
      </c>
      <c r="BO87" s="1739">
        <f t="shared" si="46"/>
        <v>2025</v>
      </c>
      <c r="BP87" s="1742">
        <f>_xlfn.IFNA(INDEX($AR87:$AX87,MATCH(BO87,$AR$2:$AX$2,0))*12/365*[11]核心假设及结论!$C$70*$H87,0)</f>
        <v>233613.23178082192</v>
      </c>
      <c r="BR87" s="1739">
        <f t="shared" si="51"/>
        <v>2027</v>
      </c>
      <c r="BS87" s="1742">
        <f>_xlfn.IFNA(INDEX($AR87:$AX87,MATCH(BR87,$AR$2:$AX$2,0))*12/365*[11]核心假设及结论!$C$70*$H87,0)</f>
        <v>248159.43629036701</v>
      </c>
      <c r="BU87" s="1739">
        <f t="shared" si="52"/>
        <v>2029</v>
      </c>
      <c r="BV87" s="1742">
        <f>_xlfn.IFNA(INDEX($AR87:$AX87,MATCH(BU87,$AR$2:$AX$2,0))*12/365*[11]核心假设及结论!$C$70*$H87,0)</f>
        <v>261778.92497374635</v>
      </c>
      <c r="BX87" s="1739">
        <f t="shared" si="53"/>
        <v>2031</v>
      </c>
      <c r="BY87" s="1742">
        <f>_xlfn.IFNA(INDEX($AR87:$AX87,MATCH(BX87,$AR$2:$AX$2,0))*12/365*[11]核心假设及结论!$C$70*$H87,0)</f>
        <v>276145.87857230083</v>
      </c>
      <c r="CA87" s="1739">
        <f t="shared" si="54"/>
        <v>2033</v>
      </c>
      <c r="CB87" s="1742">
        <f>_xlfn.IFNA(INDEX($AR87:$AX87,MATCH(CA87,$AR$2:$AX$2,0))*12/365*[11]核心假设及结论!$C$70*$H87,0)</f>
        <v>0</v>
      </c>
    </row>
    <row r="88" spans="1:80" ht="30" customHeight="1">
      <c r="A88" s="1756" t="s">
        <v>1662</v>
      </c>
      <c r="B88" s="1757" t="s">
        <v>1857</v>
      </c>
      <c r="C88" s="1756" t="s">
        <v>1858</v>
      </c>
      <c r="D88" s="1756" t="s">
        <v>1685</v>
      </c>
      <c r="E88" s="1758" t="s">
        <v>1718</v>
      </c>
      <c r="F88" s="1759"/>
      <c r="G88" s="1760" t="s">
        <v>1661</v>
      </c>
      <c r="H88" s="1761">
        <v>354</v>
      </c>
      <c r="I88" s="1761" t="s">
        <v>1782</v>
      </c>
      <c r="J88" s="1773">
        <v>44132</v>
      </c>
      <c r="K88" s="1773">
        <v>45957</v>
      </c>
      <c r="L88" s="1764">
        <f t="shared" si="36"/>
        <v>60</v>
      </c>
      <c r="M88" s="1774">
        <f t="shared" si="47"/>
        <v>266161.98</v>
      </c>
      <c r="N88" s="1775">
        <f t="shared" si="48"/>
        <v>638.75</v>
      </c>
      <c r="O88" s="1760">
        <v>226117.5</v>
      </c>
      <c r="P88" s="1776">
        <v>0.13</v>
      </c>
      <c r="Q88" s="1783">
        <f t="shared" si="37"/>
        <v>94.5</v>
      </c>
      <c r="R88" s="1784">
        <v>33453</v>
      </c>
      <c r="S88" s="1777">
        <f t="shared" si="38"/>
        <v>18.619999999999997</v>
      </c>
      <c r="T88" s="1777">
        <v>6591.48</v>
      </c>
      <c r="U88" s="1777"/>
      <c r="V88" s="1785">
        <v>5681342.3583333297</v>
      </c>
      <c r="W88" s="1785">
        <f t="shared" si="39"/>
        <v>16048.989712806017</v>
      </c>
      <c r="X88" s="1786">
        <f t="shared" si="57"/>
        <v>4.5688234158123717E-2</v>
      </c>
      <c r="Y88" s="1789">
        <f>VLOOKUP(E88,[11]核心假设及结论!$C$25:$E$45,3,0)</f>
        <v>0.2</v>
      </c>
      <c r="Z88" s="1790" t="e">
        <f>#REF!*$H88</f>
        <v>#REF!</v>
      </c>
      <c r="AA88" s="1790">
        <f>AG88*$H88</f>
        <v>236886.18</v>
      </c>
      <c r="AB88" s="1790">
        <f t="shared" si="33"/>
        <v>0</v>
      </c>
      <c r="AC88" s="1790">
        <f t="shared" si="32"/>
        <v>0</v>
      </c>
      <c r="AD88" s="1790">
        <f t="shared" si="32"/>
        <v>0</v>
      </c>
      <c r="AE88" s="1790">
        <f t="shared" si="32"/>
        <v>0</v>
      </c>
      <c r="AF88" s="1790">
        <f t="shared" si="32"/>
        <v>0</v>
      </c>
      <c r="AG88" s="1794">
        <v>669.17</v>
      </c>
      <c r="AH88" s="1741">
        <v>0</v>
      </c>
      <c r="AI88" s="1794">
        <v>0</v>
      </c>
      <c r="AJ88" s="1794">
        <v>0</v>
      </c>
      <c r="AK88" s="1794">
        <v>0</v>
      </c>
      <c r="AL88" s="1794">
        <v>0</v>
      </c>
      <c r="AM88" s="1794">
        <v>0</v>
      </c>
      <c r="AN88" s="1795"/>
      <c r="AO88" s="1795"/>
      <c r="AP88" s="1808">
        <f t="shared" si="49"/>
        <v>0.22844117079061857</v>
      </c>
      <c r="AQ88" s="1810">
        <f>IF(AP88&gt;[11]核心假设及结论!$B$59,[11]核心假设及结论!$D$59,IF(AP88&lt;=[11]核心假设及结论!$B$58,[11]核心假设及结论!$D$57,[11]核心假设及结论!$D$58))</f>
        <v>1.0342640124442799</v>
      </c>
      <c r="AR88" s="1809">
        <f t="shared" si="50"/>
        <v>669.17</v>
      </c>
      <c r="AS88" s="1811">
        <f>AG88*(AS$2&lt;=YEAR($K88))+AR88*$AQ88*(AS$2=YEAR($K88)+1)+INDEX([11]核心假设及结论!$E$17:$E$21,MATCH($D88,[11]核心假设及结论!$B$17:$B$21,0))*(AS$2&gt;YEAR($K88)+1)*AR88</f>
        <v>692.09844920733872</v>
      </c>
      <c r="AT88" s="1809">
        <f>AI88*(AT$2&lt;=YEAR($K88))+AS88*$AQ88*(AT$2=YEAR($K88)+1)+INDEX([11]核心假设及结论!$E$17:$E$21,MATCH($D88,[11]核心假设及结论!$B$17:$B$21,0))*(AT$2&gt;YEAR($K88)+1)*AS88</f>
        <v>710.83666244652068</v>
      </c>
      <c r="AU88" s="1809">
        <f>AJ88*(AU$2&lt;=YEAR($K88))+AT88*$AQ88*(AU$2=YEAR($K88)+1)+INDEX([11]核心假设及结论!$E$17:$E$21,MATCH($D88,[11]核心假设及结论!$B$17:$B$21,0))*(AU$2&gt;YEAR($K88)+1)*AT88</f>
        <v>730.08220327153845</v>
      </c>
      <c r="AV88" s="1809">
        <f>AK88*(AV$2&lt;=YEAR($K88))+AU88*$AQ88*(AV$2=YEAR($K88)+1)+INDEX([11]核心假设及结论!$E$17:$E$21,MATCH($D88,[11]核心假设及结论!$B$17:$B$21,0))*(AV$2&gt;YEAR($K88)+1)*AU88</f>
        <v>749.84880731855242</v>
      </c>
      <c r="AW88" s="1809">
        <f>AL88*(AW$2&lt;=YEAR($K88))+AV88*$AQ88*(AW$2=YEAR($K88)+1)+INDEX([11]核心假设及结论!$E$17:$E$21,MATCH($D88,[11]核心假设及结论!$B$17:$B$21,0))*(AW$2&gt;YEAR($K88)+1)*AV88</f>
        <v>770.15058210908069</v>
      </c>
      <c r="AX88" s="1809">
        <f>AM88*(AX$2&lt;=YEAR($K88))+AW88*$AQ88*(AX$2=YEAR($K88)+1)+INDEX([11]核心假设及结论!$E$17:$E$21,MATCH($D88,[11]核心假设及结论!$B$17:$B$21,0))*(AX$2&gt;YEAR($K88)+1)*AW88</f>
        <v>791.00201711860598</v>
      </c>
      <c r="AZ88" s="1746">
        <f t="shared" si="40"/>
        <v>45957</v>
      </c>
      <c r="BA88" s="1817">
        <f t="shared" si="41"/>
        <v>45658</v>
      </c>
      <c r="BB88" s="1817">
        <f t="shared" si="42"/>
        <v>45957</v>
      </c>
      <c r="BC88" s="1817">
        <f t="shared" si="43"/>
        <v>46022</v>
      </c>
      <c r="BD88" s="1818">
        <f t="shared" si="44"/>
        <v>300</v>
      </c>
      <c r="BE88" s="1818">
        <f t="shared" si="45"/>
        <v>65</v>
      </c>
      <c r="BG88" s="1777">
        <f t="shared" si="58"/>
        <v>285.99793747811793</v>
      </c>
      <c r="BH88" s="1777">
        <f t="shared" si="56"/>
        <v>295.420954220429</v>
      </c>
      <c r="BI88" s="1777">
        <f t="shared" si="56"/>
        <v>303.41932618881725</v>
      </c>
      <c r="BJ88" s="1777">
        <f t="shared" si="56"/>
        <v>311.63425000713625</v>
      </c>
      <c r="BK88" s="1777">
        <f t="shared" si="55"/>
        <v>320.07158870649931</v>
      </c>
      <c r="BL88" s="1777">
        <f t="shared" si="55"/>
        <v>328.73736405660321</v>
      </c>
      <c r="BM88" s="1777">
        <f t="shared" si="55"/>
        <v>276.1788960591648</v>
      </c>
      <c r="BO88" s="1739">
        <f t="shared" si="46"/>
        <v>2025</v>
      </c>
      <c r="BP88" s="1742">
        <f>_xlfn.IFNA(INDEX($AR88:$AX88,MATCH(BO88,$AR$2:$AX$2,0))*12/365*[11]核心假设及结论!$C$70*$H88,0)</f>
        <v>233641.1638356164</v>
      </c>
      <c r="BR88" s="1739">
        <f t="shared" si="51"/>
        <v>2030</v>
      </c>
      <c r="BS88" s="1742">
        <f>_xlfn.IFNA(INDEX($AR88:$AX88,MATCH(BR88,$AR$2:$AX$2,0))*12/365*[11]核心假设及结论!$C$70*$H88,0)</f>
        <v>268898.60324378422</v>
      </c>
      <c r="BU88" s="1739">
        <f t="shared" si="52"/>
        <v>2035</v>
      </c>
      <c r="BV88" s="1742">
        <f>_xlfn.IFNA(INDEX($AR88:$AX88,MATCH(BU88,$AR$2:$AX$2,0))*12/365*[11]核心假设及结论!$C$70*$H88,0)</f>
        <v>0</v>
      </c>
      <c r="BX88" s="1739">
        <f t="shared" si="53"/>
        <v>2040</v>
      </c>
      <c r="BY88" s="1742">
        <f>_xlfn.IFNA(INDEX($AR88:$AX88,MATCH(BX88,$AR$2:$AX$2,0))*12/365*[11]核心假设及结论!$C$70*$H88,0)</f>
        <v>0</v>
      </c>
      <c r="CA88" s="1739">
        <f t="shared" si="54"/>
        <v>2045</v>
      </c>
      <c r="CB88" s="1742">
        <f>_xlfn.IFNA(INDEX($AR88:$AX88,MATCH(CA88,$AR$2:$AX$2,0))*12/365*[11]核心假设及结论!$C$70*$H88,0)</f>
        <v>0</v>
      </c>
    </row>
    <row r="89" spans="1:80" ht="30" customHeight="1">
      <c r="A89" s="1756" t="s">
        <v>1666</v>
      </c>
      <c r="B89" s="1757" t="s">
        <v>1859</v>
      </c>
      <c r="C89" s="1756" t="s">
        <v>1860</v>
      </c>
      <c r="D89" s="1756" t="s">
        <v>1698</v>
      </c>
      <c r="E89" s="1758" t="s">
        <v>1698</v>
      </c>
      <c r="F89" s="1759"/>
      <c r="G89" s="1760" t="s">
        <v>1661</v>
      </c>
      <c r="H89" s="1761">
        <v>353</v>
      </c>
      <c r="I89" s="1761" t="s">
        <v>1782</v>
      </c>
      <c r="J89" s="1773">
        <v>44271</v>
      </c>
      <c r="K89" s="1773">
        <v>46461</v>
      </c>
      <c r="L89" s="1764">
        <f t="shared" si="36"/>
        <v>72</v>
      </c>
      <c r="M89" s="1774">
        <f t="shared" si="47"/>
        <v>126003.35</v>
      </c>
      <c r="N89" s="1775">
        <f t="shared" si="48"/>
        <v>243.33</v>
      </c>
      <c r="O89" s="1760">
        <v>85895.49</v>
      </c>
      <c r="P89" s="1776">
        <v>7.0000000000000007E-2</v>
      </c>
      <c r="Q89" s="1783">
        <f t="shared" si="37"/>
        <v>95</v>
      </c>
      <c r="R89" s="1784">
        <v>33535</v>
      </c>
      <c r="S89" s="1777">
        <f t="shared" si="38"/>
        <v>18.619999999999997</v>
      </c>
      <c r="T89" s="1777">
        <v>6572.86</v>
      </c>
      <c r="U89" s="1777"/>
      <c r="V89" s="1785">
        <v>1353116.19833333</v>
      </c>
      <c r="W89" s="1785">
        <f t="shared" si="39"/>
        <v>3833.19036355051</v>
      </c>
      <c r="X89" s="1786">
        <f t="shared" si="57"/>
        <v>8.826329190878493E-2</v>
      </c>
      <c r="Y89" s="1789">
        <f>VLOOKUP(E89,[11]核心假设及结论!$C$25:$E$45,3,0)</f>
        <v>0.2</v>
      </c>
      <c r="Z89" s="1790">
        <f t="shared" si="33"/>
        <v>85895.49</v>
      </c>
      <c r="AA89" s="1790">
        <f t="shared" si="33"/>
        <v>91264.62000000001</v>
      </c>
      <c r="AB89" s="1790">
        <f t="shared" si="33"/>
        <v>91264.62000000001</v>
      </c>
      <c r="AC89" s="1790">
        <f t="shared" si="32"/>
        <v>0</v>
      </c>
      <c r="AD89" s="1790">
        <f t="shared" si="32"/>
        <v>0</v>
      </c>
      <c r="AE89" s="1790">
        <f t="shared" si="32"/>
        <v>0</v>
      </c>
      <c r="AF89" s="1790">
        <f t="shared" si="32"/>
        <v>0</v>
      </c>
      <c r="AG89" s="1794">
        <v>243.33</v>
      </c>
      <c r="AH89" s="1794">
        <v>258.54000000000002</v>
      </c>
      <c r="AI89" s="1794">
        <v>258.54000000000002</v>
      </c>
      <c r="AJ89" s="1794">
        <v>0</v>
      </c>
      <c r="AK89" s="1794">
        <v>0</v>
      </c>
      <c r="AL89" s="1794">
        <v>0</v>
      </c>
      <c r="AM89" s="1794">
        <v>0</v>
      </c>
      <c r="AN89" s="1795"/>
      <c r="AO89" s="1795"/>
      <c r="AP89" s="1808">
        <f t="shared" si="49"/>
        <v>0.44131645954392462</v>
      </c>
      <c r="AQ89" s="1812">
        <f>IF(AP89&gt;[11]核心假设及结论!$B$62,[11]核心假设及结论!$D$62,IF(AP89&lt;=[11]核心假设及结论!$B$61,[11]核心假设及结论!$D$60,[11]核心假设及结论!$D$61))</f>
        <v>1.0811176582269599</v>
      </c>
      <c r="AR89" s="1809">
        <f t="shared" si="50"/>
        <v>243.33</v>
      </c>
      <c r="AS89" s="1809">
        <f>AH89*(AS$2&lt;=YEAR($K89))+AR89*$AQ89*(AS$2=YEAR($K89)+1)+INDEX([11]核心假设及结论!$E$17:$E$21,MATCH($D89,[11]核心假设及结论!$B$17:$B$21,0))*(AS$2&gt;YEAR($K89)+1)*AR89</f>
        <v>258.54000000000002</v>
      </c>
      <c r="AT89" s="1809">
        <f>AI89*(AT$2&lt;=YEAR($K89))+AS89*$AQ89*(AT$2=YEAR($K89)+1)+INDEX([11]核心假设及结论!$E$17:$E$21,MATCH($D89,[11]核心假设及结论!$B$17:$B$21,0))*(AT$2&gt;YEAR($K89)+1)*AS89</f>
        <v>258.54000000000002</v>
      </c>
      <c r="AU89" s="1811">
        <f>AJ89*(AU$2&lt;=YEAR($K89))+AT89*$AQ89*(AU$2=YEAR($K89)+1)+INDEX([11]核心假设及结论!$E$17:$E$21,MATCH($D89,[11]核心假设及结论!$B$17:$B$21,0))*(AU$2&gt;YEAR($K89)+1)*AT89</f>
        <v>279.51215935799826</v>
      </c>
      <c r="AV89" s="1809">
        <f>AK89*(AV$2&lt;=YEAR($K89))+AU89*$AQ89*(AV$2=YEAR($K89)+1)+INDEX([11]核心假设及结论!$E$17:$E$21,MATCH($D89,[11]核心假设及结论!$B$17:$B$21,0))*(AV$2&gt;YEAR($K89)+1)*AU89</f>
        <v>288.07009644526261</v>
      </c>
      <c r="AW89" s="1809">
        <f>AL89*(AW$2&lt;=YEAR($K89))+AV89*$AQ89*(AW$2=YEAR($K89)+1)+INDEX([11]核心假设及结论!$E$17:$E$21,MATCH($D89,[11]核心假设及结论!$B$17:$B$21,0))*(AW$2&gt;YEAR($K89)+1)*AV89</f>
        <v>296.89005536140832</v>
      </c>
      <c r="AX89" s="1809">
        <f>AM89*(AX$2&lt;=YEAR($K89))+AW89*$AQ89*(AX$2=YEAR($K89)+1)+INDEX([11]核心假设及结论!$E$17:$E$21,MATCH($D89,[11]核心假设及结论!$B$17:$B$21,0))*(AX$2&gt;YEAR($K89)+1)*AW89</f>
        <v>305.98005853498455</v>
      </c>
      <c r="AZ89" s="1746">
        <f t="shared" si="40"/>
        <v>46461</v>
      </c>
      <c r="BA89" s="1817">
        <f t="shared" si="41"/>
        <v>45658</v>
      </c>
      <c r="BB89" s="1817">
        <f t="shared" si="42"/>
        <v>45731</v>
      </c>
      <c r="BC89" s="1817">
        <f t="shared" si="43"/>
        <v>46022</v>
      </c>
      <c r="BD89" s="1818">
        <f t="shared" si="44"/>
        <v>74</v>
      </c>
      <c r="BE89" s="1818">
        <f t="shared" si="45"/>
        <v>291</v>
      </c>
      <c r="BG89" s="1777">
        <f t="shared" si="58"/>
        <v>108.21130086575342</v>
      </c>
      <c r="BH89" s="1777">
        <f t="shared" si="56"/>
        <v>109.517544</v>
      </c>
      <c r="BI89" s="1777">
        <f t="shared" si="56"/>
        <v>116.600250166789</v>
      </c>
      <c r="BJ89" s="1777">
        <f t="shared" si="56"/>
        <v>121.29153252787837</v>
      </c>
      <c r="BK89" s="1777">
        <f t="shared" si="55"/>
        <v>125.00516454651978</v>
      </c>
      <c r="BL89" s="1777">
        <f t="shared" si="55"/>
        <v>128.83249834204906</v>
      </c>
      <c r="BM89" s="1777">
        <f t="shared" si="55"/>
        <v>26.277735087290523</v>
      </c>
      <c r="BO89" s="1739">
        <f t="shared" si="46"/>
        <v>2027</v>
      </c>
      <c r="BP89" s="1742">
        <f>_xlfn.IFNA(INDEX($AR89:$AX89,MATCH(BO89,$AR$2:$AX$2,0))*12/365*[11]核心假设及结论!$C$70*$H89,0)</f>
        <v>90014.419726027423</v>
      </c>
      <c r="BR89" s="1739">
        <f t="shared" si="51"/>
        <v>2033</v>
      </c>
      <c r="BS89" s="1742">
        <f>_xlfn.IFNA(INDEX($AR89:$AX89,MATCH(BR89,$AR$2:$AX$2,0))*12/365*[11]核心假设及结论!$C$70*$H89,0)</f>
        <v>0</v>
      </c>
      <c r="BU89" s="1739">
        <f t="shared" si="52"/>
        <v>2039</v>
      </c>
      <c r="BV89" s="1742">
        <f>_xlfn.IFNA(INDEX($AR89:$AX89,MATCH(BU89,$AR$2:$AX$2,0))*12/365*[11]核心假设及结论!$C$70*$H89,0)</f>
        <v>0</v>
      </c>
      <c r="BX89" s="1739">
        <f t="shared" si="53"/>
        <v>2045</v>
      </c>
      <c r="BY89" s="1742">
        <f>_xlfn.IFNA(INDEX($AR89:$AX89,MATCH(BX89,$AR$2:$AX$2,0))*12/365*[11]核心假设及结论!$C$70*$H89,0)</f>
        <v>0</v>
      </c>
      <c r="CA89" s="1739">
        <f t="shared" si="54"/>
        <v>2051</v>
      </c>
      <c r="CB89" s="1742">
        <f>_xlfn.IFNA(INDEX($AR89:$AX89,MATCH(CA89,$AR$2:$AX$2,0))*12/365*[11]核心假设及结论!$C$70*$H89,0)</f>
        <v>0</v>
      </c>
    </row>
    <row r="90" spans="1:80" ht="30" customHeight="1">
      <c r="A90" s="1756" t="s">
        <v>1687</v>
      </c>
      <c r="B90" s="1757" t="s">
        <v>1861</v>
      </c>
      <c r="C90" s="1756" t="s">
        <v>1862</v>
      </c>
      <c r="D90" s="1756" t="s">
        <v>1676</v>
      </c>
      <c r="E90" s="1758" t="s">
        <v>1677</v>
      </c>
      <c r="F90" s="1759"/>
      <c r="G90" s="1760" t="s">
        <v>1661</v>
      </c>
      <c r="H90" s="1761">
        <v>350</v>
      </c>
      <c r="I90" s="1761" t="s">
        <v>1782</v>
      </c>
      <c r="J90" s="1773">
        <v>44205</v>
      </c>
      <c r="K90" s="1773">
        <v>45665</v>
      </c>
      <c r="L90" s="1764">
        <f t="shared" si="36"/>
        <v>48</v>
      </c>
      <c r="M90" s="1774">
        <f t="shared" si="47"/>
        <v>120417.5</v>
      </c>
      <c r="N90" s="1775">
        <f t="shared" si="48"/>
        <v>235.43</v>
      </c>
      <c r="O90" s="1760">
        <v>82400.5</v>
      </c>
      <c r="P90" s="1776">
        <v>0.15</v>
      </c>
      <c r="Q90" s="1783">
        <f t="shared" si="37"/>
        <v>90</v>
      </c>
      <c r="R90" s="1784">
        <v>31500</v>
      </c>
      <c r="S90" s="1777">
        <f t="shared" si="38"/>
        <v>18.62</v>
      </c>
      <c r="T90" s="1777">
        <v>6517</v>
      </c>
      <c r="U90" s="1777"/>
      <c r="V90" s="1785">
        <v>264570.45666666701</v>
      </c>
      <c r="W90" s="1785">
        <f t="shared" si="39"/>
        <v>755.91559047619148</v>
      </c>
      <c r="X90" s="1786">
        <f t="shared" si="57"/>
        <v>0.43051103072896579</v>
      </c>
      <c r="Y90" s="1789">
        <f>VLOOKUP(E90,[11]核心假设及结论!$C$25:$E$45,3,0)</f>
        <v>0.25</v>
      </c>
      <c r="Z90" s="1790">
        <f t="shared" si="33"/>
        <v>82400.5</v>
      </c>
      <c r="AA90" s="1790">
        <f t="shared" si="33"/>
        <v>0</v>
      </c>
      <c r="AB90" s="1790">
        <f t="shared" si="33"/>
        <v>0</v>
      </c>
      <c r="AC90" s="1790">
        <f t="shared" si="32"/>
        <v>0</v>
      </c>
      <c r="AD90" s="1790">
        <f t="shared" si="32"/>
        <v>0</v>
      </c>
      <c r="AE90" s="1790">
        <f t="shared" si="32"/>
        <v>0</v>
      </c>
      <c r="AF90" s="1790">
        <f t="shared" si="32"/>
        <v>0</v>
      </c>
      <c r="AG90" s="1794">
        <v>235.43</v>
      </c>
      <c r="AH90" s="1794">
        <v>0</v>
      </c>
      <c r="AI90" s="1794">
        <v>0</v>
      </c>
      <c r="AJ90" s="1794">
        <v>0</v>
      </c>
      <c r="AK90" s="1794">
        <v>0</v>
      </c>
      <c r="AL90" s="1794">
        <v>0</v>
      </c>
      <c r="AM90" s="1794">
        <v>0</v>
      </c>
      <c r="AN90" s="1795"/>
      <c r="AO90" s="1795"/>
      <c r="AP90" s="1808">
        <f t="shared" si="49"/>
        <v>1.7220441229158632</v>
      </c>
      <c r="AQ90" s="1808">
        <f>IF(AP90&gt;[11]核心假设及结论!$B$65,[11]核心假设及结论!$D$65,IF(AP90&lt;=[11]核心假设及结论!$B$64,[11]核心假设及结论!$D$63,[11]核心假设及结论!$D$64))</f>
        <v>0.72793038402688603</v>
      </c>
      <c r="AR90" s="1809">
        <f t="shared" si="50"/>
        <v>235.43</v>
      </c>
      <c r="AS90" s="1811">
        <f>AH90*(AS$2&lt;=YEAR($K90))+AR90*$AQ90*(AS$2=YEAR($K90)+1)+INDEX([11]核心假设及结论!$E$17:$E$21,MATCH($D90,[11]核心假设及结论!$B$17:$B$21,0))*(AS$2&gt;YEAR($K90)+1)*AR90</f>
        <v>171.37665031144979</v>
      </c>
      <c r="AT90" s="1809">
        <f>AI90*(AT$2&lt;=YEAR($K90))+AS90*$AQ90*(AT$2=YEAR($K90)+1)+INDEX([11]核心假设及结论!$E$17:$E$21,MATCH($D90,[11]核心假设及结论!$B$17:$B$21,0))*(AT$2&gt;YEAR($K90)+1)*AS90</f>
        <v>177.30201299099662</v>
      </c>
      <c r="AU90" s="1809">
        <f>AJ90*(AU$2&lt;=YEAR($K90))+AT90*$AQ90*(AU$2=YEAR($K90)+1)+INDEX([11]核心假设及结论!$E$17:$E$21,MATCH($D90,[11]核心假设及结论!$B$17:$B$21,0))*(AU$2&gt;YEAR($K90)+1)*AT90</f>
        <v>183.4322456036432</v>
      </c>
      <c r="AV90" s="1809">
        <f>AK90*(AV$2&lt;=YEAR($K90))+AU90*$AQ90*(AV$2=YEAR($K90)+1)+INDEX([11]核心假设及结论!$E$17:$E$21,MATCH($D90,[11]核心假设及结论!$B$17:$B$21,0))*(AV$2&gt;YEAR($K90)+1)*AU90</f>
        <v>189.77443154525207</v>
      </c>
      <c r="AW90" s="1809">
        <f>AL90*(AW$2&lt;=YEAR($K90))+AV90*$AQ90*(AW$2=YEAR($K90)+1)+INDEX([11]核心假设及结论!$E$17:$E$21,MATCH($D90,[11]核心假设及结论!$B$17:$B$21,0))*(AW$2&gt;YEAR($K90)+1)*AV90</f>
        <v>196.33589912071747</v>
      </c>
      <c r="AX90" s="1809">
        <f>AM90*(AX$2&lt;=YEAR($K90))+AW90*$AQ90*(AX$2=YEAR($K90)+1)+INDEX([11]核心假设及结论!$E$17:$E$21,MATCH($D90,[11]核心假设及结论!$B$17:$B$21,0))*(AX$2&gt;YEAR($K90)+1)*AW90</f>
        <v>203.12423001171661</v>
      </c>
      <c r="AZ90" s="1746">
        <f t="shared" si="40"/>
        <v>45665</v>
      </c>
      <c r="BA90" s="1817">
        <f t="shared" si="41"/>
        <v>45658</v>
      </c>
      <c r="BB90" s="1817">
        <f t="shared" si="42"/>
        <v>45665</v>
      </c>
      <c r="BC90" s="1817">
        <f t="shared" si="43"/>
        <v>46022</v>
      </c>
      <c r="BD90" s="1818">
        <f t="shared" si="44"/>
        <v>8</v>
      </c>
      <c r="BE90" s="1818">
        <f t="shared" si="45"/>
        <v>357</v>
      </c>
      <c r="BG90" s="1777">
        <f t="shared" si="58"/>
        <v>72.567834925202149</v>
      </c>
      <c r="BH90" s="1777">
        <f t="shared" si="56"/>
        <v>74.412299651826046</v>
      </c>
      <c r="BI90" s="1777">
        <f t="shared" si="56"/>
        <v>76.985111423178111</v>
      </c>
      <c r="BJ90" s="1777">
        <f t="shared" si="56"/>
        <v>79.646878386639287</v>
      </c>
      <c r="BK90" s="1777">
        <f t="shared" si="55"/>
        <v>82.400676175760054</v>
      </c>
      <c r="BL90" s="1777">
        <f t="shared" si="55"/>
        <v>85.249686764390134</v>
      </c>
      <c r="BM90" s="1777">
        <f t="shared" si="55"/>
        <v>1.8698559255873091</v>
      </c>
      <c r="BO90" s="1739">
        <f t="shared" si="46"/>
        <v>2025</v>
      </c>
      <c r="BP90" s="1742">
        <f>_xlfn.IFNA(INDEX($AR90:$AX90,MATCH(BO90,$AR$2:$AX$2,0))*12/365*[11]核心假设及结论!$C$70*$H90,0)</f>
        <v>81271.726027397264</v>
      </c>
      <c r="BR90" s="1739">
        <f t="shared" si="51"/>
        <v>2029</v>
      </c>
      <c r="BS90" s="1742">
        <f>_xlfn.IFNA(INDEX($AR90:$AX90,MATCH(BR90,$AR$2:$AX$2,0))*12/365*[11]核心假设及结论!$C$70*$H90,0)</f>
        <v>65511.173629319885</v>
      </c>
      <c r="BU90" s="1739">
        <f t="shared" si="52"/>
        <v>2033</v>
      </c>
      <c r="BV90" s="1742">
        <f>_xlfn.IFNA(INDEX($AR90:$AX90,MATCH(BU90,$AR$2:$AX$2,0))*12/365*[11]核心假设及结论!$C$70*$H90,0)</f>
        <v>0</v>
      </c>
      <c r="BX90" s="1739">
        <f t="shared" si="53"/>
        <v>2037</v>
      </c>
      <c r="BY90" s="1742">
        <f>_xlfn.IFNA(INDEX($AR90:$AX90,MATCH(BX90,$AR$2:$AX$2,0))*12/365*[11]核心假设及结论!$C$70*$H90,0)</f>
        <v>0</v>
      </c>
      <c r="CA90" s="1739">
        <f t="shared" si="54"/>
        <v>2041</v>
      </c>
      <c r="CB90" s="1742">
        <f>_xlfn.IFNA(INDEX($AR90:$AX90,MATCH(CA90,$AR$2:$AX$2,0))*12/365*[11]核心假设及结论!$C$70*$H90,0)</f>
        <v>0</v>
      </c>
    </row>
    <row r="91" spans="1:80" ht="30" customHeight="1">
      <c r="A91" s="1756" t="s">
        <v>1666</v>
      </c>
      <c r="B91" s="1757" t="s">
        <v>1863</v>
      </c>
      <c r="C91" s="1756" t="s">
        <v>1864</v>
      </c>
      <c r="D91" s="1756" t="s">
        <v>1698</v>
      </c>
      <c r="E91" s="1758" t="s">
        <v>1698</v>
      </c>
      <c r="F91" s="1759"/>
      <c r="G91" s="1760" t="s">
        <v>1661</v>
      </c>
      <c r="H91" s="1761">
        <v>347</v>
      </c>
      <c r="I91" s="1761" t="s">
        <v>1782</v>
      </c>
      <c r="J91" s="1773">
        <v>44271</v>
      </c>
      <c r="K91" s="1773">
        <v>45731</v>
      </c>
      <c r="L91" s="1764">
        <f t="shared" si="36"/>
        <v>48</v>
      </c>
      <c r="M91" s="1774">
        <f t="shared" si="47"/>
        <v>194580.25</v>
      </c>
      <c r="N91" s="1775">
        <f t="shared" si="48"/>
        <v>447.12999999999994</v>
      </c>
      <c r="O91" s="1760">
        <v>155154.10999999999</v>
      </c>
      <c r="P91" s="1776">
        <v>0.11</v>
      </c>
      <c r="Q91" s="1783">
        <f t="shared" si="37"/>
        <v>95</v>
      </c>
      <c r="R91" s="1784">
        <v>32965</v>
      </c>
      <c r="S91" s="1777">
        <f t="shared" si="38"/>
        <v>18.62</v>
      </c>
      <c r="T91" s="1784">
        <v>6461.14</v>
      </c>
      <c r="U91" s="1777"/>
      <c r="V91" s="1785">
        <v>1580462.2316666699</v>
      </c>
      <c r="W91" s="1785">
        <f t="shared" si="39"/>
        <v>4554.6462007685013</v>
      </c>
      <c r="X91" s="1786">
        <f t="shared" si="57"/>
        <v>0.11902790603329996</v>
      </c>
      <c r="Y91" s="1789">
        <f>VLOOKUP(E91,[11]核心假设及结论!$C$25:$E$45,3,0)</f>
        <v>0.2</v>
      </c>
      <c r="Z91" s="1790">
        <f t="shared" si="33"/>
        <v>155154.10999999999</v>
      </c>
      <c r="AA91" s="1790">
        <f t="shared" si="33"/>
        <v>0</v>
      </c>
      <c r="AB91" s="1790">
        <f t="shared" si="33"/>
        <v>0</v>
      </c>
      <c r="AC91" s="1790">
        <f t="shared" si="32"/>
        <v>0</v>
      </c>
      <c r="AD91" s="1790">
        <f t="shared" si="32"/>
        <v>0</v>
      </c>
      <c r="AE91" s="1790">
        <f t="shared" si="32"/>
        <v>0</v>
      </c>
      <c r="AF91" s="1790">
        <f t="shared" si="32"/>
        <v>0</v>
      </c>
      <c r="AG91" s="1794">
        <v>447.13</v>
      </c>
      <c r="AH91" s="1794">
        <v>0</v>
      </c>
      <c r="AI91" s="1794">
        <v>0</v>
      </c>
      <c r="AJ91" s="1794">
        <v>0</v>
      </c>
      <c r="AK91" s="1794">
        <v>0</v>
      </c>
      <c r="AL91" s="1794">
        <v>0</v>
      </c>
      <c r="AM91" s="1794">
        <v>0</v>
      </c>
      <c r="AN91" s="1797"/>
      <c r="AO91" s="1797"/>
      <c r="AP91" s="1808">
        <f t="shared" si="49"/>
        <v>0.59513953016649979</v>
      </c>
      <c r="AQ91" s="1812">
        <f>IF(AP91&gt;[11]核心假设及结论!$B$62,[11]核心假设及结论!$D$62,IF(AP91&lt;=[11]核心假设及结论!$B$61,[11]核心假设及结论!$D$60,[11]核心假设及结论!$D$61))</f>
        <v>1.0811176582269599</v>
      </c>
      <c r="AR91" s="1809">
        <f t="shared" si="50"/>
        <v>447.13</v>
      </c>
      <c r="AS91" s="1811">
        <f>AH91*(AS$2&lt;=YEAR($K91))+AR91*$AQ91*(AS$2=YEAR($K91)+1)+INDEX([11]核心假设及结论!$E$17:$E$21,MATCH($D91,[11]核心假设及结论!$B$17:$B$21,0))*(AS$2&gt;YEAR($K91)+1)*AR91</f>
        <v>483.40013852302059</v>
      </c>
      <c r="AT91" s="1809">
        <f>AI91*(AT$2&lt;=YEAR($K91))+AS91*$AQ91*(AT$2=YEAR($K91)+1)+INDEX([11]核心假设及结论!$E$17:$E$21,MATCH($D91,[11]核心假设及结论!$B$17:$B$21,0))*(AT$2&gt;YEAR($K91)+1)*AS91</f>
        <v>498.20059651725165</v>
      </c>
      <c r="AU91" s="1809">
        <f>AJ91*(AU$2&lt;=YEAR($K91))+AT91*$AQ91*(AU$2=YEAR($K91)+1)+INDEX([11]核心假设及结论!$E$17:$E$21,MATCH($D91,[11]核心假设及结论!$B$17:$B$21,0))*(AU$2&gt;YEAR($K91)+1)*AT91</f>
        <v>513.45420613346676</v>
      </c>
      <c r="AV91" s="1809">
        <f>AK91*(AV$2&lt;=YEAR($K91))+AU91*$AQ91*(AV$2=YEAR($K91)+1)+INDEX([11]核心假设及结论!$E$17:$E$21,MATCH($D91,[11]核心假设及结论!$B$17:$B$21,0))*(AV$2&gt;YEAR($K91)+1)*AU91</f>
        <v>529.17484169856755</v>
      </c>
      <c r="AW91" s="1809">
        <f>AL91*(AW$2&lt;=YEAR($K91))+AV91*$AQ91*(AW$2=YEAR($K91)+1)+INDEX([11]核心假设及结论!$E$17:$E$21,MATCH($D91,[11]核心假设及结论!$B$17:$B$21,0))*(AW$2&gt;YEAR($K91)+1)*AV91</f>
        <v>545.37680233534661</v>
      </c>
      <c r="AX91" s="1809">
        <f>AM91*(AX$2&lt;=YEAR($K91))+AW91*$AQ91*(AX$2=YEAR($K91)+1)+INDEX([11]核心假设及结论!$E$17:$E$21,MATCH($D91,[11]核心假设及结论!$B$17:$B$21,0))*(AX$2&gt;YEAR($K91)+1)*AW91</f>
        <v>562.07482496863543</v>
      </c>
      <c r="AZ91" s="1746">
        <f t="shared" si="40"/>
        <v>45731</v>
      </c>
      <c r="BA91" s="1817">
        <f t="shared" si="41"/>
        <v>45658</v>
      </c>
      <c r="BB91" s="1817">
        <f t="shared" si="42"/>
        <v>45731</v>
      </c>
      <c r="BC91" s="1817">
        <f t="shared" si="43"/>
        <v>46022</v>
      </c>
      <c r="BD91" s="1818">
        <f t="shared" si="44"/>
        <v>74</v>
      </c>
      <c r="BE91" s="1818">
        <f t="shared" si="45"/>
        <v>291</v>
      </c>
      <c r="BG91" s="1777">
        <f t="shared" si="58"/>
        <v>198.22586277579964</v>
      </c>
      <c r="BH91" s="1777">
        <f t="shared" si="56"/>
        <v>206.2012615611506</v>
      </c>
      <c r="BI91" s="1777">
        <f t="shared" si="56"/>
        <v>212.51460917296126</v>
      </c>
      <c r="BJ91" s="1777">
        <f t="shared" si="56"/>
        <v>219.02125510780738</v>
      </c>
      <c r="BK91" s="1777">
        <f t="shared" si="55"/>
        <v>225.72711765880146</v>
      </c>
      <c r="BL91" s="1777">
        <f t="shared" si="55"/>
        <v>232.63829632183536</v>
      </c>
      <c r="BM91" s="1777">
        <f t="shared" si="55"/>
        <v>47.450818703160394</v>
      </c>
      <c r="BO91" s="1739">
        <f t="shared" si="46"/>
        <v>2025</v>
      </c>
      <c r="BP91" s="1742">
        <f>_xlfn.IFNA(INDEX($AR91:$AX91,MATCH(BO91,$AR$2:$AX$2,0))*12/365*[11]核心假设及结论!$C$70*$H91,0)</f>
        <v>153028.7112328767</v>
      </c>
      <c r="BR91" s="1739">
        <f t="shared" si="51"/>
        <v>2029</v>
      </c>
      <c r="BS91" s="1742">
        <f>_xlfn.IFNA(INDEX($AR91:$AX91,MATCH(BR91,$AR$2:$AX$2,0))*12/365*[11]核心假设及结论!$C$70*$H91,0)</f>
        <v>181108.27732872617</v>
      </c>
      <c r="BU91" s="1739">
        <f t="shared" si="52"/>
        <v>2033</v>
      </c>
      <c r="BV91" s="1742">
        <f>_xlfn.IFNA(INDEX($AR91:$AX91,MATCH(BU91,$AR$2:$AX$2,0))*12/365*[11]核心假设及结论!$C$70*$H91,0)</f>
        <v>0</v>
      </c>
      <c r="BX91" s="1739">
        <f t="shared" si="53"/>
        <v>2037</v>
      </c>
      <c r="BY91" s="1742">
        <f>_xlfn.IFNA(INDEX($AR91:$AX91,MATCH(BX91,$AR$2:$AX$2,0))*12/365*[11]核心假设及结论!$C$70*$H91,0)</f>
        <v>0</v>
      </c>
      <c r="CA91" s="1739">
        <f t="shared" si="54"/>
        <v>2041</v>
      </c>
      <c r="CB91" s="1742">
        <f>_xlfn.IFNA(INDEX($AR91:$AX91,MATCH(CA91,$AR$2:$AX$2,0))*12/365*[11]核心假设及结论!$C$70*$H91,0)</f>
        <v>0</v>
      </c>
    </row>
    <row r="92" spans="1:80" ht="30" customHeight="1">
      <c r="A92" s="1756" t="s">
        <v>1666</v>
      </c>
      <c r="B92" s="1757" t="s">
        <v>1865</v>
      </c>
      <c r="C92" s="1756" t="s">
        <v>1866</v>
      </c>
      <c r="D92" s="1756" t="s">
        <v>1698</v>
      </c>
      <c r="E92" s="1758" t="s">
        <v>1698</v>
      </c>
      <c r="F92" s="1759"/>
      <c r="G92" s="1760" t="s">
        <v>1661</v>
      </c>
      <c r="H92" s="1761">
        <v>344</v>
      </c>
      <c r="I92" s="1761" t="s">
        <v>1782</v>
      </c>
      <c r="J92" s="1773">
        <v>45017</v>
      </c>
      <c r="K92" s="1773">
        <v>47067</v>
      </c>
      <c r="L92" s="1764">
        <f t="shared" si="36"/>
        <v>68</v>
      </c>
      <c r="M92" s="1774">
        <f t="shared" si="47"/>
        <v>136554.23999999999</v>
      </c>
      <c r="N92" s="1775">
        <f t="shared" si="48"/>
        <v>288.96000000000004</v>
      </c>
      <c r="O92" s="1760">
        <v>99402.240000000005</v>
      </c>
      <c r="P92" s="1776">
        <v>0.06</v>
      </c>
      <c r="Q92" s="1783">
        <f t="shared" si="37"/>
        <v>90</v>
      </c>
      <c r="R92" s="1784">
        <v>30960</v>
      </c>
      <c r="S92" s="1777">
        <f t="shared" si="38"/>
        <v>18</v>
      </c>
      <c r="T92" s="1784">
        <v>6192</v>
      </c>
      <c r="U92" s="1777"/>
      <c r="V92" s="1785">
        <v>1375456.36416667</v>
      </c>
      <c r="W92" s="1785">
        <f t="shared" si="39"/>
        <v>3998.4196632752037</v>
      </c>
      <c r="X92" s="1786">
        <f t="shared" si="57"/>
        <v>9.477744506928136E-2</v>
      </c>
      <c r="Y92" s="1789">
        <f>VLOOKUP(E92,[11]核心假设及结论!$C$25:$E$45,3,0)</f>
        <v>0.2</v>
      </c>
      <c r="Z92" s="1790">
        <f t="shared" si="33"/>
        <v>99402.239999999991</v>
      </c>
      <c r="AA92" s="1790">
        <f t="shared" si="33"/>
        <v>104634.48000000001</v>
      </c>
      <c r="AB92" s="1790">
        <f t="shared" si="33"/>
        <v>104634.48000000001</v>
      </c>
      <c r="AC92" s="1790">
        <f t="shared" si="32"/>
        <v>109866.72</v>
      </c>
      <c r="AD92" s="1790">
        <f t="shared" si="32"/>
        <v>0</v>
      </c>
      <c r="AE92" s="1790">
        <f t="shared" si="32"/>
        <v>0</v>
      </c>
      <c r="AF92" s="1790">
        <f t="shared" si="32"/>
        <v>0</v>
      </c>
      <c r="AG92" s="1794">
        <v>288.95999999999998</v>
      </c>
      <c r="AH92" s="1794">
        <v>304.17</v>
      </c>
      <c r="AI92" s="1794">
        <v>304.17</v>
      </c>
      <c r="AJ92" s="1794">
        <v>319.38</v>
      </c>
      <c r="AK92" s="1794">
        <v>0</v>
      </c>
      <c r="AL92" s="1794">
        <v>0</v>
      </c>
      <c r="AM92" s="1794">
        <v>0</v>
      </c>
      <c r="AN92" s="1797"/>
      <c r="AO92" s="1797"/>
      <c r="AP92" s="1808">
        <f t="shared" si="49"/>
        <v>0.47388722534640676</v>
      </c>
      <c r="AQ92" s="1812">
        <f>IF(AP92&gt;[11]核心假设及结论!$B$62,[11]核心假设及结论!$D$62,IF(AP92&lt;=[11]核心假设及结论!$B$61,[11]核心假设及结论!$D$60,[11]核心假设及结论!$D$61))</f>
        <v>1.0811176582269599</v>
      </c>
      <c r="AR92" s="1809">
        <f t="shared" si="50"/>
        <v>288.95999999999998</v>
      </c>
      <c r="AS92" s="1809">
        <f>AH92*(AS$2&lt;=YEAR($K92))+AR92*$AQ92*(AS$2=YEAR($K92)+1)+INDEX([11]核心假设及结论!$E$17:$E$21,MATCH($D92,[11]核心假设及结论!$B$17:$B$21,0))*(AS$2&gt;YEAR($K92)+1)*AR92</f>
        <v>304.17</v>
      </c>
      <c r="AT92" s="1809">
        <f>AI92*(AT$2&lt;=YEAR($K92))+AS92*$AQ92*(AT$2=YEAR($K92)+1)+INDEX([11]核心假设及结论!$E$17:$E$21,MATCH($D92,[11]核心假设及结论!$B$17:$B$21,0))*(AT$2&gt;YEAR($K92)+1)*AS92</f>
        <v>304.17</v>
      </c>
      <c r="AU92" s="1809">
        <f>AJ92*(AU$2&lt;=YEAR($K92))+AT92*$AQ92*(AU$2=YEAR($K92)+1)+INDEX([11]核心假设及结论!$E$17:$E$21,MATCH($D92,[11]核心假设及结论!$B$17:$B$21,0))*(AU$2&gt;YEAR($K92)+1)*AT92</f>
        <v>319.38</v>
      </c>
      <c r="AV92" s="1811">
        <f>AK92*(AV$2&lt;=YEAR($K92))+AU92*$AQ92*(AV$2=YEAR($K92)+1)+INDEX([11]核心假设及结论!$E$17:$E$21,MATCH($D92,[11]核心假设及结论!$B$17:$B$21,0))*(AV$2&gt;YEAR($K92)+1)*AU92</f>
        <v>345.28735768452646</v>
      </c>
      <c r="AW92" s="1809">
        <f>AL92*(AW$2&lt;=YEAR($K92))+AV92*$AQ92*(AW$2=YEAR($K92)+1)+INDEX([11]核心假设及结论!$E$17:$E$21,MATCH($D92,[11]核心假设及结论!$B$17:$B$21,0))*(AW$2&gt;YEAR($K92)+1)*AV92</f>
        <v>355.85916068185946</v>
      </c>
      <c r="AX92" s="1809">
        <f>AM92*(AX$2&lt;=YEAR($K92))+AW92*$AQ92*(AX$2=YEAR($K92)+1)+INDEX([11]核心假设及结论!$E$17:$E$21,MATCH($D92,[11]核心假设及结论!$B$17:$B$21,0))*(AX$2&gt;YEAR($K92)+1)*AW92</f>
        <v>366.75464485699143</v>
      </c>
      <c r="AZ92" s="1746">
        <f t="shared" si="40"/>
        <v>47067</v>
      </c>
      <c r="BA92" s="1817">
        <f t="shared" si="41"/>
        <v>45658</v>
      </c>
      <c r="BB92" s="1817">
        <f t="shared" si="42"/>
        <v>45971</v>
      </c>
      <c r="BC92" s="1817">
        <f t="shared" si="43"/>
        <v>46022</v>
      </c>
      <c r="BD92" s="1818">
        <f t="shared" si="44"/>
        <v>314</v>
      </c>
      <c r="BE92" s="1818">
        <f t="shared" si="45"/>
        <v>51</v>
      </c>
      <c r="BG92" s="1777">
        <f t="shared" si="58"/>
        <v>120.15998413150683</v>
      </c>
      <c r="BH92" s="1777">
        <f t="shared" si="56"/>
        <v>125.56137600000002</v>
      </c>
      <c r="BI92" s="1777">
        <f t="shared" si="56"/>
        <v>126.43867213150686</v>
      </c>
      <c r="BJ92" s="1777">
        <f t="shared" si="56"/>
        <v>133.33437199961861</v>
      </c>
      <c r="BK92" s="1777">
        <f t="shared" si="55"/>
        <v>143.14439126352116</v>
      </c>
      <c r="BL92" s="1777">
        <f t="shared" si="55"/>
        <v>147.52710111643657</v>
      </c>
      <c r="BM92" s="1777">
        <f t="shared" si="55"/>
        <v>130.24231140451326</v>
      </c>
      <c r="BO92" s="1739">
        <f t="shared" si="46"/>
        <v>2028</v>
      </c>
      <c r="BP92" s="1742">
        <f>_xlfn.IFNA(INDEX($AR92:$AX92,MATCH(BO92,$AR$2:$AX$2,0))*12/365*[11]核心假设及结论!$C$70*$H92,0)</f>
        <v>108361.69643835617</v>
      </c>
      <c r="BR92" s="1739">
        <f t="shared" si="51"/>
        <v>2034</v>
      </c>
      <c r="BS92" s="1742">
        <f>_xlfn.IFNA(INDEX($AR92:$AX92,MATCH(BR92,$AR$2:$AX$2,0))*12/365*[11]核心假设及结论!$C$70*$H92,0)</f>
        <v>0</v>
      </c>
      <c r="BU92" s="1739">
        <f t="shared" si="52"/>
        <v>2040</v>
      </c>
      <c r="BV92" s="1742">
        <f>_xlfn.IFNA(INDEX($AR92:$AX92,MATCH(BU92,$AR$2:$AX$2,0))*12/365*[11]核心假设及结论!$C$70*$H92,0)</f>
        <v>0</v>
      </c>
      <c r="BX92" s="1739">
        <f t="shared" si="53"/>
        <v>2046</v>
      </c>
      <c r="BY92" s="1742">
        <f>_xlfn.IFNA(INDEX($AR92:$AX92,MATCH(BX92,$AR$2:$AX$2,0))*12/365*[11]核心假设及结论!$C$70*$H92,0)</f>
        <v>0</v>
      </c>
      <c r="CA92" s="1739">
        <f t="shared" si="54"/>
        <v>2052</v>
      </c>
      <c r="CB92" s="1742">
        <f>_xlfn.IFNA(INDEX($AR92:$AX92,MATCH(CA92,$AR$2:$AX$2,0))*12/365*[11]核心假设及结论!$C$70*$H92,0)</f>
        <v>0</v>
      </c>
    </row>
    <row r="93" spans="1:80" ht="30" customHeight="1">
      <c r="A93" s="1756" t="s">
        <v>1666</v>
      </c>
      <c r="B93" s="1757" t="s">
        <v>1867</v>
      </c>
      <c r="C93" s="1756" t="s">
        <v>1868</v>
      </c>
      <c r="D93" s="1756" t="s">
        <v>1698</v>
      </c>
      <c r="E93" s="1758" t="s">
        <v>1698</v>
      </c>
      <c r="F93" s="1759"/>
      <c r="G93" s="1760" t="s">
        <v>1661</v>
      </c>
      <c r="H93" s="1761">
        <v>343</v>
      </c>
      <c r="I93" s="1761" t="s">
        <v>1782</v>
      </c>
      <c r="J93" s="1773">
        <v>44743</v>
      </c>
      <c r="K93" s="1773">
        <v>46568</v>
      </c>
      <c r="L93" s="1764">
        <f t="shared" si="36"/>
        <v>60</v>
      </c>
      <c r="M93" s="1774">
        <f t="shared" si="47"/>
        <v>137258.31</v>
      </c>
      <c r="N93" s="1775">
        <f t="shared" si="48"/>
        <v>287.44</v>
      </c>
      <c r="O93" s="1760">
        <v>98591.92</v>
      </c>
      <c r="P93" s="1776">
        <v>0.08</v>
      </c>
      <c r="Q93" s="1783">
        <f t="shared" si="37"/>
        <v>95</v>
      </c>
      <c r="R93" s="1784">
        <v>32585</v>
      </c>
      <c r="S93" s="1777">
        <f t="shared" si="38"/>
        <v>17.73</v>
      </c>
      <c r="T93" s="1784">
        <v>6081.39</v>
      </c>
      <c r="U93" s="1777"/>
      <c r="V93" s="1785">
        <v>1353118.25</v>
      </c>
      <c r="W93" s="1785">
        <f t="shared" si="39"/>
        <v>3944.9511661807578</v>
      </c>
      <c r="X93" s="1786">
        <f t="shared" si="57"/>
        <v>9.6944165818471525E-2</v>
      </c>
      <c r="Y93" s="1789">
        <f>VLOOKUP(E93,[11]核心假设及结论!$C$25:$E$45,3,0)</f>
        <v>0.2</v>
      </c>
      <c r="Z93" s="1790">
        <f t="shared" si="33"/>
        <v>98591.92</v>
      </c>
      <c r="AA93" s="1790">
        <f t="shared" si="33"/>
        <v>103493.39</v>
      </c>
      <c r="AB93" s="1790">
        <f t="shared" si="33"/>
        <v>103493.39</v>
      </c>
      <c r="AC93" s="1790">
        <f t="shared" si="32"/>
        <v>0</v>
      </c>
      <c r="AD93" s="1790">
        <f t="shared" si="32"/>
        <v>0</v>
      </c>
      <c r="AE93" s="1790">
        <f t="shared" si="32"/>
        <v>0</v>
      </c>
      <c r="AF93" s="1790">
        <f t="shared" si="32"/>
        <v>0</v>
      </c>
      <c r="AG93" s="1794">
        <v>287.44</v>
      </c>
      <c r="AH93" s="1794">
        <v>301.73</v>
      </c>
      <c r="AI93" s="1794">
        <v>301.73</v>
      </c>
      <c r="AJ93" s="1794">
        <v>0</v>
      </c>
      <c r="AK93" s="1794">
        <v>0</v>
      </c>
      <c r="AL93" s="1794">
        <v>0</v>
      </c>
      <c r="AM93" s="1794">
        <v>0</v>
      </c>
      <c r="AN93" s="1797"/>
      <c r="AO93" s="1797"/>
      <c r="AP93" s="1808">
        <f t="shared" si="49"/>
        <v>0.48472082909235759</v>
      </c>
      <c r="AQ93" s="1812">
        <f>IF(AP93&gt;[11]核心假设及结论!$B$62,[11]核心假设及结论!$D$62,IF(AP93&lt;=[11]核心假设及结论!$B$61,[11]核心假设及结论!$D$60,[11]核心假设及结论!$D$61))</f>
        <v>1.0811176582269599</v>
      </c>
      <c r="AR93" s="1809">
        <f t="shared" si="50"/>
        <v>287.44</v>
      </c>
      <c r="AS93" s="1809">
        <f>AH93*(AS$2&lt;=YEAR($K93))+AR93*$AQ93*(AS$2=YEAR($K93)+1)+INDEX([11]核心假设及结论!$E$17:$E$21,MATCH($D93,[11]核心假设及结论!$B$17:$B$21,0))*(AS$2&gt;YEAR($K93)+1)*AR93</f>
        <v>301.73</v>
      </c>
      <c r="AT93" s="1809">
        <f>AI93*(AT$2&lt;=YEAR($K93))+AS93*$AQ93*(AT$2=YEAR($K93)+1)+INDEX([11]核心假设及结论!$E$17:$E$21,MATCH($D93,[11]核心假设及结论!$B$17:$B$21,0))*(AT$2&gt;YEAR($K93)+1)*AS93</f>
        <v>301.73</v>
      </c>
      <c r="AU93" s="1811">
        <f>AJ93*(AU$2&lt;=YEAR($K93))+AT93*$AQ93*(AU$2=YEAR($K93)+1)+INDEX([11]核心假设及结论!$E$17:$E$21,MATCH($D93,[11]核心假设及结论!$B$17:$B$21,0))*(AU$2&gt;YEAR($K93)+1)*AT93</f>
        <v>326.20563101682063</v>
      </c>
      <c r="AV93" s="1809">
        <f>AK93*(AV$2&lt;=YEAR($K93))+AU93*$AQ93*(AV$2=YEAR($K93)+1)+INDEX([11]核心假设及结论!$E$17:$E$21,MATCH($D93,[11]核心假设及结论!$B$17:$B$21,0))*(AV$2&gt;YEAR($K93)+1)*AU93</f>
        <v>336.19320105372117</v>
      </c>
      <c r="AW93" s="1809">
        <f>AL93*(AW$2&lt;=YEAR($K93))+AV93*$AQ93*(AW$2=YEAR($K93)+1)+INDEX([11]核心假设及结论!$E$17:$E$21,MATCH($D93,[11]核心假设及结论!$B$17:$B$21,0))*(AW$2&gt;YEAR($K93)+1)*AV93</f>
        <v>346.48656457104403</v>
      </c>
      <c r="AX93" s="1809">
        <f>AM93*(AX$2&lt;=YEAR($K93))+AW93*$AQ93*(AX$2=YEAR($K93)+1)+INDEX([11]核心假设及结论!$E$17:$E$21,MATCH($D93,[11]核心假设及结论!$B$17:$B$21,0))*(AX$2&gt;YEAR($K93)+1)*AW93</f>
        <v>357.09508417173703</v>
      </c>
      <c r="AZ93" s="1746">
        <f t="shared" si="40"/>
        <v>46568</v>
      </c>
      <c r="BA93" s="1817">
        <f t="shared" si="41"/>
        <v>45658</v>
      </c>
      <c r="BB93" s="1817">
        <f t="shared" si="42"/>
        <v>45838</v>
      </c>
      <c r="BC93" s="1817">
        <f t="shared" si="43"/>
        <v>46022</v>
      </c>
      <c r="BD93" s="1818">
        <f t="shared" si="44"/>
        <v>181</v>
      </c>
      <c r="BE93" s="1818">
        <f t="shared" si="45"/>
        <v>184</v>
      </c>
      <c r="BG93" s="1777">
        <f t="shared" si="58"/>
        <v>121.27535763287671</v>
      </c>
      <c r="BH93" s="1777">
        <f t="shared" si="56"/>
        <v>124.19206799999999</v>
      </c>
      <c r="BI93" s="1777">
        <f t="shared" si="56"/>
        <v>129.27055356076795</v>
      </c>
      <c r="BJ93" s="1777">
        <f t="shared" si="56"/>
        <v>136.33857368324291</v>
      </c>
      <c r="BK93" s="1777">
        <f t="shared" si="55"/>
        <v>140.51290706046871</v>
      </c>
      <c r="BL93" s="1777">
        <f t="shared" si="55"/>
        <v>144.81504769483001</v>
      </c>
      <c r="BM93" s="1777">
        <f t="shared" si="55"/>
        <v>72.886139541810252</v>
      </c>
      <c r="BO93" s="1739">
        <f t="shared" si="46"/>
        <v>2027</v>
      </c>
      <c r="BP93" s="1742">
        <f>_xlfn.IFNA(INDEX($AR93:$AX93,MATCH(BO93,$AR$2:$AX$2,0))*12/365*[11]核心假设及结论!$C$70*$H93,0)</f>
        <v>102075.67232876712</v>
      </c>
      <c r="BR93" s="1739">
        <f t="shared" si="51"/>
        <v>2032</v>
      </c>
      <c r="BS93" s="1742">
        <f>_xlfn.IFNA(INDEX($AR93:$AX93,MATCH(BR93,$AR$2:$AX$2,0))*12/365*[11]核心假设及结论!$C$70*$H93,0)</f>
        <v>0</v>
      </c>
      <c r="BU93" s="1739">
        <f t="shared" si="52"/>
        <v>2037</v>
      </c>
      <c r="BV93" s="1742">
        <f>_xlfn.IFNA(INDEX($AR93:$AX93,MATCH(BU93,$AR$2:$AX$2,0))*12/365*[11]核心假设及结论!$C$70*$H93,0)</f>
        <v>0</v>
      </c>
      <c r="BX93" s="1739">
        <f t="shared" si="53"/>
        <v>2042</v>
      </c>
      <c r="BY93" s="1742">
        <f>_xlfn.IFNA(INDEX($AR93:$AX93,MATCH(BX93,$AR$2:$AX$2,0))*12/365*[11]核心假设及结论!$C$70*$H93,0)</f>
        <v>0</v>
      </c>
      <c r="CA93" s="1739">
        <f t="shared" si="54"/>
        <v>2047</v>
      </c>
      <c r="CB93" s="1742">
        <f>_xlfn.IFNA(INDEX($AR93:$AX93,MATCH(CA93,$AR$2:$AX$2,0))*12/365*[11]核心假设及结论!$C$70*$H93,0)</f>
        <v>0</v>
      </c>
    </row>
    <row r="94" spans="1:80" ht="30" customHeight="1">
      <c r="A94" s="1756" t="s">
        <v>1662</v>
      </c>
      <c r="B94" s="1757" t="s">
        <v>1869</v>
      </c>
      <c r="C94" s="1756" t="s">
        <v>1870</v>
      </c>
      <c r="D94" s="1756" t="s">
        <v>1685</v>
      </c>
      <c r="E94" s="1758" t="s">
        <v>1871</v>
      </c>
      <c r="F94" s="1759"/>
      <c r="G94" s="1760" t="s">
        <v>1661</v>
      </c>
      <c r="H94" s="1761">
        <v>338</v>
      </c>
      <c r="I94" s="1761" t="s">
        <v>1782</v>
      </c>
      <c r="J94" s="1773">
        <v>45041</v>
      </c>
      <c r="K94" s="1773">
        <v>46136</v>
      </c>
      <c r="L94" s="1764">
        <f t="shared" si="36"/>
        <v>36</v>
      </c>
      <c r="M94" s="1774">
        <f t="shared" si="47"/>
        <v>318859.06</v>
      </c>
      <c r="N94" s="1775">
        <f t="shared" si="48"/>
        <v>830.37</v>
      </c>
      <c r="O94" s="1760">
        <v>280665.06</v>
      </c>
      <c r="P94" s="1776">
        <v>0.05</v>
      </c>
      <c r="Q94" s="1783">
        <f t="shared" si="37"/>
        <v>95</v>
      </c>
      <c r="R94" s="1784">
        <v>32110</v>
      </c>
      <c r="S94" s="1777">
        <f t="shared" si="38"/>
        <v>18</v>
      </c>
      <c r="T94" s="1784">
        <v>6084</v>
      </c>
      <c r="U94" s="1777"/>
      <c r="V94" s="1785">
        <v>3804761.3333333302</v>
      </c>
      <c r="W94" s="1785">
        <f t="shared" si="39"/>
        <v>11256.690335305711</v>
      </c>
      <c r="X94" s="1786">
        <f>(N94+Q94+S94)*H94/V94</f>
        <v>8.380527241130506E-2</v>
      </c>
      <c r="Y94" s="1789">
        <f>VLOOKUP(E94,[11]核心假设及结论!$C$25:$E$45,3,0)</f>
        <v>0.2</v>
      </c>
      <c r="Z94" s="1790">
        <f t="shared" si="33"/>
        <v>280665.06</v>
      </c>
      <c r="AA94" s="1790">
        <f t="shared" si="33"/>
        <v>295023.3</v>
      </c>
      <c r="AB94" s="1790">
        <f t="shared" si="33"/>
        <v>0</v>
      </c>
      <c r="AC94" s="1790">
        <f t="shared" si="32"/>
        <v>0</v>
      </c>
      <c r="AD94" s="1790">
        <f t="shared" si="32"/>
        <v>0</v>
      </c>
      <c r="AE94" s="1790">
        <f t="shared" si="32"/>
        <v>0</v>
      </c>
      <c r="AF94" s="1790">
        <f t="shared" si="32"/>
        <v>0</v>
      </c>
      <c r="AG94" s="1794">
        <v>830.37</v>
      </c>
      <c r="AH94" s="1794">
        <v>872.85</v>
      </c>
      <c r="AI94" s="1794">
        <v>0</v>
      </c>
      <c r="AJ94" s="1794">
        <v>0</v>
      </c>
      <c r="AK94" s="1794">
        <v>0</v>
      </c>
      <c r="AL94" s="1794">
        <v>0</v>
      </c>
      <c r="AM94" s="1794">
        <v>0</v>
      </c>
      <c r="AN94" s="1797"/>
      <c r="AO94" s="1797"/>
      <c r="AP94" s="1808">
        <f t="shared" si="49"/>
        <v>0.41902636205652527</v>
      </c>
      <c r="AQ94" s="1810">
        <f>IF(AP94&gt;[11]核心假设及结论!$B$59,[11]核心假设及结论!$D$59,IF(AP94&lt;=[11]核心假设及结论!$B$58,[11]核心假设及结论!$D$57,[11]核心假设及结论!$D$58))</f>
        <v>1.0342640124442799</v>
      </c>
      <c r="AR94" s="1809">
        <f t="shared" si="50"/>
        <v>830.37</v>
      </c>
      <c r="AS94" s="1809">
        <f>AH94*(AS$2&lt;=YEAR($K94))+AR94*$AQ94*(AS$2=YEAR($K94)+1)+INDEX([11]核心假设及结论!$E$17:$E$21,MATCH($D94,[11]核心假设及结论!$B$17:$B$21,0))*(AS$2&gt;YEAR($K94)+1)*AR94</f>
        <v>872.85</v>
      </c>
      <c r="AT94" s="1811">
        <f>AI94*(AT$2&lt;=YEAR($K94))+AS94*$AQ94*(AT$2=YEAR($K94)+1)+INDEX([11]核心假设及结论!$E$17:$E$21,MATCH($D94,[11]核心假设及结论!$B$17:$B$21,0))*(AT$2&gt;YEAR($K94)+1)*AS94</f>
        <v>902.75734326198972</v>
      </c>
      <c r="AU94" s="1809">
        <f>AJ94*(AU$2&lt;=YEAR($K94))+AT94*$AQ94*(AU$2=YEAR($K94)+1)+INDEX([11]核心假设及结论!$E$17:$E$21,MATCH($D94,[11]核心假设及结论!$B$17:$B$21,0))*(AU$2&gt;YEAR($K94)+1)*AT94</f>
        <v>927.19903883384734</v>
      </c>
      <c r="AV94" s="1809">
        <f>AK94*(AV$2&lt;=YEAR($K94))+AU94*$AQ94*(AV$2=YEAR($K94)+1)+INDEX([11]核心假设及结论!$E$17:$E$21,MATCH($D94,[11]核心假设及结论!$B$17:$B$21,0))*(AV$2&gt;YEAR($K94)+1)*AU94</f>
        <v>952.30248087266671</v>
      </c>
      <c r="AW94" s="1809">
        <f>AL94*(AW$2&lt;=YEAR($K94))+AV94*$AQ94*(AW$2=YEAR($K94)+1)+INDEX([11]核心假设及结论!$E$17:$E$21,MATCH($D94,[11]核心假设及结论!$B$17:$B$21,0))*(AW$2&gt;YEAR($K94)+1)*AV94</f>
        <v>978.08558582721662</v>
      </c>
      <c r="AX94" s="1809">
        <f>AM94*(AX$2&lt;=YEAR($K94))+AW94*$AQ94*(AX$2=YEAR($K94)+1)+INDEX([11]核心假设及结论!$E$17:$E$21,MATCH($D94,[11]核心假设及结论!$B$17:$B$21,0))*(AX$2&gt;YEAR($K94)+1)*AW94</f>
        <v>1004.5667552249969</v>
      </c>
      <c r="AZ94" s="1746">
        <f t="shared" si="40"/>
        <v>46136</v>
      </c>
      <c r="BA94" s="1817">
        <f t="shared" si="41"/>
        <v>45658</v>
      </c>
      <c r="BB94" s="1817">
        <f t="shared" si="42"/>
        <v>45771</v>
      </c>
      <c r="BC94" s="1817">
        <f t="shared" si="43"/>
        <v>46022</v>
      </c>
      <c r="BD94" s="1818">
        <f t="shared" si="44"/>
        <v>114</v>
      </c>
      <c r="BE94" s="1818">
        <f t="shared" si="45"/>
        <v>251</v>
      </c>
      <c r="BG94" s="1777">
        <f t="shared" si="58"/>
        <v>348.64657032328768</v>
      </c>
      <c r="BH94" s="1777">
        <f t="shared" si="56"/>
        <v>362.3696997950488</v>
      </c>
      <c r="BI94" s="1777">
        <f t="shared" si="56"/>
        <v>372.97564276325562</v>
      </c>
      <c r="BJ94" s="1777">
        <f t="shared" si="56"/>
        <v>383.07376844916524</v>
      </c>
      <c r="BK94" s="1777">
        <f t="shared" si="55"/>
        <v>393.44529574814794</v>
      </c>
      <c r="BL94" s="1777">
        <f t="shared" si="55"/>
        <v>404.09762686971811</v>
      </c>
      <c r="BM94" s="1777">
        <f t="shared" si="55"/>
        <v>127.25906699943971</v>
      </c>
      <c r="BO94" s="1739">
        <f t="shared" si="46"/>
        <v>2026</v>
      </c>
      <c r="BP94" s="1742">
        <f>_xlfn.IFNA(INDEX($AR94:$AX94,MATCH(BO94,$AR$2:$AX$2,0))*12/365*[11]核心假设及结论!$C$70*$H94,0)</f>
        <v>290981.88493150688</v>
      </c>
      <c r="BR94" s="1739">
        <f t="shared" si="51"/>
        <v>2029</v>
      </c>
      <c r="BS94" s="1742">
        <f>_xlfn.IFNA(INDEX($AR94:$AX94,MATCH(BR94,$AR$2:$AX$2,0))*12/365*[11]核心假设及结论!$C$70*$H94,0)</f>
        <v>317468.94759612629</v>
      </c>
      <c r="BU94" s="1739">
        <f t="shared" si="52"/>
        <v>2032</v>
      </c>
      <c r="BV94" s="1742">
        <f>_xlfn.IFNA(INDEX($AR94:$AX94,MATCH(BU94,$AR$2:$AX$2,0))*12/365*[11]核心假设及结论!$C$70*$H94,0)</f>
        <v>0</v>
      </c>
      <c r="BX94" s="1739">
        <f t="shared" si="53"/>
        <v>2035</v>
      </c>
      <c r="BY94" s="1742">
        <f>_xlfn.IFNA(INDEX($AR94:$AX94,MATCH(BX94,$AR$2:$AX$2,0))*12/365*[11]核心假设及结论!$C$70*$H94,0)</f>
        <v>0</v>
      </c>
      <c r="CA94" s="1739">
        <f t="shared" si="54"/>
        <v>2038</v>
      </c>
      <c r="CB94" s="1742">
        <f>_xlfn.IFNA(INDEX($AR94:$AX94,MATCH(CA94,$AR$2:$AX$2,0))*12/365*[11]核心假设及结论!$C$70*$H94,0)</f>
        <v>0</v>
      </c>
    </row>
    <row r="95" spans="1:80" ht="30" customHeight="1">
      <c r="A95" s="1756" t="s">
        <v>1666</v>
      </c>
      <c r="B95" s="1757" t="s">
        <v>1872</v>
      </c>
      <c r="C95" s="1756" t="s">
        <v>1873</v>
      </c>
      <c r="D95" s="1756" t="s">
        <v>1698</v>
      </c>
      <c r="E95" s="1758" t="s">
        <v>1698</v>
      </c>
      <c r="F95" s="1759"/>
      <c r="G95" s="1760" t="s">
        <v>1661</v>
      </c>
      <c r="H95" s="1761">
        <v>338</v>
      </c>
      <c r="I95" s="1761" t="s">
        <v>1782</v>
      </c>
      <c r="J95" s="1773">
        <v>44125</v>
      </c>
      <c r="K95" s="1773">
        <v>45950</v>
      </c>
      <c r="L95" s="1764">
        <f t="shared" si="36"/>
        <v>60</v>
      </c>
      <c r="M95" s="1774">
        <f t="shared" si="47"/>
        <v>141213.02000000002</v>
      </c>
      <c r="N95" s="1775">
        <f t="shared" si="48"/>
        <v>304.17</v>
      </c>
      <c r="O95" s="1760">
        <v>102809.46</v>
      </c>
      <c r="P95" s="1776">
        <v>0.09</v>
      </c>
      <c r="Q95" s="1783">
        <f t="shared" si="37"/>
        <v>95</v>
      </c>
      <c r="R95" s="1784">
        <v>32110</v>
      </c>
      <c r="S95" s="1777">
        <f t="shared" si="38"/>
        <v>18.62</v>
      </c>
      <c r="T95" s="1784">
        <v>6293.56</v>
      </c>
      <c r="U95" s="1777"/>
      <c r="V95" s="1785">
        <v>1076146.4125000001</v>
      </c>
      <c r="W95" s="1785">
        <f t="shared" si="39"/>
        <v>3183.8651257396455</v>
      </c>
      <c r="X95" s="1786">
        <f t="shared" ref="X95:X101" si="59">(N95+Q95)*H95/V95</f>
        <v>0.12537277310302791</v>
      </c>
      <c r="Y95" s="1789">
        <f>VLOOKUP(E95,[11]核心假设及结论!$C$25:$E$45,3,0)</f>
        <v>0.2</v>
      </c>
      <c r="Z95" s="1790" t="e">
        <f>#REF!*$H95</f>
        <v>#REF!</v>
      </c>
      <c r="AA95" s="1790">
        <f>AG95*$H95</f>
        <v>107950.44</v>
      </c>
      <c r="AB95" s="1790">
        <f t="shared" si="33"/>
        <v>0</v>
      </c>
      <c r="AC95" s="1790">
        <f t="shared" si="32"/>
        <v>0</v>
      </c>
      <c r="AD95" s="1790">
        <f t="shared" si="32"/>
        <v>0</v>
      </c>
      <c r="AE95" s="1790">
        <f t="shared" si="32"/>
        <v>0</v>
      </c>
      <c r="AF95" s="1790">
        <f t="shared" si="32"/>
        <v>0</v>
      </c>
      <c r="AG95" s="1794">
        <v>319.38</v>
      </c>
      <c r="AH95" s="1794">
        <v>0</v>
      </c>
      <c r="AI95" s="1794">
        <v>0</v>
      </c>
      <c r="AJ95" s="1794">
        <v>0</v>
      </c>
      <c r="AK95" s="1794">
        <v>0</v>
      </c>
      <c r="AL95" s="1794">
        <v>0</v>
      </c>
      <c r="AM95" s="1794">
        <v>0</v>
      </c>
      <c r="AN95" s="1797"/>
      <c r="AO95" s="1797"/>
      <c r="AP95" s="1808">
        <f t="shared" si="49"/>
        <v>0.62686386551513951</v>
      </c>
      <c r="AQ95" s="1812">
        <f>IF(AP95&gt;[11]核心假设及结论!$B$62,[11]核心假设及结论!$D$62,IF(AP95&lt;=[11]核心假设及结论!$B$61,[11]核心假设及结论!$D$60,[11]核心假设及结论!$D$61))</f>
        <v>1.0811176582269599</v>
      </c>
      <c r="AR95" s="1809">
        <f t="shared" si="50"/>
        <v>319.38</v>
      </c>
      <c r="AS95" s="1811">
        <f>AG95*(AS$2&lt;=YEAR($K95))+AR95*$AQ95*(AS$2=YEAR($K95)+1)+INDEX([11]核心假设及结论!$E$17:$E$21,MATCH($D95,[11]核心假设及结论!$B$17:$B$21,0))*(AS$2&gt;YEAR($K95)+1)*AR95</f>
        <v>345.28735768452646</v>
      </c>
      <c r="AT95" s="1809">
        <f>AI95*(AT$2&lt;=YEAR($K95))+AS95*$AQ95*(AT$2=YEAR($K95)+1)+INDEX([11]核心假设及结论!$E$17:$E$21,MATCH($D95,[11]核心假设及结论!$B$17:$B$21,0))*(AT$2&gt;YEAR($K95)+1)*AS95</f>
        <v>355.85916068185946</v>
      </c>
      <c r="AU95" s="1809">
        <f>AJ95*(AU$2&lt;=YEAR($K95))+AT95*$AQ95*(AU$2=YEAR($K95)+1)+INDEX([11]核心假设及结论!$E$17:$E$21,MATCH($D95,[11]核心假设及结论!$B$17:$B$21,0))*(AU$2&gt;YEAR($K95)+1)*AT95</f>
        <v>366.75464485699143</v>
      </c>
      <c r="AV95" s="1809">
        <f>AK95*(AV$2&lt;=YEAR($K95))+AU95*$AQ95*(AV$2=YEAR($K95)+1)+INDEX([11]核心假设及结论!$E$17:$E$21,MATCH($D95,[11]核心假设及结论!$B$17:$B$21,0))*(AV$2&gt;YEAR($K95)+1)*AU95</f>
        <v>377.98372048775178</v>
      </c>
      <c r="AW95" s="1809">
        <f>AL95*(AW$2&lt;=YEAR($K95))+AV95*$AQ95*(AW$2=YEAR($K95)+1)+INDEX([11]核心假设及结论!$E$17:$E$21,MATCH($D95,[11]核心假设及结论!$B$17:$B$21,0))*(AW$2&gt;YEAR($K95)+1)*AV95</f>
        <v>389.55660127896351</v>
      </c>
      <c r="AX95" s="1809">
        <f>AM95*(AX$2&lt;=YEAR($K95))+AW95*$AQ95*(AX$2=YEAR($K95)+1)+INDEX([11]核心假设及结论!$E$17:$E$21,MATCH($D95,[11]核心假设及结论!$B$17:$B$21,0))*(AX$2&gt;YEAR($K95)+1)*AW95</f>
        <v>401.48381365259036</v>
      </c>
      <c r="AZ95" s="1746">
        <f t="shared" si="40"/>
        <v>45950</v>
      </c>
      <c r="BA95" s="1817">
        <f t="shared" si="41"/>
        <v>45658</v>
      </c>
      <c r="BB95" s="1817">
        <f t="shared" si="42"/>
        <v>45950</v>
      </c>
      <c r="BC95" s="1817">
        <f t="shared" si="43"/>
        <v>46022</v>
      </c>
      <c r="BD95" s="1818">
        <f t="shared" si="44"/>
        <v>293</v>
      </c>
      <c r="BE95" s="1818">
        <f t="shared" si="45"/>
        <v>72</v>
      </c>
      <c r="BG95" s="1777">
        <f t="shared" si="58"/>
        <v>131.61334374776098</v>
      </c>
      <c r="BH95" s="1777">
        <f t="shared" si="56"/>
        <v>140.89438920093082</v>
      </c>
      <c r="BI95" s="1777">
        <f t="shared" si="56"/>
        <v>145.20820982862583</v>
      </c>
      <c r="BJ95" s="1777">
        <f t="shared" si="56"/>
        <v>149.65410845114704</v>
      </c>
      <c r="BK95" s="1777">
        <f t="shared" si="55"/>
        <v>154.23612895400174</v>
      </c>
      <c r="BL95" s="1777">
        <f t="shared" si="55"/>
        <v>158.95843903597913</v>
      </c>
      <c r="BM95" s="1777">
        <f t="shared" si="55"/>
        <v>130.71960986719114</v>
      </c>
      <c r="BO95" s="1739">
        <f t="shared" si="46"/>
        <v>2025</v>
      </c>
      <c r="BP95" s="1742">
        <f>_xlfn.IFNA(INDEX($AR95:$AX95,MATCH(BO95,$AR$2:$AX$2,0))*12/365*[11]核心假设及结论!$C$70*$H95,0)</f>
        <v>106471.66684931508</v>
      </c>
      <c r="BR95" s="1739">
        <f t="shared" si="51"/>
        <v>2030</v>
      </c>
      <c r="BS95" s="1742">
        <f>_xlfn.IFNA(INDEX($AR95:$AX95,MATCH(BR95,$AR$2:$AX$2,0))*12/365*[11]核心假设及结论!$C$70*$H95,0)</f>
        <v>129866.43080445008</v>
      </c>
      <c r="BU95" s="1739">
        <f t="shared" si="52"/>
        <v>2035</v>
      </c>
      <c r="BV95" s="1742">
        <f>_xlfn.IFNA(INDEX($AR95:$AX95,MATCH(BU95,$AR$2:$AX$2,0))*12/365*[11]核心假设及结论!$C$70*$H95,0)</f>
        <v>0</v>
      </c>
      <c r="BX95" s="1739">
        <f t="shared" si="53"/>
        <v>2040</v>
      </c>
      <c r="BY95" s="1742">
        <f>_xlfn.IFNA(INDEX($AR95:$AX95,MATCH(BX95,$AR$2:$AX$2,0))*12/365*[11]核心假设及结论!$C$70*$H95,0)</f>
        <v>0</v>
      </c>
      <c r="CA95" s="1739">
        <f t="shared" si="54"/>
        <v>2045</v>
      </c>
      <c r="CB95" s="1742">
        <f>_xlfn.IFNA(INDEX($AR95:$AX95,MATCH(CA95,$AR$2:$AX$2,0))*12/365*[11]核心假设及结论!$C$70*$H95,0)</f>
        <v>0</v>
      </c>
    </row>
    <row r="96" spans="1:80" ht="30" customHeight="1">
      <c r="A96" s="1756" t="s">
        <v>1666</v>
      </c>
      <c r="B96" s="1757" t="s">
        <v>1874</v>
      </c>
      <c r="C96" s="1756" t="s">
        <v>1875</v>
      </c>
      <c r="D96" s="1756" t="s">
        <v>1698</v>
      </c>
      <c r="E96" s="1758" t="s">
        <v>1698</v>
      </c>
      <c r="F96" s="1759"/>
      <c r="G96" s="1760" t="s">
        <v>1661</v>
      </c>
      <c r="H96" s="1761">
        <v>336</v>
      </c>
      <c r="I96" s="1761" t="s">
        <v>1782</v>
      </c>
      <c r="J96" s="1773">
        <v>44477</v>
      </c>
      <c r="K96" s="1773">
        <v>46667</v>
      </c>
      <c r="L96" s="1764">
        <f t="shared" si="36"/>
        <v>72</v>
      </c>
      <c r="M96" s="1774">
        <f t="shared" si="47"/>
        <v>210410.3316</v>
      </c>
      <c r="N96" s="1775">
        <f t="shared" si="48"/>
        <v>512.6</v>
      </c>
      <c r="O96" s="1760">
        <v>172233.60000000001</v>
      </c>
      <c r="P96" s="1776">
        <v>0.12</v>
      </c>
      <c r="Q96" s="1783">
        <f t="shared" si="37"/>
        <v>95</v>
      </c>
      <c r="R96" s="1784">
        <v>31920</v>
      </c>
      <c r="S96" s="1777">
        <f t="shared" si="38"/>
        <v>18.621224999999999</v>
      </c>
      <c r="T96" s="1777">
        <v>6256.7316000000001</v>
      </c>
      <c r="U96" s="1777"/>
      <c r="V96" s="1785">
        <v>1840898.0925</v>
      </c>
      <c r="W96" s="1785">
        <f t="shared" si="39"/>
        <v>5478.8633705357142</v>
      </c>
      <c r="X96" s="1786">
        <f t="shared" si="59"/>
        <v>0.11089891441125495</v>
      </c>
      <c r="Y96" s="1789">
        <f>VLOOKUP(E96,[11]核心假设及结论!$C$25:$E$45,3,0)</f>
        <v>0.2</v>
      </c>
      <c r="Z96" s="1790">
        <f t="shared" si="33"/>
        <v>189480.47999999998</v>
      </c>
      <c r="AA96" s="1790">
        <f t="shared" si="33"/>
        <v>195098.4</v>
      </c>
      <c r="AB96" s="1790">
        <f t="shared" si="33"/>
        <v>201028.8</v>
      </c>
      <c r="AC96" s="1790">
        <f t="shared" si="32"/>
        <v>0</v>
      </c>
      <c r="AD96" s="1790">
        <f t="shared" si="32"/>
        <v>0</v>
      </c>
      <c r="AE96" s="1790">
        <f t="shared" si="32"/>
        <v>0</v>
      </c>
      <c r="AF96" s="1790">
        <f t="shared" si="32"/>
        <v>0</v>
      </c>
      <c r="AG96" s="1794">
        <v>563.92999999999995</v>
      </c>
      <c r="AH96" s="1794">
        <v>580.65</v>
      </c>
      <c r="AI96" s="1794">
        <v>598.29999999999995</v>
      </c>
      <c r="AJ96" s="1794">
        <v>0</v>
      </c>
      <c r="AK96" s="1794">
        <v>0</v>
      </c>
      <c r="AL96" s="1794">
        <v>0</v>
      </c>
      <c r="AM96" s="1794">
        <v>0</v>
      </c>
      <c r="AN96" s="1795"/>
      <c r="AO96" s="1795"/>
      <c r="AP96" s="1808">
        <f t="shared" si="49"/>
        <v>0.55449457205627473</v>
      </c>
      <c r="AQ96" s="1812">
        <f>IF(AP96&gt;[11]核心假设及结论!$B$62,[11]核心假设及结论!$D$62,IF(AP96&lt;=[11]核心假设及结论!$B$61,[11]核心假设及结论!$D$60,[11]核心假设及结论!$D$61))</f>
        <v>1.0811176582269599</v>
      </c>
      <c r="AR96" s="1809">
        <f t="shared" si="50"/>
        <v>563.92999999999995</v>
      </c>
      <c r="AS96" s="1809">
        <f>AH96*(AS$2&lt;=YEAR($K96))+AR96*$AQ96*(AS$2=YEAR($K96)+1)+INDEX([11]核心假设及结论!$E$17:$E$21,MATCH($D96,[11]核心假设及结论!$B$17:$B$21,0))*(AS$2&gt;YEAR($K96)+1)*AR96</f>
        <v>580.65</v>
      </c>
      <c r="AT96" s="1809">
        <f>AI96*(AT$2&lt;=YEAR($K96))+AS96*$AQ96*(AT$2=YEAR($K96)+1)+INDEX([11]核心假设及结论!$E$17:$E$21,MATCH($D96,[11]核心假设及结论!$B$17:$B$21,0))*(AT$2&gt;YEAR($K96)+1)*AS96</f>
        <v>598.29999999999995</v>
      </c>
      <c r="AU96" s="1811">
        <f>AJ96*(AU$2&lt;=YEAR($K96))+AT96*$AQ96*(AU$2=YEAR($K96)+1)+INDEX([11]核心假设及结论!$E$17:$E$21,MATCH($D96,[11]核心假设及结论!$B$17:$B$21,0))*(AU$2&gt;YEAR($K96)+1)*AT96</f>
        <v>646.83269491719011</v>
      </c>
      <c r="AV96" s="1809">
        <f>AK96*(AV$2&lt;=YEAR($K96))+AU96*$AQ96*(AV$2=YEAR($K96)+1)+INDEX([11]核心假设及结论!$E$17:$E$21,MATCH($D96,[11]核心假设及结论!$B$17:$B$21,0))*(AV$2&gt;YEAR($K96)+1)*AU96</f>
        <v>666.63703374023589</v>
      </c>
      <c r="AW96" s="1809">
        <f>AL96*(AW$2&lt;=YEAR($K96))+AV96*$AQ96*(AW$2=YEAR($K96)+1)+INDEX([11]核心假设及结论!$E$17:$E$21,MATCH($D96,[11]核心假设及结论!$B$17:$B$21,0))*(AW$2&gt;YEAR($K96)+1)*AV96</f>
        <v>687.04773003299522</v>
      </c>
      <c r="AX96" s="1809">
        <f>AM96*(AX$2&lt;=YEAR($K96))+AW96*$AQ96*(AX$2=YEAR($K96)+1)+INDEX([11]核心假设及结论!$E$17:$E$21,MATCH($D96,[11]核心假设及结论!$B$17:$B$21,0))*(AX$2&gt;YEAR($K96)+1)*AW96</f>
        <v>708.08334888791387</v>
      </c>
      <c r="AZ96" s="1746">
        <f t="shared" si="40"/>
        <v>46667</v>
      </c>
      <c r="BA96" s="1817">
        <f t="shared" si="41"/>
        <v>45658</v>
      </c>
      <c r="BB96" s="1817">
        <f t="shared" si="42"/>
        <v>45937</v>
      </c>
      <c r="BC96" s="1817">
        <f t="shared" si="43"/>
        <v>46022</v>
      </c>
      <c r="BD96" s="1818">
        <f t="shared" si="44"/>
        <v>280</v>
      </c>
      <c r="BE96" s="1818">
        <f t="shared" si="45"/>
        <v>85</v>
      </c>
      <c r="BG96" s="1777">
        <f t="shared" si="58"/>
        <v>228.94651528767125</v>
      </c>
      <c r="BH96" s="1777">
        <f t="shared" si="56"/>
        <v>235.7753424657534</v>
      </c>
      <c r="BI96" s="1777">
        <f t="shared" si="56"/>
        <v>245.79158060329297</v>
      </c>
      <c r="BJ96" s="1777">
        <f t="shared" si="56"/>
        <v>262.66248861840131</v>
      </c>
      <c r="BK96" s="1777">
        <f t="shared" si="55"/>
        <v>270.70453250637939</v>
      </c>
      <c r="BL96" s="1777">
        <f t="shared" si="55"/>
        <v>278.99280291203183</v>
      </c>
      <c r="BM96" s="1777">
        <f t="shared" si="55"/>
        <v>219.01308974260255</v>
      </c>
      <c r="BO96" s="1739">
        <f t="shared" si="46"/>
        <v>2027</v>
      </c>
      <c r="BP96" s="1742">
        <f>_xlfn.IFNA(INDEX($AR96:$AX96,MATCH(BO96,$AR$2:$AX$2,0))*12/365*[11]核心假设及结论!$C$70*$H96,0)</f>
        <v>198274.98082191779</v>
      </c>
      <c r="BR96" s="1739">
        <f t="shared" si="51"/>
        <v>2033</v>
      </c>
      <c r="BS96" s="1742">
        <f>_xlfn.IFNA(INDEX($AR96:$AX96,MATCH(BR96,$AR$2:$AX$2,0))*12/365*[11]核心假设及结论!$C$70*$H96,0)</f>
        <v>0</v>
      </c>
      <c r="BU96" s="1739">
        <f t="shared" si="52"/>
        <v>2039</v>
      </c>
      <c r="BV96" s="1742">
        <f>_xlfn.IFNA(INDEX($AR96:$AX96,MATCH(BU96,$AR$2:$AX$2,0))*12/365*[11]核心假设及结论!$C$70*$H96,0)</f>
        <v>0</v>
      </c>
      <c r="BX96" s="1739">
        <f t="shared" si="53"/>
        <v>2045</v>
      </c>
      <c r="BY96" s="1742">
        <f>_xlfn.IFNA(INDEX($AR96:$AX96,MATCH(BX96,$AR$2:$AX$2,0))*12/365*[11]核心假设及结论!$C$70*$H96,0)</f>
        <v>0</v>
      </c>
      <c r="CA96" s="1739">
        <f t="shared" si="54"/>
        <v>2051</v>
      </c>
      <c r="CB96" s="1742">
        <f>_xlfn.IFNA(INDEX($AR96:$AX96,MATCH(CA96,$AR$2:$AX$2,0))*12/365*[11]核心假设及结论!$C$70*$H96,0)</f>
        <v>0</v>
      </c>
    </row>
    <row r="97" spans="1:80" ht="30" customHeight="1">
      <c r="A97" s="1756" t="s">
        <v>1666</v>
      </c>
      <c r="B97" s="1757" t="s">
        <v>1876</v>
      </c>
      <c r="C97" s="1756" t="s">
        <v>1877</v>
      </c>
      <c r="D97" s="1756" t="s">
        <v>1698</v>
      </c>
      <c r="E97" s="1758" t="s">
        <v>1698</v>
      </c>
      <c r="F97" s="1762"/>
      <c r="G97" s="1760" t="s">
        <v>1661</v>
      </c>
      <c r="H97" s="1761">
        <v>332</v>
      </c>
      <c r="I97" s="1761" t="s">
        <v>1782</v>
      </c>
      <c r="J97" s="1773">
        <v>44501</v>
      </c>
      <c r="K97" s="1773">
        <v>45961</v>
      </c>
      <c r="L97" s="1764">
        <f t="shared" si="36"/>
        <v>48</v>
      </c>
      <c r="M97" s="1774">
        <f t="shared" si="47"/>
        <v>148845.96669999999</v>
      </c>
      <c r="N97" s="1775">
        <f t="shared" si="48"/>
        <v>334.71</v>
      </c>
      <c r="O97" s="1760">
        <v>111123.72</v>
      </c>
      <c r="P97" s="1776">
        <v>0.11</v>
      </c>
      <c r="Q97" s="1783">
        <f t="shared" si="37"/>
        <v>95</v>
      </c>
      <c r="R97" s="1784">
        <v>31540</v>
      </c>
      <c r="S97" s="1777">
        <f t="shared" si="38"/>
        <v>18.621224999999999</v>
      </c>
      <c r="T97" s="1784">
        <v>6182.2466999999997</v>
      </c>
      <c r="U97" s="1777"/>
      <c r="V97" s="1785">
        <v>846099.63249999995</v>
      </c>
      <c r="W97" s="1785">
        <f t="shared" si="39"/>
        <v>2548.4928689759035</v>
      </c>
      <c r="X97" s="1786">
        <f t="shared" si="59"/>
        <v>0.16861338135612536</v>
      </c>
      <c r="Y97" s="1789">
        <f>VLOOKUP(E97,[11]核心假设及结论!$C$25:$E$45,3,0)</f>
        <v>0.2</v>
      </c>
      <c r="Z97" s="1790" t="e">
        <f>#REF!*$H97</f>
        <v>#REF!</v>
      </c>
      <c r="AA97" s="1790">
        <f>AG97*$H97</f>
        <v>116103.71999999999</v>
      </c>
      <c r="AB97" s="1790">
        <f t="shared" si="33"/>
        <v>0</v>
      </c>
      <c r="AC97" s="1790">
        <f t="shared" si="32"/>
        <v>0</v>
      </c>
      <c r="AD97" s="1790">
        <f t="shared" si="32"/>
        <v>0</v>
      </c>
      <c r="AE97" s="1790">
        <f t="shared" si="32"/>
        <v>0</v>
      </c>
      <c r="AF97" s="1790">
        <f t="shared" si="32"/>
        <v>0</v>
      </c>
      <c r="AG97" s="1794">
        <v>349.71</v>
      </c>
      <c r="AH97" s="1741">
        <v>0</v>
      </c>
      <c r="AI97" s="1794">
        <v>0</v>
      </c>
      <c r="AJ97" s="1794">
        <v>0</v>
      </c>
      <c r="AK97" s="1794">
        <v>0</v>
      </c>
      <c r="AL97" s="1794">
        <v>0</v>
      </c>
      <c r="AM97" s="1794">
        <v>0</v>
      </c>
      <c r="AN97" s="1797"/>
      <c r="AO97" s="1797"/>
      <c r="AP97" s="1808">
        <f t="shared" si="49"/>
        <v>0.84306690678062679</v>
      </c>
      <c r="AQ97" s="1812">
        <f>IF(AP97&gt;[11]核心假设及结论!$B$62,[11]核心假设及结论!$D$62,IF(AP97&lt;=[11]核心假设及结论!$B$61,[11]核心假设及结论!$D$60,[11]核心假设及结论!$D$61))</f>
        <v>1.0811176582269599</v>
      </c>
      <c r="AR97" s="1809">
        <f t="shared" si="50"/>
        <v>349.71</v>
      </c>
      <c r="AS97" s="1811">
        <f>AG97*(AS$2&lt;=YEAR($K97))+AR97*$AQ97*(AS$2=YEAR($K97)+1)+INDEX([11]核心假设及结论!$E$17:$E$21,MATCH($D97,[11]核心假设及结论!$B$17:$B$21,0))*(AS$2&gt;YEAR($K97)+1)*AR97</f>
        <v>378.07765625855012</v>
      </c>
      <c r="AT97" s="1809">
        <f>AI97*(AT$2&lt;=YEAR($K97))+AS97*$AQ97*(AT$2=YEAR($K97)+1)+INDEX([11]核心假设及结论!$E$17:$E$21,MATCH($D97,[11]核心假设及结论!$B$17:$B$21,0))*(AT$2&gt;YEAR($K97)+1)*AS97</f>
        <v>389.65341311933457</v>
      </c>
      <c r="AU97" s="1809">
        <f>AJ97*(AU$2&lt;=YEAR($K97))+AT97*$AQ97*(AU$2=YEAR($K97)+1)+INDEX([11]核心假设及结论!$E$17:$E$21,MATCH($D97,[11]核心假设及结论!$B$17:$B$21,0))*(AU$2&gt;YEAR($K97)+1)*AT97</f>
        <v>401.58358962032213</v>
      </c>
      <c r="AV97" s="1809">
        <f>AK97*(AV$2&lt;=YEAR($K97))+AU97*$AQ97*(AV$2=YEAR($K97)+1)+INDEX([11]核心假设及结论!$E$17:$E$21,MATCH($D97,[11]核心假设及结论!$B$17:$B$21,0))*(AV$2&gt;YEAR($K97)+1)*AU97</f>
        <v>413.87903717130592</v>
      </c>
      <c r="AW97" s="1809">
        <f>AL97*(AW$2&lt;=YEAR($K97))+AV97*$AQ97*(AW$2=YEAR($K97)+1)+INDEX([11]核心假设及结论!$E$17:$E$21,MATCH($D97,[11]核心假设及结论!$B$17:$B$21,0))*(AW$2&gt;YEAR($K97)+1)*AV97</f>
        <v>426.55093942409144</v>
      </c>
      <c r="AX97" s="1809">
        <f>AM97*(AX$2&lt;=YEAR($K97))+AW97*$AQ97*(AX$2=YEAR($K97)+1)+INDEX([11]核心假设及结论!$E$17:$E$21,MATCH($D97,[11]核心假设及结论!$B$17:$B$21,0))*(AX$2&gt;YEAR($K97)+1)*AW97</f>
        <v>439.610822444885</v>
      </c>
      <c r="AZ97" s="1746">
        <f t="shared" si="40"/>
        <v>45961</v>
      </c>
      <c r="BA97" s="1817">
        <f t="shared" si="41"/>
        <v>45658</v>
      </c>
      <c r="BB97" s="1817">
        <f t="shared" si="42"/>
        <v>45961</v>
      </c>
      <c r="BC97" s="1817">
        <f t="shared" si="43"/>
        <v>46022</v>
      </c>
      <c r="BD97" s="1818">
        <f t="shared" si="44"/>
        <v>304</v>
      </c>
      <c r="BE97" s="1818">
        <f t="shared" si="45"/>
        <v>61</v>
      </c>
      <c r="BG97" s="1777">
        <f t="shared" si="58"/>
        <v>141.21323695741859</v>
      </c>
      <c r="BH97" s="1777">
        <f t="shared" si="56"/>
        <v>151.39687434527903</v>
      </c>
      <c r="BI97" s="1777">
        <f t="shared" si="56"/>
        <v>156.03225381796918</v>
      </c>
      <c r="BJ97" s="1777">
        <f t="shared" si="56"/>
        <v>160.80955658299121</v>
      </c>
      <c r="BK97" s="1777">
        <f t="shared" si="55"/>
        <v>165.73312796331703</v>
      </c>
      <c r="BL97" s="1777">
        <f t="shared" si="55"/>
        <v>170.80744632443344</v>
      </c>
      <c r="BM97" s="1777">
        <f t="shared" si="55"/>
        <v>145.8708200144132</v>
      </c>
      <c r="BO97" s="1739">
        <f t="shared" si="46"/>
        <v>2025</v>
      </c>
      <c r="BP97" s="1742">
        <f>_xlfn.IFNA(INDEX($AR97:$AX97,MATCH(BO97,$AR$2:$AX$2,0))*12/365*[11]核心假设及结论!$C$70*$H97,0)</f>
        <v>114513.25808219177</v>
      </c>
      <c r="BR97" s="1739">
        <f t="shared" si="51"/>
        <v>2029</v>
      </c>
      <c r="BS97" s="1742">
        <f>_xlfn.IFNA(INDEX($AR97:$AX97,MATCH(BR97,$AR$2:$AX$2,0))*12/365*[11]核心假设及结论!$C$70*$H97,0)</f>
        <v>135525.54115812189</v>
      </c>
      <c r="BU97" s="1739">
        <f t="shared" si="52"/>
        <v>2033</v>
      </c>
      <c r="BV97" s="1742">
        <f>_xlfn.IFNA(INDEX($AR97:$AX97,MATCH(BU97,$AR$2:$AX$2,0))*12/365*[11]核心假设及结论!$C$70*$H97,0)</f>
        <v>0</v>
      </c>
      <c r="BX97" s="1739">
        <f t="shared" si="53"/>
        <v>2037</v>
      </c>
      <c r="BY97" s="1742">
        <f>_xlfn.IFNA(INDEX($AR97:$AX97,MATCH(BX97,$AR$2:$AX$2,0))*12/365*[11]核心假设及结论!$C$70*$H97,0)</f>
        <v>0</v>
      </c>
      <c r="CA97" s="1739">
        <f t="shared" si="54"/>
        <v>2041</v>
      </c>
      <c r="CB97" s="1742">
        <f>_xlfn.IFNA(INDEX($AR97:$AX97,MATCH(CA97,$AR$2:$AX$2,0))*12/365*[11]核心假设及结论!$C$70*$H97,0)</f>
        <v>0</v>
      </c>
    </row>
    <row r="98" spans="1:80" ht="30" customHeight="1">
      <c r="A98" s="1756" t="s">
        <v>1666</v>
      </c>
      <c r="B98" s="1757" t="s">
        <v>1878</v>
      </c>
      <c r="C98" s="1756" t="s">
        <v>1879</v>
      </c>
      <c r="D98" s="1756" t="s">
        <v>1698</v>
      </c>
      <c r="E98" s="1758" t="s">
        <v>1698</v>
      </c>
      <c r="F98" s="1759"/>
      <c r="G98" s="1760" t="s">
        <v>1661</v>
      </c>
      <c r="H98" s="1761">
        <v>326</v>
      </c>
      <c r="I98" s="1761" t="s">
        <v>1782</v>
      </c>
      <c r="J98" s="1773">
        <v>45139</v>
      </c>
      <c r="K98" s="1773">
        <v>47608</v>
      </c>
      <c r="L98" s="1764">
        <f t="shared" si="36"/>
        <v>82</v>
      </c>
      <c r="M98" s="1774">
        <f t="shared" si="47"/>
        <v>200062.94</v>
      </c>
      <c r="N98" s="1775">
        <f t="shared" si="48"/>
        <v>499.14000000000004</v>
      </c>
      <c r="O98" s="1760">
        <v>162719.64000000001</v>
      </c>
      <c r="P98" s="1776">
        <v>0.11</v>
      </c>
      <c r="Q98" s="1783">
        <f t="shared" si="37"/>
        <v>95</v>
      </c>
      <c r="R98" s="1784">
        <v>30970</v>
      </c>
      <c r="S98" s="1777">
        <f t="shared" si="38"/>
        <v>19.55</v>
      </c>
      <c r="T98" s="1784">
        <v>6373.3</v>
      </c>
      <c r="U98" s="1777"/>
      <c r="V98" s="1785">
        <v>1404000.1691666699</v>
      </c>
      <c r="W98" s="1785">
        <f t="shared" si="39"/>
        <v>4306.7489851738346</v>
      </c>
      <c r="X98" s="1786">
        <f t="shared" si="59"/>
        <v>0.1379555674234445</v>
      </c>
      <c r="Y98" s="1789">
        <f>VLOOKUP(E98,[11]核心假设及结论!$C$25:$E$45,3,0)</f>
        <v>0.2</v>
      </c>
      <c r="Z98" s="1790">
        <f t="shared" si="33"/>
        <v>162719.63999999998</v>
      </c>
      <c r="AA98" s="1790">
        <f t="shared" si="33"/>
        <v>143779.04</v>
      </c>
      <c r="AB98" s="1790">
        <f t="shared" si="33"/>
        <v>143779.04</v>
      </c>
      <c r="AC98" s="1790">
        <f t="shared" si="32"/>
        <v>150719.57999999999</v>
      </c>
      <c r="AD98" s="1790">
        <f t="shared" si="32"/>
        <v>150719.57999999999</v>
      </c>
      <c r="AE98" s="1790">
        <f t="shared" si="32"/>
        <v>158654.42000000001</v>
      </c>
      <c r="AF98" s="1790">
        <f t="shared" si="32"/>
        <v>0</v>
      </c>
      <c r="AG98" s="1794">
        <v>499.14</v>
      </c>
      <c r="AH98" s="1794">
        <v>441.04</v>
      </c>
      <c r="AI98" s="1794">
        <v>441.04</v>
      </c>
      <c r="AJ98" s="1794">
        <v>462.33</v>
      </c>
      <c r="AK98" s="1794">
        <v>462.33</v>
      </c>
      <c r="AL98" s="1794">
        <v>486.67</v>
      </c>
      <c r="AM98" s="1794">
        <v>0</v>
      </c>
      <c r="AN98" s="1797"/>
      <c r="AO98" s="1797"/>
      <c r="AP98" s="1808">
        <f t="shared" si="49"/>
        <v>0.68977783711722251</v>
      </c>
      <c r="AQ98" s="1812">
        <f>IF(AP98&gt;[11]核心假设及结论!$B$62,[11]核心假设及结论!$D$62,IF(AP98&lt;=[11]核心假设及结论!$B$61,[11]核心假设及结论!$D$60,[11]核心假设及结论!$D$61))</f>
        <v>1.0811176582269599</v>
      </c>
      <c r="AR98" s="1809">
        <f t="shared" si="50"/>
        <v>499.14</v>
      </c>
      <c r="AS98" s="1809">
        <f>AH98*(AS$2&lt;=YEAR($K98))+AR98*$AQ98*(AS$2=YEAR($K98)+1)+INDEX([11]核心假设及结论!$E$17:$E$21,MATCH($D98,[11]核心假设及结论!$B$17:$B$21,0))*(AS$2&gt;YEAR($K98)+1)*AR98</f>
        <v>441.04</v>
      </c>
      <c r="AT98" s="1809">
        <f>AI98*(AT$2&lt;=YEAR($K98))+AS98*$AQ98*(AT$2=YEAR($K98)+1)+INDEX([11]核心假设及结论!$E$17:$E$21,MATCH($D98,[11]核心假设及结论!$B$17:$B$21,0))*(AT$2&gt;YEAR($K98)+1)*AS98</f>
        <v>441.04</v>
      </c>
      <c r="AU98" s="1809">
        <f>AJ98*(AU$2&lt;=YEAR($K98))+AT98*$AQ98*(AU$2=YEAR($K98)+1)+INDEX([11]核心假设及结论!$E$17:$E$21,MATCH($D98,[11]核心假设及结论!$B$17:$B$21,0))*(AU$2&gt;YEAR($K98)+1)*AT98</f>
        <v>462.33</v>
      </c>
      <c r="AV98" s="1809">
        <f>AK98*(AV$2&lt;=YEAR($K98))+AU98*$AQ98*(AV$2=YEAR($K98)+1)+INDEX([11]核心假设及结论!$E$17:$E$21,MATCH($D98,[11]核心假设及结论!$B$17:$B$21,0))*(AV$2&gt;YEAR($K98)+1)*AU98</f>
        <v>462.33</v>
      </c>
      <c r="AW98" s="1809">
        <f>AL98*(AW$2&lt;=YEAR($K98))+AV98*$AQ98*(AW$2=YEAR($K98)+1)+INDEX([11]核心假设及结论!$E$17:$E$21,MATCH($D98,[11]核心假设及结论!$B$17:$B$21,0))*(AW$2&gt;YEAR($K98)+1)*AV98</f>
        <v>486.67</v>
      </c>
      <c r="AX98" s="1811">
        <f>AM98*(AX$2&lt;=YEAR($K98))+AW98*$AQ98*(AX$2=YEAR($K98)+1)+INDEX([11]核心假设及结论!$E$17:$E$21,MATCH($D98,[11]核心假设及结论!$B$17:$B$21,0))*(AX$2&gt;YEAR($K98)+1)*AW98</f>
        <v>526.14753072931455</v>
      </c>
      <c r="AZ98" s="1746">
        <f t="shared" si="40"/>
        <v>47608</v>
      </c>
      <c r="BA98" s="1817">
        <f t="shared" si="41"/>
        <v>45658</v>
      </c>
      <c r="BB98" s="1817">
        <f t="shared" si="42"/>
        <v>45782</v>
      </c>
      <c r="BC98" s="1817">
        <f t="shared" si="43"/>
        <v>46022</v>
      </c>
      <c r="BD98" s="1818">
        <f t="shared" si="44"/>
        <v>125</v>
      </c>
      <c r="BE98" s="1818">
        <f t="shared" si="45"/>
        <v>240</v>
      </c>
      <c r="BG98" s="1777">
        <f t="shared" si="58"/>
        <v>180.31865621917808</v>
      </c>
      <c r="BH98" s="1777">
        <f t="shared" si="56"/>
        <v>172.53484800000001</v>
      </c>
      <c r="BI98" s="1777">
        <f t="shared" si="56"/>
        <v>178.01121928767125</v>
      </c>
      <c r="BJ98" s="1777">
        <f t="shared" si="56"/>
        <v>180.863496</v>
      </c>
      <c r="BK98" s="1777">
        <f t="shared" si="55"/>
        <v>187.12441084931507</v>
      </c>
      <c r="BL98" s="1777">
        <f t="shared" si="55"/>
        <v>200.54000647976406</v>
      </c>
      <c r="BM98" s="1777">
        <f t="shared" si="55"/>
        <v>70.489354116886247</v>
      </c>
      <c r="BO98" s="1739">
        <f t="shared" si="46"/>
        <v>2030</v>
      </c>
      <c r="BP98" s="1742">
        <f>_xlfn.IFNA(INDEX($AR98:$AX98,MATCH(BO98,$AR$2:$AX$2,0))*12/365*[11]核心假设及结论!$C$70*$H98,0)</f>
        <v>156481.07178082192</v>
      </c>
      <c r="BR98" s="1739">
        <f t="shared" si="51"/>
        <v>2037</v>
      </c>
      <c r="BS98" s="1742">
        <f>_xlfn.IFNA(INDEX($AR98:$AX98,MATCH(BR98,$AR$2:$AX$2,0))*12/365*[11]核心假设及结论!$C$70*$H98,0)</f>
        <v>0</v>
      </c>
      <c r="BU98" s="1739">
        <f t="shared" si="52"/>
        <v>2044</v>
      </c>
      <c r="BV98" s="1742">
        <f>_xlfn.IFNA(INDEX($AR98:$AX98,MATCH(BU98,$AR$2:$AX$2,0))*12/365*[11]核心假设及结论!$C$70*$H98,0)</f>
        <v>0</v>
      </c>
      <c r="BX98" s="1739">
        <f t="shared" si="53"/>
        <v>2051</v>
      </c>
      <c r="BY98" s="1742">
        <f>_xlfn.IFNA(INDEX($AR98:$AX98,MATCH(BX98,$AR$2:$AX$2,0))*12/365*[11]核心假设及结论!$C$70*$H98,0)</f>
        <v>0</v>
      </c>
      <c r="CA98" s="1739">
        <f t="shared" si="54"/>
        <v>2058</v>
      </c>
      <c r="CB98" s="1742">
        <f>_xlfn.IFNA(INDEX($AR98:$AX98,MATCH(CA98,$AR$2:$AX$2,0))*12/365*[11]核心假设及结论!$C$70*$H98,0)</f>
        <v>0</v>
      </c>
    </row>
    <row r="99" spans="1:80" ht="30" customHeight="1">
      <c r="A99" s="1756" t="s">
        <v>1666</v>
      </c>
      <c r="B99" s="1757" t="s">
        <v>1880</v>
      </c>
      <c r="C99" s="1756" t="s">
        <v>1881</v>
      </c>
      <c r="D99" s="1756" t="s">
        <v>1698</v>
      </c>
      <c r="E99" s="1758" t="s">
        <v>1698</v>
      </c>
      <c r="F99" s="1759"/>
      <c r="G99" s="1760" t="s">
        <v>1661</v>
      </c>
      <c r="H99" s="1761">
        <v>325</v>
      </c>
      <c r="I99" s="1761" t="s">
        <v>1782</v>
      </c>
      <c r="J99" s="1773">
        <v>45412</v>
      </c>
      <c r="K99" s="1773">
        <v>46506</v>
      </c>
      <c r="L99" s="1764">
        <f t="shared" si="36"/>
        <v>36</v>
      </c>
      <c r="M99" s="1774">
        <f t="shared" si="47"/>
        <v>199836</v>
      </c>
      <c r="N99" s="1775">
        <f t="shared" si="48"/>
        <v>501.88</v>
      </c>
      <c r="O99" s="1760">
        <v>163111</v>
      </c>
      <c r="P99" s="1776">
        <v>0.13</v>
      </c>
      <c r="Q99" s="1783">
        <f t="shared" si="37"/>
        <v>95</v>
      </c>
      <c r="R99" s="1784">
        <v>30875</v>
      </c>
      <c r="S99" s="1777">
        <f t="shared" si="38"/>
        <v>18</v>
      </c>
      <c r="T99" s="1784">
        <v>5850</v>
      </c>
      <c r="U99" s="1777"/>
      <c r="V99" s="1785">
        <v>1650003.73833333</v>
      </c>
      <c r="W99" s="1785">
        <f t="shared" si="39"/>
        <v>5076.9345794871697</v>
      </c>
      <c r="X99" s="1786">
        <f t="shared" si="59"/>
        <v>0.1175670063608131</v>
      </c>
      <c r="Y99" s="1789">
        <f>VLOOKUP(E99,[11]核心假设及结论!$C$25:$E$45,3,0)</f>
        <v>0.2</v>
      </c>
      <c r="Z99" s="1790">
        <f t="shared" si="33"/>
        <v>163111</v>
      </c>
      <c r="AA99" s="1790">
        <f t="shared" si="33"/>
        <v>168051</v>
      </c>
      <c r="AB99" s="1790">
        <f t="shared" si="33"/>
        <v>172994.25</v>
      </c>
      <c r="AC99" s="1790">
        <f t="shared" si="32"/>
        <v>0</v>
      </c>
      <c r="AD99" s="1790">
        <f t="shared" si="32"/>
        <v>0</v>
      </c>
      <c r="AE99" s="1790">
        <f t="shared" si="32"/>
        <v>0</v>
      </c>
      <c r="AF99" s="1790">
        <f t="shared" si="32"/>
        <v>0</v>
      </c>
      <c r="AG99" s="1794">
        <v>501.88</v>
      </c>
      <c r="AH99" s="1794">
        <v>517.08000000000004</v>
      </c>
      <c r="AI99" s="1794">
        <v>532.29</v>
      </c>
      <c r="AJ99" s="1794">
        <v>0</v>
      </c>
      <c r="AK99" s="1794">
        <v>0</v>
      </c>
      <c r="AL99" s="1794">
        <v>0</v>
      </c>
      <c r="AM99" s="1794">
        <v>0</v>
      </c>
      <c r="AN99" s="1797"/>
      <c r="AO99" s="1797"/>
      <c r="AP99" s="1808">
        <f t="shared" si="49"/>
        <v>0.58783503180406549</v>
      </c>
      <c r="AQ99" s="1812">
        <f>IF(AP99&gt;[11]核心假设及结论!$B$62,[11]核心假设及结论!$D$62,IF(AP99&lt;=[11]核心假设及结论!$B$61,[11]核心假设及结论!$D$60,[11]核心假设及结论!$D$61))</f>
        <v>1.0811176582269599</v>
      </c>
      <c r="AR99" s="1809">
        <f t="shared" si="50"/>
        <v>501.88</v>
      </c>
      <c r="AS99" s="1809">
        <f>AH99*(AS$2&lt;=YEAR($K99))+AR99*$AQ99*(AS$2=YEAR($K99)+1)+INDEX([11]核心假设及结论!$E$17:$E$21,MATCH($D99,[11]核心假设及结论!$B$17:$B$21,0))*(AS$2&gt;YEAR($K99)+1)*AR99</f>
        <v>517.08000000000004</v>
      </c>
      <c r="AT99" s="1809">
        <f>AI99*(AT$2&lt;=YEAR($K99))+AS99*$AQ99*(AT$2=YEAR($K99)+1)+INDEX([11]核心假设及结论!$E$17:$E$21,MATCH($D99,[11]核心假设及结论!$B$17:$B$21,0))*(AT$2&gt;YEAR($K99)+1)*AS99</f>
        <v>532.29</v>
      </c>
      <c r="AU99" s="1811">
        <f>AJ99*(AU$2&lt;=YEAR($K99))+AT99*$AQ99*(AU$2=YEAR($K99)+1)+INDEX([11]核心假设及结论!$E$17:$E$21,MATCH($D99,[11]核心假设及结论!$B$17:$B$21,0))*(AU$2&gt;YEAR($K99)+1)*AT99</f>
        <v>575.46811829762851</v>
      </c>
      <c r="AV99" s="1809">
        <f>AK99*(AV$2&lt;=YEAR($K99))+AU99*$AQ99*(AV$2=YEAR($K99)+1)+INDEX([11]核心假设及结论!$E$17:$E$21,MATCH($D99,[11]核心假设及结论!$B$17:$B$21,0))*(AV$2&gt;YEAR($K99)+1)*AU99</f>
        <v>593.08745894967433</v>
      </c>
      <c r="AW99" s="1809">
        <f>AL99*(AW$2&lt;=YEAR($K99))+AV99*$AQ99*(AW$2=YEAR($K99)+1)+INDEX([11]核心假设及结论!$E$17:$E$21,MATCH($D99,[11]核心假设及结论!$B$17:$B$21,0))*(AW$2&gt;YEAR($K99)+1)*AV99</f>
        <v>611.24625809671238</v>
      </c>
      <c r="AX99" s="1809">
        <f>AM99*(AX$2&lt;=YEAR($K99))+AW99*$AQ99*(AX$2=YEAR($K99)+1)+INDEX([11]核心假设及结论!$E$17:$E$21,MATCH($D99,[11]核心假设及结论!$B$17:$B$21,0))*(AX$2&gt;YEAR($K99)+1)*AW99</f>
        <v>629.96103255816092</v>
      </c>
      <c r="AZ99" s="1746">
        <f t="shared" si="40"/>
        <v>46506</v>
      </c>
      <c r="BA99" s="1817">
        <f t="shared" si="41"/>
        <v>45658</v>
      </c>
      <c r="BB99" s="1817">
        <f t="shared" si="42"/>
        <v>45776</v>
      </c>
      <c r="BC99" s="1817">
        <f t="shared" si="43"/>
        <v>46022</v>
      </c>
      <c r="BD99" s="1818">
        <f t="shared" si="44"/>
        <v>119</v>
      </c>
      <c r="BE99" s="1818">
        <f t="shared" si="45"/>
        <v>246</v>
      </c>
      <c r="BG99" s="1777">
        <f t="shared" si="58"/>
        <v>199.7285095890411</v>
      </c>
      <c r="BH99" s="1777">
        <f t="shared" si="56"/>
        <v>205.65913808219176</v>
      </c>
      <c r="BI99" s="1777">
        <f t="shared" si="56"/>
        <v>218.94243882047803</v>
      </c>
      <c r="BJ99" s="1777">
        <f t="shared" si="56"/>
        <v>229.06379775842382</v>
      </c>
      <c r="BK99" s="1777">
        <f t="shared" si="55"/>
        <v>236.07713690863829</v>
      </c>
      <c r="BL99" s="1777">
        <f t="shared" si="55"/>
        <v>243.30520630657091</v>
      </c>
      <c r="BM99" s="1777">
        <f t="shared" si="55"/>
        <v>80.099976769929441</v>
      </c>
      <c r="BO99" s="1739">
        <f t="shared" si="46"/>
        <v>2027</v>
      </c>
      <c r="BP99" s="1742">
        <f>_xlfn.IFNA(INDEX($AR99:$AX99,MATCH(BO99,$AR$2:$AX$2,0))*12/365*[11]核心假设及结论!$C$70*$H99,0)</f>
        <v>170624.46575342468</v>
      </c>
      <c r="BR99" s="1739">
        <f t="shared" si="51"/>
        <v>2030</v>
      </c>
      <c r="BS99" s="1742">
        <f>_xlfn.IFNA(INDEX($AR99:$AX99,MATCH(BR99,$AR$2:$AX$2,0))*12/365*[11]核心假设及结论!$C$70*$H99,0)</f>
        <v>195933.73204743932</v>
      </c>
      <c r="BU99" s="1739">
        <f t="shared" si="52"/>
        <v>2033</v>
      </c>
      <c r="BV99" s="1742">
        <f>_xlfn.IFNA(INDEX($AR99:$AX99,MATCH(BU99,$AR$2:$AX$2,0))*12/365*[11]核心假设及结论!$C$70*$H99,0)</f>
        <v>0</v>
      </c>
      <c r="BX99" s="1739">
        <f t="shared" si="53"/>
        <v>2036</v>
      </c>
      <c r="BY99" s="1742">
        <f>_xlfn.IFNA(INDEX($AR99:$AX99,MATCH(BX99,$AR$2:$AX$2,0))*12/365*[11]核心假设及结论!$C$70*$H99,0)</f>
        <v>0</v>
      </c>
      <c r="CA99" s="1739">
        <f t="shared" si="54"/>
        <v>2039</v>
      </c>
      <c r="CB99" s="1742">
        <f>_xlfn.IFNA(INDEX($AR99:$AX99,MATCH(CA99,$AR$2:$AX$2,0))*12/365*[11]核心假设及结论!$C$70*$H99,0)</f>
        <v>0</v>
      </c>
    </row>
    <row r="100" spans="1:80" ht="30" customHeight="1">
      <c r="A100" s="1756" t="s">
        <v>1687</v>
      </c>
      <c r="B100" s="1757" t="s">
        <v>1882</v>
      </c>
      <c r="C100" s="1756" t="s">
        <v>1883</v>
      </c>
      <c r="D100" s="1756" t="s">
        <v>1676</v>
      </c>
      <c r="E100" s="1758" t="s">
        <v>1677</v>
      </c>
      <c r="F100" s="1759"/>
      <c r="G100" s="1760" t="s">
        <v>1661</v>
      </c>
      <c r="H100" s="1761">
        <v>323</v>
      </c>
      <c r="I100" s="1761" t="s">
        <v>1782</v>
      </c>
      <c r="J100" s="1773">
        <v>44378</v>
      </c>
      <c r="K100" s="1773">
        <v>45838</v>
      </c>
      <c r="L100" s="1764">
        <f t="shared" si="36"/>
        <v>48</v>
      </c>
      <c r="M100" s="1774">
        <f t="shared" si="47"/>
        <v>208273.63</v>
      </c>
      <c r="N100" s="1775">
        <f t="shared" si="48"/>
        <v>532.08000000000004</v>
      </c>
      <c r="O100" s="1760">
        <v>171861.84</v>
      </c>
      <c r="P100" s="1776">
        <v>0.09</v>
      </c>
      <c r="Q100" s="1783">
        <f t="shared" si="37"/>
        <v>95</v>
      </c>
      <c r="R100" s="1784">
        <v>30685</v>
      </c>
      <c r="S100" s="1777">
        <f t="shared" si="38"/>
        <v>17.73</v>
      </c>
      <c r="T100" s="1777">
        <v>5726.79</v>
      </c>
      <c r="U100" s="1777"/>
      <c r="V100" s="1785">
        <v>950172.35499999998</v>
      </c>
      <c r="W100" s="1785">
        <f t="shared" si="39"/>
        <v>2941.7100773993807</v>
      </c>
      <c r="X100" s="1786">
        <f t="shared" si="59"/>
        <v>0.21316852561975458</v>
      </c>
      <c r="Y100" s="1789">
        <f>VLOOKUP(E100,[11]核心假设及结论!$C$25:$E$45,3,0)</f>
        <v>0.25</v>
      </c>
      <c r="Z100" s="1790">
        <f t="shared" si="33"/>
        <v>185582.87999999998</v>
      </c>
      <c r="AA100" s="1790">
        <f t="shared" si="33"/>
        <v>0</v>
      </c>
      <c r="AB100" s="1790">
        <f t="shared" si="33"/>
        <v>0</v>
      </c>
      <c r="AC100" s="1790">
        <f t="shared" si="32"/>
        <v>0</v>
      </c>
      <c r="AD100" s="1790">
        <f t="shared" si="32"/>
        <v>0</v>
      </c>
      <c r="AE100" s="1790">
        <f t="shared" si="32"/>
        <v>0</v>
      </c>
      <c r="AF100" s="1790">
        <f t="shared" si="32"/>
        <v>0</v>
      </c>
      <c r="AG100" s="1794">
        <v>574.55999999999995</v>
      </c>
      <c r="AH100" s="1794">
        <v>0</v>
      </c>
      <c r="AI100" s="1794">
        <v>0</v>
      </c>
      <c r="AJ100" s="1794">
        <v>0</v>
      </c>
      <c r="AK100" s="1794">
        <v>0</v>
      </c>
      <c r="AL100" s="1794">
        <v>0</v>
      </c>
      <c r="AM100" s="1794">
        <v>0</v>
      </c>
      <c r="AN100" s="1795"/>
      <c r="AO100" s="1795"/>
      <c r="AP100" s="1808">
        <f t="shared" si="49"/>
        <v>0.85267410247901831</v>
      </c>
      <c r="AQ100" s="1808">
        <f>IF(AP100&gt;[11]核心假设及结论!$B$65,[11]核心假设及结论!$D$65,IF(AP100&lt;=[11]核心假设及结论!$B$64,[11]核心假设及结论!$D$63,[11]核心假设及结论!$D$64))</f>
        <v>1</v>
      </c>
      <c r="AR100" s="1809">
        <f t="shared" si="50"/>
        <v>574.55999999999995</v>
      </c>
      <c r="AS100" s="1811">
        <f>AH100*(AS$2&lt;=YEAR($K100))+AR100*$AQ100*(AS$2=YEAR($K100)+1)+INDEX([11]核心假设及结论!$E$17:$E$21,MATCH($D100,[11]核心假设及结论!$B$17:$B$21,0))*(AS$2&gt;YEAR($K100)+1)*AR100</f>
        <v>574.55999999999995</v>
      </c>
      <c r="AT100" s="1809">
        <f>AI100*(AT$2&lt;=YEAR($K100))+AS100*$AQ100*(AT$2=YEAR($K100)+1)+INDEX([11]核心假设及结论!$E$17:$E$21,MATCH($D100,[11]核心假设及结论!$B$17:$B$21,0))*(AT$2&gt;YEAR($K100)+1)*AS100</f>
        <v>594.42546227256355</v>
      </c>
      <c r="AU100" s="1809">
        <f>AJ100*(AU$2&lt;=YEAR($K100))+AT100*$AQ100*(AU$2=YEAR($K100)+1)+INDEX([11]核心假设及结论!$E$17:$E$21,MATCH($D100,[11]核心假设及结论!$B$17:$B$21,0))*(AU$2&gt;YEAR($K100)+1)*AT100</f>
        <v>614.97777464137926</v>
      </c>
      <c r="AV100" s="1809">
        <f>AK100*(AV$2&lt;=YEAR($K100))+AU100*$AQ100*(AV$2=YEAR($K100)+1)+INDEX([11]核心假设及结论!$E$17:$E$21,MATCH($D100,[11]核心假设及结论!$B$17:$B$21,0))*(AV$2&gt;YEAR($K100)+1)*AU100</f>
        <v>636.24068500862279</v>
      </c>
      <c r="AW100" s="1809">
        <f>AL100*(AW$2&lt;=YEAR($K100))+AV100*$AQ100*(AW$2=YEAR($K100)+1)+INDEX([11]核心假设及结论!$E$17:$E$21,MATCH($D100,[11]核心假设及结论!$B$17:$B$21,0))*(AW$2&gt;YEAR($K100)+1)*AV100</f>
        <v>658.23876236226522</v>
      </c>
      <c r="AX100" s="1809">
        <f>AM100*(AX$2&lt;=YEAR($K100))+AW100*$AQ100*(AX$2=YEAR($K100)+1)+INDEX([11]核心假设及结论!$E$17:$E$21,MATCH($D100,[11]核心假设及结论!$B$17:$B$21,0))*(AX$2&gt;YEAR($K100)+1)*AW100</f>
        <v>680.99742516518666</v>
      </c>
      <c r="AZ100" s="1746">
        <f t="shared" si="40"/>
        <v>45838</v>
      </c>
      <c r="BA100" s="1817">
        <f t="shared" si="41"/>
        <v>45658</v>
      </c>
      <c r="BB100" s="1817">
        <f t="shared" si="42"/>
        <v>45838</v>
      </c>
      <c r="BC100" s="1817">
        <f t="shared" si="43"/>
        <v>46022</v>
      </c>
      <c r="BD100" s="1818">
        <f t="shared" si="44"/>
        <v>181</v>
      </c>
      <c r="BE100" s="1818">
        <f t="shared" si="45"/>
        <v>184</v>
      </c>
      <c r="BG100" s="1777">
        <f t="shared" si="58"/>
        <v>222.69945599999997</v>
      </c>
      <c r="BH100" s="1777">
        <f t="shared" si="56"/>
        <v>226.58102582065641</v>
      </c>
      <c r="BI100" s="1777">
        <f t="shared" si="56"/>
        <v>234.41508461367889</v>
      </c>
      <c r="BJ100" s="1777">
        <f t="shared" si="56"/>
        <v>242.52000667493073</v>
      </c>
      <c r="BK100" s="1777">
        <f t="shared" si="55"/>
        <v>250.90515712561071</v>
      </c>
      <c r="BL100" s="1777">
        <f t="shared" si="55"/>
        <v>259.58022488680268</v>
      </c>
      <c r="BM100" s="1777">
        <f t="shared" si="55"/>
        <v>130.89255605731168</v>
      </c>
      <c r="BO100" s="1739">
        <f t="shared" si="46"/>
        <v>2025</v>
      </c>
      <c r="BP100" s="1742">
        <f>_xlfn.IFNA(INDEX($AR100:$AX100,MATCH(BO100,$AR$2:$AX$2,0))*12/365*[11]核心假设及结论!$C$70*$H100,0)</f>
        <v>183040.64876712326</v>
      </c>
      <c r="BR100" s="1739">
        <f t="shared" si="51"/>
        <v>2029</v>
      </c>
      <c r="BS100" s="1742">
        <f>_xlfn.IFNA(INDEX($AR100:$AX100,MATCH(BR100,$AR$2:$AX$2,0))*12/365*[11]核心假设及结论!$C$70*$H100,0)</f>
        <v>202690.59411726761</v>
      </c>
      <c r="BU100" s="1739">
        <f t="shared" si="52"/>
        <v>2033</v>
      </c>
      <c r="BV100" s="1742">
        <f>_xlfn.IFNA(INDEX($AR100:$AX100,MATCH(BU100,$AR$2:$AX$2,0))*12/365*[11]核心假设及结论!$C$70*$H100,0)</f>
        <v>0</v>
      </c>
      <c r="BX100" s="1739">
        <f t="shared" si="53"/>
        <v>2037</v>
      </c>
      <c r="BY100" s="1742">
        <f>_xlfn.IFNA(INDEX($AR100:$AX100,MATCH(BX100,$AR$2:$AX$2,0))*12/365*[11]核心假设及结论!$C$70*$H100,0)</f>
        <v>0</v>
      </c>
      <c r="CA100" s="1739">
        <f t="shared" si="54"/>
        <v>2041</v>
      </c>
      <c r="CB100" s="1742">
        <f>_xlfn.IFNA(INDEX($AR100:$AX100,MATCH(CA100,$AR$2:$AX$2,0))*12/365*[11]核心假设及结论!$C$70*$H100,0)</f>
        <v>0</v>
      </c>
    </row>
    <row r="101" spans="1:80" ht="30" customHeight="1">
      <c r="A101" s="1756" t="s">
        <v>1666</v>
      </c>
      <c r="B101" s="1757" t="s">
        <v>1884</v>
      </c>
      <c r="C101" s="1756" t="s">
        <v>1885</v>
      </c>
      <c r="D101" s="1756" t="s">
        <v>1698</v>
      </c>
      <c r="E101" s="1758" t="s">
        <v>1698</v>
      </c>
      <c r="F101" s="1759"/>
      <c r="G101" s="1760" t="s">
        <v>1661</v>
      </c>
      <c r="H101" s="1761">
        <v>323</v>
      </c>
      <c r="I101" s="1761" t="s">
        <v>1782</v>
      </c>
      <c r="J101" s="1773">
        <v>45170</v>
      </c>
      <c r="K101" s="1773">
        <v>46323</v>
      </c>
      <c r="L101" s="1764">
        <f t="shared" si="36"/>
        <v>38</v>
      </c>
      <c r="M101" s="1774">
        <f t="shared" si="47"/>
        <v>170804.49950000001</v>
      </c>
      <c r="N101" s="1775">
        <f t="shared" si="48"/>
        <v>415.19</v>
      </c>
      <c r="O101" s="1760">
        <v>134106.37</v>
      </c>
      <c r="P101" s="1776">
        <v>0.09</v>
      </c>
      <c r="Q101" s="1783">
        <f t="shared" si="37"/>
        <v>95</v>
      </c>
      <c r="R101" s="1784">
        <v>30685</v>
      </c>
      <c r="S101" s="1777">
        <f t="shared" si="38"/>
        <v>18.616499999999998</v>
      </c>
      <c r="T101" s="1777">
        <v>6013.1295</v>
      </c>
      <c r="U101" s="1777"/>
      <c r="V101" s="1785">
        <v>1822708.4716666699</v>
      </c>
      <c r="W101" s="1785">
        <f t="shared" si="39"/>
        <v>5643.0602837977394</v>
      </c>
      <c r="X101" s="1786">
        <f t="shared" si="59"/>
        <v>9.0410162986358483E-2</v>
      </c>
      <c r="Y101" s="1789">
        <f>VLOOKUP(E101,[11]核心假设及结论!$C$25:$E$45,3,0)</f>
        <v>0.2</v>
      </c>
      <c r="Z101" s="1790">
        <f t="shared" si="33"/>
        <v>140811.85</v>
      </c>
      <c r="AA101" s="1790">
        <f t="shared" si="33"/>
        <v>147824.18000000002</v>
      </c>
      <c r="AB101" s="1790">
        <f t="shared" si="33"/>
        <v>0</v>
      </c>
      <c r="AC101" s="1790">
        <f t="shared" si="32"/>
        <v>0</v>
      </c>
      <c r="AD101" s="1790">
        <f t="shared" si="32"/>
        <v>0</v>
      </c>
      <c r="AE101" s="1790">
        <f t="shared" si="32"/>
        <v>0</v>
      </c>
      <c r="AF101" s="1790">
        <f t="shared" si="32"/>
        <v>0</v>
      </c>
      <c r="AG101" s="1794">
        <v>435.95</v>
      </c>
      <c r="AH101" s="1794">
        <v>457.66</v>
      </c>
      <c r="AI101" s="1794">
        <v>0</v>
      </c>
      <c r="AJ101" s="1794">
        <v>0</v>
      </c>
      <c r="AK101" s="1794">
        <v>0</v>
      </c>
      <c r="AL101" s="1794">
        <v>0</v>
      </c>
      <c r="AM101" s="1794">
        <v>0</v>
      </c>
      <c r="AN101" s="1795"/>
      <c r="AO101" s="1795"/>
      <c r="AP101" s="1808">
        <f t="shared" si="49"/>
        <v>0.45205081493179239</v>
      </c>
      <c r="AQ101" s="1812">
        <f>IF(AP101&gt;[11]核心假设及结论!$B$62,[11]核心假设及结论!$D$62,IF(AP101&lt;=[11]核心假设及结论!$B$61,[11]核心假设及结论!$D$60,[11]核心假设及结论!$D$61))</f>
        <v>1.0811176582269599</v>
      </c>
      <c r="AR101" s="1809">
        <f t="shared" si="50"/>
        <v>435.95</v>
      </c>
      <c r="AS101" s="1809">
        <f>AH101*(AS$2&lt;=YEAR($K101))+AR101*$AQ101*(AS$2=YEAR($K101)+1)+INDEX([11]核心假设及结论!$E$17:$E$21,MATCH($D101,[11]核心假设及结论!$B$17:$B$21,0))*(AS$2&gt;YEAR($K101)+1)*AR101</f>
        <v>457.66</v>
      </c>
      <c r="AT101" s="1811">
        <f>AI101*(AT$2&lt;=YEAR($K101))+AS101*$AQ101*(AT$2=YEAR($K101)+1)+INDEX([11]核心假设及结论!$E$17:$E$21,MATCH($D101,[11]核心假设及结论!$B$17:$B$21,0))*(AT$2&gt;YEAR($K101)+1)*AS101</f>
        <v>494.78430746415052</v>
      </c>
      <c r="AU101" s="1809">
        <f>AJ101*(AU$2&lt;=YEAR($K101))+AT101*$AQ101*(AU$2=YEAR($K101)+1)+INDEX([11]核心假设及结论!$E$17:$E$21,MATCH($D101,[11]核心假设及结论!$B$17:$B$21,0))*(AU$2&gt;YEAR($K101)+1)*AT101</f>
        <v>509.93331917358574</v>
      </c>
      <c r="AV101" s="1809">
        <f>AK101*(AV$2&lt;=YEAR($K101))+AU101*$AQ101*(AV$2=YEAR($K101)+1)+INDEX([11]核心假设及结论!$E$17:$E$21,MATCH($D101,[11]核心假设及结论!$B$17:$B$21,0))*(AV$2&gt;YEAR($K101)+1)*AU101</f>
        <v>525.54615431539457</v>
      </c>
      <c r="AW101" s="1809">
        <f>AL101*(AW$2&lt;=YEAR($K101))+AV101*$AQ101*(AW$2=YEAR($K101)+1)+INDEX([11]核心假设及结论!$E$17:$E$21,MATCH($D101,[11]核心假设及结论!$B$17:$B$21,0))*(AW$2&gt;YEAR($K101)+1)*AV101</f>
        <v>541.63701395962335</v>
      </c>
      <c r="AX101" s="1809">
        <f>AM101*(AX$2&lt;=YEAR($K101))+AW101*$AQ101*(AX$2=YEAR($K101)+1)+INDEX([11]核心假设及结论!$E$17:$E$21,MATCH($D101,[11]核心假设及结论!$B$17:$B$21,0))*(AX$2&gt;YEAR($K101)+1)*AW101</f>
        <v>558.22053397623665</v>
      </c>
      <c r="AZ101" s="1746">
        <f t="shared" si="40"/>
        <v>46323</v>
      </c>
      <c r="BA101" s="1817">
        <f t="shared" si="41"/>
        <v>45658</v>
      </c>
      <c r="BB101" s="1817">
        <f t="shared" si="42"/>
        <v>45958</v>
      </c>
      <c r="BC101" s="1817">
        <f t="shared" si="43"/>
        <v>46022</v>
      </c>
      <c r="BD101" s="1818">
        <f t="shared" si="44"/>
        <v>301</v>
      </c>
      <c r="BE101" s="1818">
        <f t="shared" si="45"/>
        <v>64</v>
      </c>
      <c r="BG101" s="1777">
        <f t="shared" si="58"/>
        <v>170.44969107945204</v>
      </c>
      <c r="BH101" s="1777">
        <f t="shared" si="56"/>
        <v>179.91208564569507</v>
      </c>
      <c r="BI101" s="1777">
        <f t="shared" si="56"/>
        <v>192.80796591301961</v>
      </c>
      <c r="BJ101" s="1777">
        <f t="shared" si="56"/>
        <v>198.71124556280995</v>
      </c>
      <c r="BK101" s="1777">
        <f t="shared" si="55"/>
        <v>204.79526831861565</v>
      </c>
      <c r="BL101" s="1777">
        <f t="shared" si="55"/>
        <v>211.06556806538049</v>
      </c>
      <c r="BM101" s="1777">
        <f t="shared" si="55"/>
        <v>178.42808210883831</v>
      </c>
      <c r="BO101" s="1739">
        <f t="shared" si="46"/>
        <v>2026</v>
      </c>
      <c r="BP101" s="1742">
        <f>_xlfn.IFNA(INDEX($AR101:$AX101,MATCH(BO101,$AR$2:$AX$2,0))*12/365*[11]核心假设及结论!$C$70*$H101,0)</f>
        <v>145799.19123287674</v>
      </c>
      <c r="BR101" s="1739">
        <f t="shared" si="51"/>
        <v>2029</v>
      </c>
      <c r="BS101" s="1742">
        <f>_xlfn.IFNA(INDEX($AR101:$AX101,MATCH(BR101,$AR$2:$AX$2,0))*12/365*[11]核心假设及结论!$C$70*$H101,0)</f>
        <v>167426.0460925865</v>
      </c>
      <c r="BU101" s="1739">
        <f t="shared" si="52"/>
        <v>2032</v>
      </c>
      <c r="BV101" s="1742">
        <f>_xlfn.IFNA(INDEX($AR101:$AX101,MATCH(BU101,$AR$2:$AX$2,0))*12/365*[11]核心假设及结论!$C$70*$H101,0)</f>
        <v>0</v>
      </c>
      <c r="BX101" s="1739">
        <f t="shared" si="53"/>
        <v>2035</v>
      </c>
      <c r="BY101" s="1742">
        <f>_xlfn.IFNA(INDEX($AR101:$AX101,MATCH(BX101,$AR$2:$AX$2,0))*12/365*[11]核心假设及结论!$C$70*$H101,0)</f>
        <v>0</v>
      </c>
      <c r="CA101" s="1739">
        <f t="shared" si="54"/>
        <v>2038</v>
      </c>
      <c r="CB101" s="1742">
        <f>_xlfn.IFNA(INDEX($AR101:$AX101,MATCH(CA101,$AR$2:$AX$2,0))*12/365*[11]核心假设及结论!$C$70*$H101,0)</f>
        <v>0</v>
      </c>
    </row>
    <row r="102" spans="1:80" ht="30" customHeight="1">
      <c r="A102" s="1756" t="s">
        <v>1687</v>
      </c>
      <c r="B102" s="1757" t="s">
        <v>1886</v>
      </c>
      <c r="C102" s="1756" t="s">
        <v>1887</v>
      </c>
      <c r="D102" s="1756" t="s">
        <v>1685</v>
      </c>
      <c r="E102" s="1758" t="s">
        <v>1888</v>
      </c>
      <c r="F102" s="1762"/>
      <c r="G102" s="1760" t="s">
        <v>1661</v>
      </c>
      <c r="H102" s="1761">
        <v>322</v>
      </c>
      <c r="I102" s="1761" t="s">
        <v>1782</v>
      </c>
      <c r="J102" s="1773">
        <v>44691</v>
      </c>
      <c r="K102" s="1773">
        <v>46151</v>
      </c>
      <c r="L102" s="1764">
        <f t="shared" si="36"/>
        <v>48</v>
      </c>
      <c r="M102" s="1774">
        <f t="shared" si="47"/>
        <v>252033.01445000002</v>
      </c>
      <c r="N102" s="1775">
        <f t="shared" si="48"/>
        <v>669.09</v>
      </c>
      <c r="O102" s="1760">
        <v>215446.98</v>
      </c>
      <c r="P102" s="1776">
        <v>0.17</v>
      </c>
      <c r="Q102" s="1783">
        <f t="shared" si="37"/>
        <v>95</v>
      </c>
      <c r="R102" s="1784">
        <v>30590</v>
      </c>
      <c r="S102" s="1777">
        <f t="shared" si="38"/>
        <v>18.621224999999999</v>
      </c>
      <c r="T102" s="1784">
        <v>5996.0344500000001</v>
      </c>
      <c r="U102" s="1777"/>
      <c r="V102" s="1785">
        <v>1132111.24166667</v>
      </c>
      <c r="W102" s="1785">
        <f t="shared" si="39"/>
        <v>3515.8734213250618</v>
      </c>
      <c r="X102" s="1786">
        <f>(N102+Q102+S102)*H102/V102</f>
        <v>0.22262212861605579</v>
      </c>
      <c r="Y102" s="1789">
        <f>VLOOKUP(E102,[11]核心假设及结论!$C$25:$E$45,3,0)</f>
        <v>0.3</v>
      </c>
      <c r="Z102" s="1790">
        <f t="shared" si="33"/>
        <v>215446.98</v>
      </c>
      <c r="AA102" s="1790">
        <f t="shared" si="33"/>
        <v>215446.98</v>
      </c>
      <c r="AB102" s="1790">
        <f t="shared" si="33"/>
        <v>0</v>
      </c>
      <c r="AC102" s="1790">
        <f t="shared" si="32"/>
        <v>0</v>
      </c>
      <c r="AD102" s="1790">
        <f t="shared" si="32"/>
        <v>0</v>
      </c>
      <c r="AE102" s="1790">
        <f t="shared" si="32"/>
        <v>0</v>
      </c>
      <c r="AF102" s="1790">
        <f t="shared" si="32"/>
        <v>0</v>
      </c>
      <c r="AG102" s="1794">
        <v>669.09</v>
      </c>
      <c r="AH102" s="1794">
        <v>669.09</v>
      </c>
      <c r="AI102" s="1794">
        <v>0</v>
      </c>
      <c r="AJ102" s="1794">
        <v>0</v>
      </c>
      <c r="AK102" s="1794">
        <v>0</v>
      </c>
      <c r="AL102" s="1794">
        <v>0</v>
      </c>
      <c r="AM102" s="1794">
        <v>0</v>
      </c>
      <c r="AN102" s="1797"/>
      <c r="AO102" s="1797"/>
      <c r="AP102" s="1808">
        <f t="shared" si="49"/>
        <v>0.74207376205351938</v>
      </c>
      <c r="AQ102" s="1810">
        <f>IF(AP102&gt;[11]核心假设及结论!$B$59,[11]核心假设及结论!$D$59,IF(AP102&lt;=[11]核心假设及结论!$B$58,[11]核心假设及结论!$D$57,[11]核心假设及结论!$D$58))</f>
        <v>1.0342640124442799</v>
      </c>
      <c r="AR102" s="1809">
        <f t="shared" si="50"/>
        <v>669.09</v>
      </c>
      <c r="AS102" s="1809">
        <f>AH102*(AS$2&lt;=YEAR($K102))+AR102*$AQ102*(AS$2=YEAR($K102)+1)+INDEX([11]核心假设及结论!$E$17:$E$21,MATCH($D102,[11]核心假设及结论!$B$17:$B$21,0))*(AS$2&gt;YEAR($K102)+1)*AR102</f>
        <v>669.09</v>
      </c>
      <c r="AT102" s="1811">
        <f>AI102*(AT$2&lt;=YEAR($K102))+AS102*$AQ102*(AT$2=YEAR($K102)+1)+INDEX([11]核心假设及结论!$E$17:$E$21,MATCH($D102,[11]核心假设及结论!$B$17:$B$21,0))*(AT$2&gt;YEAR($K102)+1)*AS102</f>
        <v>692.01570808634324</v>
      </c>
      <c r="AU102" s="1809">
        <f>AJ102*(AU$2&lt;=YEAR($K102))+AT102*$AQ102*(AU$2=YEAR($K102)+1)+INDEX([11]核心假设及结论!$E$17:$E$21,MATCH($D102,[11]核心假设及结论!$B$17:$B$21,0))*(AU$2&gt;YEAR($K102)+1)*AT102</f>
        <v>710.75168115178883</v>
      </c>
      <c r="AV102" s="1809">
        <f>AK102*(AV$2&lt;=YEAR($K102))+AU102*$AQ102*(AV$2=YEAR($K102)+1)+INDEX([11]核心假设及结论!$E$17:$E$21,MATCH($D102,[11]核心假设及结论!$B$17:$B$21,0))*(AV$2&gt;YEAR($K102)+1)*AU102</f>
        <v>729.99492115150656</v>
      </c>
      <c r="AW102" s="1809">
        <f>AL102*(AW$2&lt;=YEAR($K102))+AV102*$AQ102*(AW$2=YEAR($K102)+1)+INDEX([11]核心假设及结论!$E$17:$E$21,MATCH($D102,[11]核心假设及结论!$B$17:$B$21,0))*(AW$2&gt;YEAR($K102)+1)*AV102</f>
        <v>749.75916207954663</v>
      </c>
      <c r="AX102" s="1809">
        <f>AM102*(AX$2&lt;=YEAR($K102))+AW102*$AQ102*(AX$2=YEAR($K102)+1)+INDEX([11]核心假设及结论!$E$17:$E$21,MATCH($D102,[11]核心假设及结论!$B$17:$B$21,0))*(AX$2&gt;YEAR($K102)+1)*AW102</f>
        <v>770.05850977085765</v>
      </c>
      <c r="AZ102" s="1746">
        <f t="shared" si="40"/>
        <v>46151</v>
      </c>
      <c r="BA102" s="1817">
        <f t="shared" si="41"/>
        <v>45658</v>
      </c>
      <c r="BB102" s="1817">
        <f t="shared" si="42"/>
        <v>45786</v>
      </c>
      <c r="BC102" s="1817">
        <f t="shared" si="43"/>
        <v>46022</v>
      </c>
      <c r="BD102" s="1818">
        <f t="shared" si="44"/>
        <v>129</v>
      </c>
      <c r="BE102" s="1818">
        <f t="shared" si="45"/>
        <v>236</v>
      </c>
      <c r="BG102" s="1777">
        <f t="shared" si="58"/>
        <v>258.53637600000008</v>
      </c>
      <c r="BH102" s="1777">
        <f t="shared" si="56"/>
        <v>264.264059536101</v>
      </c>
      <c r="BI102" s="1777">
        <f t="shared" si="56"/>
        <v>272.07580351751426</v>
      </c>
      <c r="BJ102" s="1777">
        <f t="shared" si="56"/>
        <v>279.4421174131341</v>
      </c>
      <c r="BK102" s="1777">
        <f t="shared" si="55"/>
        <v>287.00787050807736</v>
      </c>
      <c r="BL102" s="1777">
        <f t="shared" si="55"/>
        <v>294.77846251715255</v>
      </c>
      <c r="BM102" s="1777">
        <f t="shared" si="55"/>
        <v>105.16172179351852</v>
      </c>
      <c r="BO102" s="1739">
        <f t="shared" si="46"/>
        <v>2026</v>
      </c>
      <c r="BP102" s="1742">
        <f>_xlfn.IFNA(INDEX($AR102:$AX102,MATCH(BO102,$AR$2:$AX$2,0))*12/365*[11]核心假设及结论!$C$70*$H102,0)</f>
        <v>212495.6515068493</v>
      </c>
      <c r="BR102" s="1739">
        <f t="shared" si="51"/>
        <v>2030</v>
      </c>
      <c r="BS102" s="1742">
        <f>_xlfn.IFNA(INDEX($AR102:$AX102,MATCH(BR102,$AR$2:$AX$2,0))*12/365*[11]核心假设及结论!$C$70*$H102,0)</f>
        <v>238115.2933377015</v>
      </c>
      <c r="BU102" s="1739">
        <f t="shared" si="52"/>
        <v>2034</v>
      </c>
      <c r="BV102" s="1742">
        <f>_xlfn.IFNA(INDEX($AR102:$AX102,MATCH(BU102,$AR$2:$AX$2,0))*12/365*[11]核心假设及结论!$C$70*$H102,0)</f>
        <v>0</v>
      </c>
      <c r="BX102" s="1739">
        <f t="shared" si="53"/>
        <v>2038</v>
      </c>
      <c r="BY102" s="1742">
        <f>_xlfn.IFNA(INDEX($AR102:$AX102,MATCH(BX102,$AR$2:$AX$2,0))*12/365*[11]核心假设及结论!$C$70*$H102,0)</f>
        <v>0</v>
      </c>
      <c r="CA102" s="1739">
        <f t="shared" si="54"/>
        <v>2042</v>
      </c>
      <c r="CB102" s="1742">
        <f>_xlfn.IFNA(INDEX($AR102:$AX102,MATCH(CA102,$AR$2:$AX$2,0))*12/365*[11]核心假设及结论!$C$70*$H102,0)</f>
        <v>0</v>
      </c>
    </row>
    <row r="103" spans="1:80" ht="30" customHeight="1">
      <c r="A103" s="1756" t="s">
        <v>1666</v>
      </c>
      <c r="B103" s="1757" t="s">
        <v>1889</v>
      </c>
      <c r="C103" s="1756" t="s">
        <v>1890</v>
      </c>
      <c r="D103" s="1756" t="s">
        <v>1698</v>
      </c>
      <c r="E103" s="1758" t="s">
        <v>1698</v>
      </c>
      <c r="F103" s="1759"/>
      <c r="G103" s="1760" t="s">
        <v>1661</v>
      </c>
      <c r="H103" s="1761">
        <v>320</v>
      </c>
      <c r="I103" s="1761" t="s">
        <v>1782</v>
      </c>
      <c r="J103" s="1773">
        <v>45466</v>
      </c>
      <c r="K103" s="1773">
        <v>47291</v>
      </c>
      <c r="L103" s="1764">
        <f t="shared" si="36"/>
        <v>60</v>
      </c>
      <c r="M103" s="1774">
        <f t="shared" si="47"/>
        <v>162694.39999999999</v>
      </c>
      <c r="N103" s="1775">
        <f t="shared" si="48"/>
        <v>395.41999999999996</v>
      </c>
      <c r="O103" s="1760">
        <v>126534.39999999999</v>
      </c>
      <c r="P103" s="1776">
        <v>0.1</v>
      </c>
      <c r="Q103" s="1783">
        <f t="shared" si="37"/>
        <v>95</v>
      </c>
      <c r="R103" s="1784">
        <v>30400</v>
      </c>
      <c r="S103" s="1777">
        <f t="shared" si="38"/>
        <v>18</v>
      </c>
      <c r="T103" s="1784">
        <v>5760</v>
      </c>
      <c r="U103" s="1777"/>
      <c r="V103" s="1785"/>
      <c r="W103" s="1785">
        <f t="shared" si="39"/>
        <v>0</v>
      </c>
      <c r="X103" s="1786" t="e">
        <f>(N103+Q103)*H103/V103</f>
        <v>#DIV/0!</v>
      </c>
      <c r="Y103" s="1789">
        <f>VLOOKUP(E103,[11]核心假设及结论!$C$25:$E$45,3,0)</f>
        <v>0.2</v>
      </c>
      <c r="Z103" s="1790">
        <f t="shared" si="33"/>
        <v>126534.40000000001</v>
      </c>
      <c r="AA103" s="1790">
        <f t="shared" si="33"/>
        <v>130329.59999999999</v>
      </c>
      <c r="AB103" s="1790">
        <f t="shared" si="33"/>
        <v>134224</v>
      </c>
      <c r="AC103" s="1790">
        <f t="shared" si="33"/>
        <v>138310.40000000002</v>
      </c>
      <c r="AD103" s="1790">
        <f t="shared" si="33"/>
        <v>138310.40000000002</v>
      </c>
      <c r="AE103" s="1790">
        <f t="shared" si="33"/>
        <v>0</v>
      </c>
      <c r="AF103" s="1790">
        <f t="shared" si="33"/>
        <v>0</v>
      </c>
      <c r="AG103" s="1794">
        <v>395.42</v>
      </c>
      <c r="AH103" s="1794">
        <v>407.28</v>
      </c>
      <c r="AI103" s="1794">
        <v>419.45</v>
      </c>
      <c r="AJ103" s="1794">
        <v>432.22</v>
      </c>
      <c r="AK103" s="1794">
        <v>432.22</v>
      </c>
      <c r="AL103" s="1794">
        <v>0</v>
      </c>
      <c r="AM103" s="1794">
        <v>0</v>
      </c>
      <c r="AN103" s="1797"/>
      <c r="AO103" s="1797"/>
      <c r="AP103" s="1808">
        <f t="shared" si="49"/>
        <v>1.25</v>
      </c>
      <c r="AQ103" s="1812">
        <f>IF(AP103&gt;[11]核心假设及结论!$B$62,[11]核心假设及结论!$D$62,IF(AP103&lt;=[11]核心假设及结论!$B$61,[11]核心假设及结论!$D$60,[11]核心假设及结论!$D$61))</f>
        <v>1.0489999999999999</v>
      </c>
      <c r="AR103" s="1809">
        <f t="shared" si="50"/>
        <v>395.42</v>
      </c>
      <c r="AS103" s="1809">
        <f>AH103*(AS$2&lt;=YEAR($K103))+AR103*$AQ103*(AS$2=YEAR($K103)+1)+INDEX([11]核心假设及结论!$E$17:$E$21,MATCH($D103,[11]核心假设及结论!$B$17:$B$21,0))*(AS$2&gt;YEAR($K103)+1)*AR103</f>
        <v>407.28</v>
      </c>
      <c r="AT103" s="1809">
        <f>AI103*(AT$2&lt;=YEAR($K103))+AS103*$AQ103*(AT$2=YEAR($K103)+1)+INDEX([11]核心假设及结论!$E$17:$E$21,MATCH($D103,[11]核心假设及结论!$B$17:$B$21,0))*(AT$2&gt;YEAR($K103)+1)*AS103</f>
        <v>419.45</v>
      </c>
      <c r="AU103" s="1809">
        <f>AJ103*(AU$2&lt;=YEAR($K103))+AT103*$AQ103*(AU$2=YEAR($K103)+1)+INDEX([11]核心假设及结论!$E$17:$E$21,MATCH($D103,[11]核心假设及结论!$B$17:$B$21,0))*(AU$2&gt;YEAR($K103)+1)*AT103</f>
        <v>432.22</v>
      </c>
      <c r="AV103" s="1809">
        <f>AK103*(AV$2&lt;=YEAR($K103))+AU103*$AQ103*(AV$2=YEAR($K103)+1)+INDEX([11]核心假设及结论!$E$17:$E$21,MATCH($D103,[11]核心假设及结论!$B$17:$B$21,0))*(AV$2&gt;YEAR($K103)+1)*AU103</f>
        <v>432.22</v>
      </c>
      <c r="AW103" s="1811">
        <f>AL103*(AW$2&lt;=YEAR($K103))+AV103*$AQ103*(AW$2=YEAR($K103)+1)+INDEX([11]核心假设及结论!$E$17:$E$21,MATCH($D103,[11]核心假设及结论!$B$17:$B$21,0))*(AW$2&gt;YEAR($K103)+1)*AV103</f>
        <v>453.39877999999999</v>
      </c>
      <c r="AX103" s="1809">
        <f>AM103*(AX$2&lt;=YEAR($K103))+AW103*$AQ103*(AX$2=YEAR($K103)+1)+INDEX([11]核心假设及结论!$E$17:$E$21,MATCH($D103,[11]核心假设及结论!$B$17:$B$21,0))*(AX$2&gt;YEAR($K103)+1)*AW103</f>
        <v>467.28067423885744</v>
      </c>
      <c r="AZ103" s="1746">
        <f t="shared" si="40"/>
        <v>47291</v>
      </c>
      <c r="BA103" s="1817">
        <f t="shared" si="41"/>
        <v>45658</v>
      </c>
      <c r="BB103" s="1817">
        <f t="shared" si="42"/>
        <v>45830</v>
      </c>
      <c r="BC103" s="1817">
        <f t="shared" si="43"/>
        <v>46022</v>
      </c>
      <c r="BD103" s="1818">
        <f t="shared" si="44"/>
        <v>173</v>
      </c>
      <c r="BE103" s="1818">
        <f t="shared" si="45"/>
        <v>192</v>
      </c>
      <c r="BG103" s="1777">
        <f t="shared" si="58"/>
        <v>154.23693501369866</v>
      </c>
      <c r="BH103" s="1777">
        <f t="shared" si="56"/>
        <v>158.85379331506849</v>
      </c>
      <c r="BI103" s="1777">
        <f t="shared" si="56"/>
        <v>163.64827002739725</v>
      </c>
      <c r="BJ103" s="1777">
        <f t="shared" si="56"/>
        <v>165.97248000000002</v>
      </c>
      <c r="BK103" s="1777">
        <f t="shared" si="55"/>
        <v>170.25047751189041</v>
      </c>
      <c r="BL103" s="1777">
        <f t="shared" si="55"/>
        <v>176.9091980910753</v>
      </c>
      <c r="BM103" s="1777">
        <f t="shared" si="55"/>
        <v>85.047643153522685</v>
      </c>
      <c r="BO103" s="1739">
        <f t="shared" si="46"/>
        <v>2029</v>
      </c>
      <c r="BP103" s="1742">
        <f>_xlfn.IFNA(INDEX($AR103:$AX103,MATCH(BO103,$AR$2:$AX$2,0))*12/365*[11]核心假设及结论!$C$70*$H103,0)</f>
        <v>136415.73698630137</v>
      </c>
      <c r="BR103" s="1739">
        <f t="shared" si="51"/>
        <v>2034</v>
      </c>
      <c r="BS103" s="1742">
        <f>_xlfn.IFNA(INDEX($AR103:$AX103,MATCH(BR103,$AR$2:$AX$2,0))*12/365*[11]核心假设及结论!$C$70*$H103,0)</f>
        <v>0</v>
      </c>
      <c r="BU103" s="1739">
        <f t="shared" si="52"/>
        <v>2039</v>
      </c>
      <c r="BV103" s="1742">
        <f>_xlfn.IFNA(INDEX($AR103:$AX103,MATCH(BU103,$AR$2:$AX$2,0))*12/365*[11]核心假设及结论!$C$70*$H103,0)</f>
        <v>0</v>
      </c>
      <c r="BX103" s="1739">
        <f t="shared" si="53"/>
        <v>2044</v>
      </c>
      <c r="BY103" s="1742">
        <f>_xlfn.IFNA(INDEX($AR103:$AX103,MATCH(BX103,$AR$2:$AX$2,0))*12/365*[11]核心假设及结论!$C$70*$H103,0)</f>
        <v>0</v>
      </c>
      <c r="CA103" s="1739">
        <f t="shared" si="54"/>
        <v>2049</v>
      </c>
      <c r="CB103" s="1742">
        <f>_xlfn.IFNA(INDEX($AR103:$AX103,MATCH(CA103,$AR$2:$AX$2,0))*12/365*[11]核心假设及结论!$C$70*$H103,0)</f>
        <v>0</v>
      </c>
    </row>
    <row r="104" spans="1:80" ht="30" customHeight="1">
      <c r="A104" s="1756" t="s">
        <v>1687</v>
      </c>
      <c r="B104" s="1757" t="s">
        <v>1891</v>
      </c>
      <c r="C104" s="1756" t="s">
        <v>1892</v>
      </c>
      <c r="D104" s="1756" t="s">
        <v>1685</v>
      </c>
      <c r="E104" s="1758" t="s">
        <v>1709</v>
      </c>
      <c r="F104" s="1759"/>
      <c r="G104" s="1760" t="s">
        <v>1661</v>
      </c>
      <c r="H104" s="1761">
        <v>319</v>
      </c>
      <c r="I104" s="1761" t="s">
        <v>1782</v>
      </c>
      <c r="J104" s="1773">
        <v>44914</v>
      </c>
      <c r="K104" s="1773">
        <v>46374</v>
      </c>
      <c r="L104" s="1764">
        <f t="shared" si="36"/>
        <v>48</v>
      </c>
      <c r="M104" s="1774">
        <f t="shared" si="47"/>
        <v>95969.554999999993</v>
      </c>
      <c r="N104" s="1775">
        <f t="shared" si="48"/>
        <v>243.37</v>
      </c>
      <c r="O104" s="1760">
        <v>77635.03</v>
      </c>
      <c r="P104" s="1776">
        <v>0.09</v>
      </c>
      <c r="Q104" s="1783">
        <f t="shared" si="37"/>
        <v>47.475000000000001</v>
      </c>
      <c r="R104" s="1784">
        <v>15144.525</v>
      </c>
      <c r="S104" s="1777">
        <f t="shared" si="38"/>
        <v>10</v>
      </c>
      <c r="T104" s="1777">
        <v>3190</v>
      </c>
      <c r="U104" s="1777"/>
      <c r="V104" s="1785">
        <v>779489.75166666706</v>
      </c>
      <c r="W104" s="1785">
        <f t="shared" si="39"/>
        <v>2443.5415412748184</v>
      </c>
      <c r="X104" s="1786">
        <f>(N104+Q104+S104)*H104/V104</f>
        <v>0.12311843073600721</v>
      </c>
      <c r="Y104" s="1789">
        <f>VLOOKUP(E104,[11]核心假设及结论!$C$25:$E$45,3,0)</f>
        <v>0.2</v>
      </c>
      <c r="Z104" s="1790">
        <f t="shared" ref="Z104:AF140" si="60">AG104*$H104</f>
        <v>81504.5</v>
      </c>
      <c r="AA104" s="1790">
        <f t="shared" si="60"/>
        <v>85581.319999999992</v>
      </c>
      <c r="AB104" s="1790">
        <f t="shared" si="60"/>
        <v>0</v>
      </c>
      <c r="AC104" s="1790">
        <f t="shared" si="60"/>
        <v>0</v>
      </c>
      <c r="AD104" s="1790">
        <f t="shared" si="60"/>
        <v>0</v>
      </c>
      <c r="AE104" s="1790">
        <f t="shared" si="60"/>
        <v>0</v>
      </c>
      <c r="AF104" s="1790">
        <f t="shared" si="60"/>
        <v>0</v>
      </c>
      <c r="AG104" s="1794">
        <v>255.5</v>
      </c>
      <c r="AH104" s="1794">
        <v>268.27999999999997</v>
      </c>
      <c r="AI104" s="1794">
        <v>0</v>
      </c>
      <c r="AJ104" s="1794">
        <v>0</v>
      </c>
      <c r="AK104" s="1794">
        <v>0</v>
      </c>
      <c r="AL104" s="1794">
        <v>0</v>
      </c>
      <c r="AM104" s="1794">
        <v>0</v>
      </c>
      <c r="AN104" s="1795"/>
      <c r="AO104" s="1795"/>
      <c r="AP104" s="1808">
        <f t="shared" si="49"/>
        <v>0.61559215368003606</v>
      </c>
      <c r="AQ104" s="1810">
        <f>IF(AP104&gt;[11]核心假设及结论!$B$59,[11]核心假设及结论!$D$59,IF(AP104&lt;=[11]核心假设及结论!$B$58,[11]核心假设及结论!$D$57,[11]核心假设及结论!$D$58))</f>
        <v>1.0342640124442799</v>
      </c>
      <c r="AR104" s="1809">
        <f t="shared" si="50"/>
        <v>255.5</v>
      </c>
      <c r="AS104" s="1809">
        <f>AH104*(AS$2&lt;=YEAR($K104))+AR104*$AQ104*(AS$2=YEAR($K104)+1)+INDEX([11]核心假设及结论!$E$17:$E$21,MATCH($D104,[11]核心假设及结论!$B$17:$B$21,0))*(AS$2&gt;YEAR($K104)+1)*AR104</f>
        <v>268.27999999999997</v>
      </c>
      <c r="AT104" s="1811">
        <f>AI104*(AT$2&lt;=YEAR($K104))+AS104*$AQ104*(AT$2=YEAR($K104)+1)+INDEX([11]核心假设及结论!$E$17:$E$21,MATCH($D104,[11]核心假设及结论!$B$17:$B$21,0))*(AT$2&gt;YEAR($K104)+1)*AS104</f>
        <v>277.47234925855139</v>
      </c>
      <c r="AU104" s="1809">
        <f>AJ104*(AU$2&lt;=YEAR($K104))+AT104*$AQ104*(AU$2=YEAR($K104)+1)+INDEX([11]核心假设及结论!$E$17:$E$21,MATCH($D104,[11]核心假设及结论!$B$17:$B$21,0))*(AU$2&gt;YEAR($K104)+1)*AT104</f>
        <v>284.98477188330702</v>
      </c>
      <c r="AV104" s="1809">
        <f>AK104*(AV$2&lt;=YEAR($K104))+AU104*$AQ104*(AV$2=YEAR($K104)+1)+INDEX([11]核心假设及结论!$E$17:$E$21,MATCH($D104,[11]核心假设及结论!$B$17:$B$21,0))*(AV$2&gt;YEAR($K104)+1)*AU104</f>
        <v>292.70058952685912</v>
      </c>
      <c r="AW104" s="1809">
        <f>AL104*(AW$2&lt;=YEAR($K104))+AV104*$AQ104*(AW$2=YEAR($K104)+1)+INDEX([11]核心假设及结论!$E$17:$E$21,MATCH($D104,[11]核心假设及结论!$B$17:$B$21,0))*(AW$2&gt;YEAR($K104)+1)*AV104</f>
        <v>300.62530900581498</v>
      </c>
      <c r="AX104" s="1809">
        <f>AM104*(AX$2&lt;=YEAR($K104))+AW104*$AQ104*(AX$2=YEAR($K104)+1)+INDEX([11]核心假设及结论!$E$17:$E$21,MATCH($D104,[11]核心假设及结论!$B$17:$B$21,0))*(AX$2&gt;YEAR($K104)+1)*AW104</f>
        <v>308.76458623103866</v>
      </c>
      <c r="AZ104" s="1746">
        <f t="shared" si="40"/>
        <v>46374</v>
      </c>
      <c r="BA104" s="1817">
        <f t="shared" si="41"/>
        <v>45658</v>
      </c>
      <c r="BB104" s="1817">
        <f t="shared" si="42"/>
        <v>46009</v>
      </c>
      <c r="BC104" s="1817">
        <f t="shared" si="43"/>
        <v>46022</v>
      </c>
      <c r="BD104" s="1818">
        <f t="shared" si="44"/>
        <v>352</v>
      </c>
      <c r="BE104" s="1818">
        <f t="shared" si="45"/>
        <v>13</v>
      </c>
      <c r="BG104" s="1777">
        <f t="shared" si="58"/>
        <v>97.979642169863013</v>
      </c>
      <c r="BH104" s="1777">
        <f t="shared" si="56"/>
        <v>102.8229122379459</v>
      </c>
      <c r="BI104" s="1777">
        <f t="shared" si="56"/>
        <v>106.31883946041961</v>
      </c>
      <c r="BJ104" s="1777">
        <f t="shared" si="56"/>
        <v>109.19736792328985</v>
      </c>
      <c r="BK104" s="1777">
        <f t="shared" si="55"/>
        <v>112.15383107914217</v>
      </c>
      <c r="BL104" s="1777">
        <f t="shared" si="55"/>
        <v>115.19033897012079</v>
      </c>
      <c r="BM104" s="1777">
        <f t="shared" si="55"/>
        <v>113.98539569987136</v>
      </c>
      <c r="BO104" s="1739">
        <f t="shared" si="46"/>
        <v>2026</v>
      </c>
      <c r="BP104" s="1742">
        <f>_xlfn.IFNA(INDEX($AR104:$AX104,MATCH(BO104,$AR$2:$AX$2,0))*12/365*[11]核心假设及结论!$C$70*$H104,0)</f>
        <v>84408.973150684935</v>
      </c>
      <c r="BR104" s="1739">
        <f t="shared" si="51"/>
        <v>2030</v>
      </c>
      <c r="BS104" s="1742">
        <f>_xlfn.IFNA(INDEX($AR104:$AX104,MATCH(BR104,$AR$2:$AX$2,0))*12/365*[11]核心假设及结论!$C$70*$H104,0)</f>
        <v>94585.782154048749</v>
      </c>
      <c r="BU104" s="1739">
        <f t="shared" si="52"/>
        <v>2034</v>
      </c>
      <c r="BV104" s="1742">
        <f>_xlfn.IFNA(INDEX($AR104:$AX104,MATCH(BU104,$AR$2:$AX$2,0))*12/365*[11]核心假设及结论!$C$70*$H104,0)</f>
        <v>0</v>
      </c>
      <c r="BX104" s="1739">
        <f t="shared" si="53"/>
        <v>2038</v>
      </c>
      <c r="BY104" s="1742">
        <f>_xlfn.IFNA(INDEX($AR104:$AX104,MATCH(BX104,$AR$2:$AX$2,0))*12/365*[11]核心假设及结论!$C$70*$H104,0)</f>
        <v>0</v>
      </c>
      <c r="CA104" s="1739">
        <f t="shared" si="54"/>
        <v>2042</v>
      </c>
      <c r="CB104" s="1742">
        <f>_xlfn.IFNA(INDEX($AR104:$AX104,MATCH(CA104,$AR$2:$AX$2,0))*12/365*[11]核心假设及结论!$C$70*$H104,0)</f>
        <v>0</v>
      </c>
    </row>
    <row r="105" spans="1:80" ht="30" customHeight="1">
      <c r="A105" s="1756" t="s">
        <v>1687</v>
      </c>
      <c r="B105" s="1757" t="s">
        <v>1893</v>
      </c>
      <c r="C105" s="1756" t="s">
        <v>1894</v>
      </c>
      <c r="D105" s="1756" t="s">
        <v>1676</v>
      </c>
      <c r="E105" s="1758" t="s">
        <v>1677</v>
      </c>
      <c r="F105" s="1759"/>
      <c r="G105" s="1760" t="s">
        <v>1661</v>
      </c>
      <c r="H105" s="1761">
        <v>317</v>
      </c>
      <c r="I105" s="1761" t="s">
        <v>1782</v>
      </c>
      <c r="J105" s="1773">
        <v>44221</v>
      </c>
      <c r="K105" s="1773">
        <v>46046</v>
      </c>
      <c r="L105" s="1764">
        <f t="shared" si="36"/>
        <v>60</v>
      </c>
      <c r="M105" s="1774">
        <f t="shared" si="47"/>
        <v>119477.29999999999</v>
      </c>
      <c r="N105" s="1775">
        <f t="shared" si="48"/>
        <v>268.27999999999997</v>
      </c>
      <c r="O105" s="1760">
        <v>85044.76</v>
      </c>
      <c r="P105" s="1776">
        <v>0.1</v>
      </c>
      <c r="Q105" s="1783">
        <f t="shared" si="37"/>
        <v>90</v>
      </c>
      <c r="R105" s="1784">
        <v>28530</v>
      </c>
      <c r="S105" s="1777">
        <f t="shared" si="38"/>
        <v>18.62</v>
      </c>
      <c r="T105" s="1784">
        <v>5902.54</v>
      </c>
      <c r="U105" s="1777"/>
      <c r="V105" s="1785">
        <v>306728.45818181802</v>
      </c>
      <c r="W105" s="1785">
        <f t="shared" si="39"/>
        <v>967.59765987955211</v>
      </c>
      <c r="X105" s="1786">
        <f>(N105+Q105)*H105/V105</f>
        <v>0.37027786946549579</v>
      </c>
      <c r="Y105" s="1789">
        <f>VLOOKUP(E105,[11]核心假设及结论!$C$25:$E$45,3,0)</f>
        <v>0.25</v>
      </c>
      <c r="Z105" s="1790">
        <f t="shared" si="60"/>
        <v>85044.76</v>
      </c>
      <c r="AA105" s="1790">
        <f t="shared" si="60"/>
        <v>91793.69</v>
      </c>
      <c r="AB105" s="1790">
        <f t="shared" si="60"/>
        <v>0</v>
      </c>
      <c r="AC105" s="1790">
        <f t="shared" si="60"/>
        <v>0</v>
      </c>
      <c r="AD105" s="1790">
        <f t="shared" si="60"/>
        <v>0</v>
      </c>
      <c r="AE105" s="1790">
        <f t="shared" si="60"/>
        <v>0</v>
      </c>
      <c r="AF105" s="1790">
        <f t="shared" si="60"/>
        <v>0</v>
      </c>
      <c r="AG105" s="1794">
        <v>268.27999999999997</v>
      </c>
      <c r="AH105" s="1794">
        <v>289.57</v>
      </c>
      <c r="AI105" s="1794">
        <v>0</v>
      </c>
      <c r="AJ105" s="1794">
        <v>0</v>
      </c>
      <c r="AK105" s="1794">
        <v>0</v>
      </c>
      <c r="AL105" s="1794">
        <v>0</v>
      </c>
      <c r="AM105" s="1794">
        <v>0</v>
      </c>
      <c r="AN105" s="1797"/>
      <c r="AO105" s="1797"/>
      <c r="AP105" s="1808">
        <f t="shared" si="49"/>
        <v>1.4811114778619832</v>
      </c>
      <c r="AQ105" s="1808">
        <f>IF(AP105&gt;[11]核心假设及结论!$B$65,[11]核心假设及结论!$D$65,IF(AP105&lt;=[11]核心假设及结论!$B$64,[11]核心假设及结论!$D$63,[11]核心假设及结论!$D$64))</f>
        <v>0.754</v>
      </c>
      <c r="AR105" s="1809">
        <f t="shared" si="50"/>
        <v>268.27999999999997</v>
      </c>
      <c r="AS105" s="1809">
        <f>AH105*(AS$2&lt;=YEAR($K105))+AR105*$AQ105*(AS$2=YEAR($K105)+1)+INDEX([11]核心假设及结论!$E$17:$E$21,MATCH($D105,[11]核心假设及结论!$B$17:$B$21,0))*(AS$2&gt;YEAR($K105)+1)*AR105</f>
        <v>289.57</v>
      </c>
      <c r="AT105" s="1811">
        <f>AI105*(AT$2&lt;=YEAR($K105))+AS105*$AQ105*(AT$2=YEAR($K105)+1)+INDEX([11]核心假设及结论!$E$17:$E$21,MATCH($D105,[11]核心假设及结论!$B$17:$B$21,0))*(AT$2&gt;YEAR($K105)+1)*AS105</f>
        <v>218.33578</v>
      </c>
      <c r="AU105" s="1809">
        <f>AJ105*(AU$2&lt;=YEAR($K105))+AT105*$AQ105*(AU$2=YEAR($K105)+1)+INDEX([11]核心假设及结论!$E$17:$E$21,MATCH($D105,[11]核心假设及结论!$B$17:$B$21,0))*(AU$2&gt;YEAR($K105)+1)*AT105</f>
        <v>225.88475869733489</v>
      </c>
      <c r="AV105" s="1809">
        <f>AK105*(AV$2&lt;=YEAR($K105))+AU105*$AQ105*(AV$2=YEAR($K105)+1)+INDEX([11]核心假设及结论!$E$17:$E$21,MATCH($D105,[11]核心假设及结论!$B$17:$B$21,0))*(AV$2&gt;YEAR($K105)+1)*AU105</f>
        <v>233.69474399364691</v>
      </c>
      <c r="AW105" s="1809">
        <f>AL105*(AW$2&lt;=YEAR($K105))+AV105*$AQ105*(AW$2=YEAR($K105)+1)+INDEX([11]核心假设及结论!$E$17:$E$21,MATCH($D105,[11]核心假设及结论!$B$17:$B$21,0))*(AW$2&gt;YEAR($K105)+1)*AV105</f>
        <v>241.77476021493311</v>
      </c>
      <c r="AX105" s="1809">
        <f>AM105*(AX$2&lt;=YEAR($K105))+AW105*$AQ105*(AX$2=YEAR($K105)+1)+INDEX([11]核心假设及结论!$E$17:$E$21,MATCH($D105,[11]核心假设及结论!$B$17:$B$21,0))*(AX$2&gt;YEAR($K105)+1)*AW105</f>
        <v>250.1341437040515</v>
      </c>
      <c r="AZ105" s="1746">
        <f t="shared" si="40"/>
        <v>46046</v>
      </c>
      <c r="BA105" s="1817">
        <f t="shared" si="41"/>
        <v>45658</v>
      </c>
      <c r="BB105" s="1817">
        <f t="shared" si="42"/>
        <v>45681</v>
      </c>
      <c r="BC105" s="1817">
        <f t="shared" si="43"/>
        <v>46022</v>
      </c>
      <c r="BD105" s="1818">
        <f t="shared" si="44"/>
        <v>24</v>
      </c>
      <c r="BE105" s="1818">
        <f t="shared" si="45"/>
        <v>341</v>
      </c>
      <c r="BG105" s="1777">
        <f t="shared" si="58"/>
        <v>109.61990968767122</v>
      </c>
      <c r="BH105" s="1777">
        <f t="shared" si="56"/>
        <v>84.836683958334248</v>
      </c>
      <c r="BI105" s="1777">
        <f t="shared" si="56"/>
        <v>85.737742603219118</v>
      </c>
      <c r="BJ105" s="1777">
        <f t="shared" si="56"/>
        <v>88.702132555563523</v>
      </c>
      <c r="BK105" s="1777">
        <f t="shared" si="55"/>
        <v>91.76901654988697</v>
      </c>
      <c r="BL105" s="1777">
        <f t="shared" si="55"/>
        <v>94.941938326658843</v>
      </c>
      <c r="BM105" s="1777">
        <f t="shared" si="55"/>
        <v>6.2565059681109831</v>
      </c>
      <c r="BO105" s="1739">
        <f t="shared" si="46"/>
        <v>2026</v>
      </c>
      <c r="BP105" s="1742">
        <f>_xlfn.IFNA(INDEX($AR105:$AX105,MATCH(BO105,$AR$2:$AX$2,0))*12/365*[11]核心假设及结论!$C$70*$H105,0)</f>
        <v>90536.242191780839</v>
      </c>
      <c r="BR105" s="1739">
        <f t="shared" si="51"/>
        <v>2031</v>
      </c>
      <c r="BS105" s="1742">
        <f>_xlfn.IFNA(INDEX($AR105:$AX105,MATCH(BR105,$AR$2:$AX$2,0))*12/365*[11]核心假设及结论!$C$70*$H105,0)</f>
        <v>78206.324601387285</v>
      </c>
      <c r="BU105" s="1739">
        <f t="shared" si="52"/>
        <v>2036</v>
      </c>
      <c r="BV105" s="1742">
        <f>_xlfn.IFNA(INDEX($AR105:$AX105,MATCH(BU105,$AR$2:$AX$2,0))*12/365*[11]核心假设及结论!$C$70*$H105,0)</f>
        <v>0</v>
      </c>
      <c r="BX105" s="1739">
        <f t="shared" si="53"/>
        <v>2041</v>
      </c>
      <c r="BY105" s="1742">
        <f>_xlfn.IFNA(INDEX($AR105:$AX105,MATCH(BX105,$AR$2:$AX$2,0))*12/365*[11]核心假设及结论!$C$70*$H105,0)</f>
        <v>0</v>
      </c>
      <c r="CA105" s="1739">
        <f t="shared" si="54"/>
        <v>2046</v>
      </c>
      <c r="CB105" s="1742">
        <f>_xlfn.IFNA(INDEX($AR105:$AX105,MATCH(CA105,$AR$2:$AX$2,0))*12/365*[11]核心假设及结论!$C$70*$H105,0)</f>
        <v>0</v>
      </c>
    </row>
    <row r="106" spans="1:80" ht="30" customHeight="1">
      <c r="A106" s="1756" t="s">
        <v>1662</v>
      </c>
      <c r="B106" s="1757" t="s">
        <v>1895</v>
      </c>
      <c r="C106" s="1756" t="s">
        <v>1896</v>
      </c>
      <c r="D106" s="1756" t="s">
        <v>1685</v>
      </c>
      <c r="E106" s="1758" t="s">
        <v>1692</v>
      </c>
      <c r="F106" s="1759"/>
      <c r="G106" s="1760" t="s">
        <v>1661</v>
      </c>
      <c r="H106" s="1761">
        <v>315</v>
      </c>
      <c r="I106" s="1761" t="s">
        <v>1782</v>
      </c>
      <c r="J106" s="1773">
        <v>45259</v>
      </c>
      <c r="K106" s="1773">
        <v>47085</v>
      </c>
      <c r="L106" s="1764">
        <f t="shared" si="36"/>
        <v>60</v>
      </c>
      <c r="M106" s="1774">
        <f t="shared" si="47"/>
        <v>292713.75</v>
      </c>
      <c r="N106" s="1775">
        <f t="shared" si="48"/>
        <v>821.25</v>
      </c>
      <c r="O106" s="1760">
        <v>258693.75</v>
      </c>
      <c r="P106" s="1776">
        <v>0.15</v>
      </c>
      <c r="Q106" s="1783">
        <f t="shared" si="37"/>
        <v>90</v>
      </c>
      <c r="R106" s="1784">
        <v>28350</v>
      </c>
      <c r="S106" s="1777">
        <f t="shared" si="38"/>
        <v>18</v>
      </c>
      <c r="T106" s="1784">
        <v>5670</v>
      </c>
      <c r="U106" s="1777"/>
      <c r="V106" s="1785">
        <v>2088643.25</v>
      </c>
      <c r="W106" s="1785">
        <f t="shared" si="39"/>
        <v>6630.6134920634922</v>
      </c>
      <c r="X106" s="1786">
        <f>(N106+Q106)*H106/V106</f>
        <v>0.13743072207280971</v>
      </c>
      <c r="Y106" s="1789">
        <f>VLOOKUP(E106,[11]核心假设及结论!$C$25:$E$45,3,0)</f>
        <v>0.2</v>
      </c>
      <c r="Z106" s="1790">
        <f t="shared" si="60"/>
        <v>263484.90000000002</v>
      </c>
      <c r="AA106" s="1790">
        <f t="shared" si="60"/>
        <v>268276.05</v>
      </c>
      <c r="AB106" s="1790">
        <f t="shared" si="60"/>
        <v>273067.2</v>
      </c>
      <c r="AC106" s="1790">
        <f t="shared" si="60"/>
        <v>277855.2</v>
      </c>
      <c r="AD106" s="1790">
        <f t="shared" si="60"/>
        <v>0</v>
      </c>
      <c r="AE106" s="1790">
        <f t="shared" si="60"/>
        <v>0</v>
      </c>
      <c r="AF106" s="1790">
        <f t="shared" si="60"/>
        <v>0</v>
      </c>
      <c r="AG106" s="1794">
        <v>836.46</v>
      </c>
      <c r="AH106" s="1794">
        <v>851.67</v>
      </c>
      <c r="AI106" s="1794">
        <v>866.88</v>
      </c>
      <c r="AJ106" s="1794">
        <v>882.08</v>
      </c>
      <c r="AK106" s="1794">
        <v>0</v>
      </c>
      <c r="AL106" s="1794">
        <v>0</v>
      </c>
      <c r="AM106" s="1794">
        <v>0</v>
      </c>
      <c r="AN106" s="1797"/>
      <c r="AO106" s="1797"/>
      <c r="AP106" s="1808">
        <f t="shared" si="49"/>
        <v>0.68715361036404854</v>
      </c>
      <c r="AQ106" s="1810">
        <f>IF(AP106&gt;[11]核心假设及结论!$B$59,[11]核心假设及结论!$D$59,IF(AP106&lt;=[11]核心假设及结论!$B$58,[11]核心假设及结论!$D$57,[11]核心假设及结论!$D$58))</f>
        <v>1.0342640124442799</v>
      </c>
      <c r="AR106" s="1809">
        <f t="shared" si="50"/>
        <v>836.46</v>
      </c>
      <c r="AS106" s="1809">
        <f>AH106*(AS$2&lt;=YEAR($K106))+AR106*$AQ106*(AS$2=YEAR($K106)+1)+INDEX([11]核心假设及结论!$E$17:$E$21,MATCH($D106,[11]核心假设及结论!$B$17:$B$21,0))*(AS$2&gt;YEAR($K106)+1)*AR106</f>
        <v>851.67</v>
      </c>
      <c r="AT106" s="1809">
        <f>AI106*(AT$2&lt;=YEAR($K106))+AS106*$AQ106*(AT$2=YEAR($K106)+1)+INDEX([11]核心假设及结论!$E$17:$E$21,MATCH($D106,[11]核心假设及结论!$B$17:$B$21,0))*(AT$2&gt;YEAR($K106)+1)*AS106</f>
        <v>866.88</v>
      </c>
      <c r="AU106" s="1809">
        <f>AJ106*(AU$2&lt;=YEAR($K106))+AT106*$AQ106*(AU$2=YEAR($K106)+1)+INDEX([11]核心假设及结论!$E$17:$E$21,MATCH($D106,[11]核心假设及结论!$B$17:$B$21,0))*(AU$2&gt;YEAR($K106)+1)*AT106</f>
        <v>882.08</v>
      </c>
      <c r="AV106" s="1811">
        <f>AK106*(AV$2&lt;=YEAR($K106))+AU106*$AQ106*(AV$2=YEAR($K106)+1)+INDEX([11]核心假设及结论!$E$17:$E$21,MATCH($D106,[11]核心假设及结论!$B$17:$B$21,0))*(AV$2&gt;YEAR($K106)+1)*AU106</f>
        <v>912.30360009685046</v>
      </c>
      <c r="AW106" s="1809">
        <f>AL106*(AW$2&lt;=YEAR($K106))+AV106*$AQ106*(AW$2=YEAR($K106)+1)+INDEX([11]核心假设及结论!$E$17:$E$21,MATCH($D106,[11]核心假设及结论!$B$17:$B$21,0))*(AW$2&gt;YEAR($K106)+1)*AV106</f>
        <v>937.00375571353618</v>
      </c>
      <c r="AX106" s="1809">
        <f>AM106*(AX$2&lt;=YEAR($K106))+AW106*$AQ106*(AX$2=YEAR($K106)+1)+INDEX([11]核心假设及结论!$E$17:$E$21,MATCH($D106,[11]核心假设及结论!$B$17:$B$21,0))*(AX$2&gt;YEAR($K106)+1)*AW106</f>
        <v>962.37265547134302</v>
      </c>
      <c r="AZ106" s="1746">
        <f t="shared" si="40"/>
        <v>47085</v>
      </c>
      <c r="BA106" s="1817">
        <f t="shared" si="41"/>
        <v>45658</v>
      </c>
      <c r="BB106" s="1817">
        <f t="shared" si="42"/>
        <v>45989</v>
      </c>
      <c r="BC106" s="1817">
        <f t="shared" si="43"/>
        <v>46022</v>
      </c>
      <c r="BD106" s="1818">
        <f t="shared" si="44"/>
        <v>332</v>
      </c>
      <c r="BE106" s="1818">
        <f t="shared" si="45"/>
        <v>33</v>
      </c>
      <c r="BG106" s="1777">
        <f t="shared" si="58"/>
        <v>316.70168695890408</v>
      </c>
      <c r="BH106" s="1777">
        <f t="shared" si="56"/>
        <v>322.45106695890411</v>
      </c>
      <c r="BI106" s="1777">
        <f t="shared" si="56"/>
        <v>328.20010520547947</v>
      </c>
      <c r="BJ106" s="1777">
        <f t="shared" si="56"/>
        <v>334.45914188385791</v>
      </c>
      <c r="BK106" s="1777">
        <f t="shared" si="55"/>
        <v>345.69489711376707</v>
      </c>
      <c r="BL106" s="1777">
        <f t="shared" si="55"/>
        <v>355.0544104969191</v>
      </c>
      <c r="BM106" s="1777">
        <f t="shared" si="55"/>
        <v>330.88744868775797</v>
      </c>
      <c r="BO106" s="1739">
        <f t="shared" si="46"/>
        <v>2028</v>
      </c>
      <c r="BP106" s="1742">
        <f>_xlfn.IFNA(INDEX($AR106:$AX106,MATCH(BO106,$AR$2:$AX$2,0))*12/365*[11]核心假设及结论!$C$70*$H106,0)</f>
        <v>274048.96438356169</v>
      </c>
      <c r="BR106" s="1739">
        <f t="shared" si="51"/>
        <v>2033</v>
      </c>
      <c r="BS106" s="1742">
        <f>_xlfn.IFNA(INDEX($AR106:$AX106,MATCH(BR106,$AR$2:$AX$2,0))*12/365*[11]核心假设及结论!$C$70*$H106,0)</f>
        <v>0</v>
      </c>
      <c r="BU106" s="1739">
        <f t="shared" si="52"/>
        <v>2038</v>
      </c>
      <c r="BV106" s="1742">
        <f>_xlfn.IFNA(INDEX($AR106:$AX106,MATCH(BU106,$AR$2:$AX$2,0))*12/365*[11]核心假设及结论!$C$70*$H106,0)</f>
        <v>0</v>
      </c>
      <c r="BX106" s="1739">
        <f t="shared" si="53"/>
        <v>2043</v>
      </c>
      <c r="BY106" s="1742">
        <f>_xlfn.IFNA(INDEX($AR106:$AX106,MATCH(BX106,$AR$2:$AX$2,0))*12/365*[11]核心假设及结论!$C$70*$H106,0)</f>
        <v>0</v>
      </c>
      <c r="CA106" s="1739">
        <f t="shared" si="54"/>
        <v>2048</v>
      </c>
      <c r="CB106" s="1742">
        <f>_xlfn.IFNA(INDEX($AR106:$AX106,MATCH(CA106,$AR$2:$AX$2,0))*12/365*[11]核心假设及结论!$C$70*$H106,0)</f>
        <v>0</v>
      </c>
    </row>
    <row r="107" spans="1:80" ht="30" customHeight="1">
      <c r="A107" s="1756" t="s">
        <v>1666</v>
      </c>
      <c r="B107" s="1757" t="s">
        <v>1897</v>
      </c>
      <c r="C107" s="1756" t="s">
        <v>1898</v>
      </c>
      <c r="D107" s="1756" t="s">
        <v>1685</v>
      </c>
      <c r="E107" s="1758" t="s">
        <v>1692</v>
      </c>
      <c r="F107" s="1759"/>
      <c r="G107" s="1760" t="s">
        <v>1661</v>
      </c>
      <c r="H107" s="1761">
        <v>314</v>
      </c>
      <c r="I107" s="1761" t="s">
        <v>1782</v>
      </c>
      <c r="J107" s="1773">
        <v>45226</v>
      </c>
      <c r="K107" s="1773">
        <v>46321</v>
      </c>
      <c r="L107" s="1764">
        <f t="shared" si="36"/>
        <v>36</v>
      </c>
      <c r="M107" s="1774">
        <f t="shared" si="47"/>
        <v>186726.38</v>
      </c>
      <c r="N107" s="1775">
        <f t="shared" si="48"/>
        <v>486.67</v>
      </c>
      <c r="O107" s="1760">
        <v>152814.38</v>
      </c>
      <c r="P107" s="1776">
        <v>0.15</v>
      </c>
      <c r="Q107" s="1783">
        <f t="shared" si="37"/>
        <v>90</v>
      </c>
      <c r="R107" s="1784">
        <v>28260</v>
      </c>
      <c r="S107" s="1777">
        <f t="shared" si="38"/>
        <v>18</v>
      </c>
      <c r="T107" s="1784">
        <v>5652</v>
      </c>
      <c r="U107" s="1777"/>
      <c r="V107" s="1785">
        <v>618169.78099999996</v>
      </c>
      <c r="W107" s="1785">
        <f t="shared" si="39"/>
        <v>1968.6935700636941</v>
      </c>
      <c r="X107" s="1786">
        <f>(N107+Q107+S107)*H107/V107</f>
        <v>0.30206326116093346</v>
      </c>
      <c r="Y107" s="1789">
        <f>VLOOKUP(E107,[11]核心假设及结论!$C$25:$E$45,3,0)</f>
        <v>0.2</v>
      </c>
      <c r="Z107" s="1790">
        <f t="shared" si="60"/>
        <v>157398.78</v>
      </c>
      <c r="AA107" s="1790">
        <f t="shared" si="60"/>
        <v>162077.37999999998</v>
      </c>
      <c r="AB107" s="1790">
        <f t="shared" si="60"/>
        <v>0</v>
      </c>
      <c r="AC107" s="1790">
        <f t="shared" si="60"/>
        <v>0</v>
      </c>
      <c r="AD107" s="1790">
        <f t="shared" si="60"/>
        <v>0</v>
      </c>
      <c r="AE107" s="1790">
        <f t="shared" si="60"/>
        <v>0</v>
      </c>
      <c r="AF107" s="1790">
        <f t="shared" si="60"/>
        <v>0</v>
      </c>
      <c r="AG107" s="1794">
        <v>501.27</v>
      </c>
      <c r="AH107" s="1794">
        <v>516.16999999999996</v>
      </c>
      <c r="AI107" s="1794">
        <v>0</v>
      </c>
      <c r="AJ107" s="1794">
        <v>0</v>
      </c>
      <c r="AK107" s="1794">
        <v>0</v>
      </c>
      <c r="AL107" s="1794">
        <v>0</v>
      </c>
      <c r="AM107" s="1794">
        <v>0</v>
      </c>
      <c r="AN107" s="1797"/>
      <c r="AO107" s="1797"/>
      <c r="AP107" s="1808">
        <f t="shared" si="49"/>
        <v>1.5103163058046671</v>
      </c>
      <c r="AQ107" s="1810">
        <f>IF(AP107&gt;[11]核心假设及结论!$B$59,[11]核心假设及结论!$D$59,IF(AP107&lt;=[11]核心假设及结论!$B$58,[11]核心假设及结论!$D$57,[11]核心假设及结论!$D$58))</f>
        <v>1</v>
      </c>
      <c r="AR107" s="1809">
        <f t="shared" si="50"/>
        <v>501.27</v>
      </c>
      <c r="AS107" s="1809">
        <f>AH107*(AS$2&lt;=YEAR($K107))+AR107*$AQ107*(AS$2=YEAR($K107)+1)+INDEX([11]核心假设及结论!$E$17:$E$21,MATCH($D107,[11]核心假设及结论!$B$17:$B$21,0))*(AS$2&gt;YEAR($K107)+1)*AR107</f>
        <v>516.16999999999996</v>
      </c>
      <c r="AT107" s="1811">
        <f>AI107*(AT$2&lt;=YEAR($K107))+AS107*$AQ107*(AT$2=YEAR($K107)+1)+INDEX([11]核心假设及结论!$E$17:$E$21,MATCH($D107,[11]核心假设及结论!$B$17:$B$21,0))*(AT$2&gt;YEAR($K107)+1)*AS107</f>
        <v>516.16999999999996</v>
      </c>
      <c r="AU107" s="1809">
        <f>AJ107*(AU$2&lt;=YEAR($K107))+AT107*$AQ107*(AU$2=YEAR($K107)+1)+INDEX([11]核心假设及结论!$E$17:$E$21,MATCH($D107,[11]核心假设及结论!$B$17:$B$21,0))*(AU$2&gt;YEAR($K107)+1)*AT107</f>
        <v>530.14504002320189</v>
      </c>
      <c r="AV107" s="1809">
        <f>AK107*(AV$2&lt;=YEAR($K107))+AU107*$AQ107*(AV$2=YEAR($K107)+1)+INDEX([11]核心假设及结论!$E$17:$E$21,MATCH($D107,[11]核心假设及结论!$B$17:$B$21,0))*(AV$2&gt;YEAR($K107)+1)*AU107</f>
        <v>544.49844714183769</v>
      </c>
      <c r="AW107" s="1809">
        <f>AL107*(AW$2&lt;=YEAR($K107))+AV107*$AQ107*(AW$2=YEAR($K107)+1)+INDEX([11]核心假设及结论!$E$17:$E$21,MATCH($D107,[11]核心假设及结论!$B$17:$B$21,0))*(AW$2&gt;YEAR($K107)+1)*AV107</f>
        <v>559.24046545243004</v>
      </c>
      <c r="AX107" s="1809">
        <f>AM107*(AX$2&lt;=YEAR($K107))+AW107*$AQ107*(AX$2=YEAR($K107)+1)+INDEX([11]核心假设及结论!$E$17:$E$21,MATCH($D107,[11]核心假设及结论!$B$17:$B$21,0))*(AX$2&gt;YEAR($K107)+1)*AW107</f>
        <v>574.38161640520104</v>
      </c>
      <c r="AZ107" s="1746">
        <f t="shared" si="40"/>
        <v>46321</v>
      </c>
      <c r="BA107" s="1817">
        <f t="shared" si="41"/>
        <v>45658</v>
      </c>
      <c r="BB107" s="1817">
        <f t="shared" si="42"/>
        <v>45956</v>
      </c>
      <c r="BC107" s="1817">
        <f t="shared" si="43"/>
        <v>46022</v>
      </c>
      <c r="BD107" s="1818">
        <f t="shared" si="44"/>
        <v>299</v>
      </c>
      <c r="BE107" s="1818">
        <f t="shared" si="45"/>
        <v>66</v>
      </c>
      <c r="BG107" s="1777">
        <f t="shared" si="58"/>
        <v>189.89372810958898</v>
      </c>
      <c r="BH107" s="1777">
        <f t="shared" si="56"/>
        <v>194.49285599999999</v>
      </c>
      <c r="BI107" s="1777">
        <f t="shared" si="56"/>
        <v>195.44502716528493</v>
      </c>
      <c r="BJ107" s="1777">
        <f t="shared" si="56"/>
        <v>200.73660179567929</v>
      </c>
      <c r="BK107" s="1777">
        <f t="shared" si="55"/>
        <v>206.17144311581828</v>
      </c>
      <c r="BL107" s="1777">
        <f t="shared" si="55"/>
        <v>211.75342999840512</v>
      </c>
      <c r="BM107" s="1777">
        <f t="shared" si="55"/>
        <v>177.29224911063685</v>
      </c>
      <c r="BO107" s="1739">
        <f t="shared" si="46"/>
        <v>2026</v>
      </c>
      <c r="BP107" s="1742">
        <f>_xlfn.IFNA(INDEX($AR107:$AX107,MATCH(BO107,$AR$2:$AX$2,0))*12/365*[11]核心假设及结论!$C$70*$H107,0)</f>
        <v>159857.14191780819</v>
      </c>
      <c r="BR107" s="1739">
        <f t="shared" si="51"/>
        <v>2029</v>
      </c>
      <c r="BS107" s="1742">
        <f>_xlfn.IFNA(INDEX($AR107:$AX107,MATCH(BR107,$AR$2:$AX$2,0))*12/365*[11]核心假设及结论!$C$70*$H107,0)</f>
        <v>168630.42319154338</v>
      </c>
      <c r="BU107" s="1739">
        <f t="shared" si="52"/>
        <v>2032</v>
      </c>
      <c r="BV107" s="1742">
        <f>_xlfn.IFNA(INDEX($AR107:$AX107,MATCH(BU107,$AR$2:$AX$2,0))*12/365*[11]核心假设及结论!$C$70*$H107,0)</f>
        <v>0</v>
      </c>
      <c r="BX107" s="1739">
        <f t="shared" si="53"/>
        <v>2035</v>
      </c>
      <c r="BY107" s="1742">
        <f>_xlfn.IFNA(INDEX($AR107:$AX107,MATCH(BX107,$AR$2:$AX$2,0))*12/365*[11]核心假设及结论!$C$70*$H107,0)</f>
        <v>0</v>
      </c>
      <c r="CA107" s="1739">
        <f t="shared" si="54"/>
        <v>2038</v>
      </c>
      <c r="CB107" s="1742">
        <f>_xlfn.IFNA(INDEX($AR107:$AX107,MATCH(CA107,$AR$2:$AX$2,0))*12/365*[11]核心假设及结论!$C$70*$H107,0)</f>
        <v>0</v>
      </c>
    </row>
    <row r="108" spans="1:80" ht="30" customHeight="1">
      <c r="A108" s="1756" t="s">
        <v>1662</v>
      </c>
      <c r="B108" s="1757" t="s">
        <v>1899</v>
      </c>
      <c r="C108" s="1756" t="s">
        <v>1900</v>
      </c>
      <c r="D108" s="1756" t="s">
        <v>1676</v>
      </c>
      <c r="E108" s="1758" t="s">
        <v>1758</v>
      </c>
      <c r="F108" s="1759"/>
      <c r="G108" s="1760" t="s">
        <v>1661</v>
      </c>
      <c r="H108" s="1761">
        <v>311</v>
      </c>
      <c r="I108" s="1761" t="s">
        <v>1782</v>
      </c>
      <c r="J108" s="1773">
        <v>44854</v>
      </c>
      <c r="K108" s="1773">
        <v>45949</v>
      </c>
      <c r="L108" s="1764">
        <f t="shared" si="36"/>
        <v>36</v>
      </c>
      <c r="M108" s="1774">
        <f t="shared" si="47"/>
        <v>104589.3</v>
      </c>
      <c r="N108" s="1775">
        <f t="shared" si="48"/>
        <v>223.57000000000002</v>
      </c>
      <c r="O108" s="1760">
        <v>69530.27</v>
      </c>
      <c r="P108" s="1776">
        <v>0.1</v>
      </c>
      <c r="Q108" s="1783">
        <f t="shared" si="37"/>
        <v>95</v>
      </c>
      <c r="R108" s="1784">
        <v>29545</v>
      </c>
      <c r="S108" s="1777">
        <f t="shared" si="38"/>
        <v>17.73</v>
      </c>
      <c r="T108" s="1777">
        <v>5514.03</v>
      </c>
      <c r="U108" s="1777"/>
      <c r="V108" s="1785">
        <v>1137294.8991666699</v>
      </c>
      <c r="W108" s="1785">
        <f t="shared" si="39"/>
        <v>3656.8967818863985</v>
      </c>
      <c r="X108" s="1786">
        <f>(N108+Q108)*H108/V108</f>
        <v>8.7114846002207022E-2</v>
      </c>
      <c r="Y108" s="1789">
        <f>VLOOKUP(E108,[11]核心假设及结论!$C$25:$E$45,3,0)</f>
        <v>0.2</v>
      </c>
      <c r="Z108" s="1790">
        <f t="shared" si="60"/>
        <v>73004.14</v>
      </c>
      <c r="AA108" s="1790">
        <f t="shared" si="60"/>
        <v>0</v>
      </c>
      <c r="AB108" s="1790">
        <f t="shared" si="60"/>
        <v>0</v>
      </c>
      <c r="AC108" s="1790">
        <f t="shared" si="60"/>
        <v>0</v>
      </c>
      <c r="AD108" s="1790">
        <f t="shared" si="60"/>
        <v>0</v>
      </c>
      <c r="AE108" s="1790">
        <f t="shared" si="60"/>
        <v>0</v>
      </c>
      <c r="AF108" s="1790">
        <f t="shared" si="60"/>
        <v>0</v>
      </c>
      <c r="AG108" s="1794">
        <v>234.74</v>
      </c>
      <c r="AH108" s="1794">
        <v>0</v>
      </c>
      <c r="AI108" s="1794">
        <v>0</v>
      </c>
      <c r="AJ108" s="1794">
        <v>0</v>
      </c>
      <c r="AK108" s="1794">
        <v>0</v>
      </c>
      <c r="AL108" s="1794">
        <v>0</v>
      </c>
      <c r="AM108" s="1794">
        <v>0</v>
      </c>
      <c r="AN108" s="1795"/>
      <c r="AO108" s="1795"/>
      <c r="AP108" s="1808">
        <f t="shared" si="49"/>
        <v>0.43557423001103507</v>
      </c>
      <c r="AQ108" s="1808">
        <f>IF(AP108&gt;[11]核心假设及结论!$B$65,[11]核心假设及结论!$D$65,IF(AP108&lt;=[11]核心假设及结论!$B$64,[11]核心假设及结论!$D$63,[11]核心假设及结论!$D$64))</f>
        <v>1</v>
      </c>
      <c r="AR108" s="1809">
        <f t="shared" si="50"/>
        <v>234.74</v>
      </c>
      <c r="AS108" s="1811">
        <f>AH108*(AS$2&lt;=YEAR($K108))+AR108*$AQ108*(AS$2=YEAR($K108)+1)+INDEX([11]核心假设及结论!$E$17:$E$21,MATCH($D108,[11]核心假设及结论!$B$17:$B$21,0))*(AS$2&gt;YEAR($K108)+1)*AR108</f>
        <v>234.74</v>
      </c>
      <c r="AT108" s="1809">
        <f>AI108*(AT$2&lt;=YEAR($K108))+AS108*$AQ108*(AT$2=YEAR($K108)+1)+INDEX([11]核心假设及结论!$E$17:$E$21,MATCH($D108,[11]核心假设及结论!$B$17:$B$21,0))*(AT$2&gt;YEAR($K108)+1)*AS108</f>
        <v>242.85615603916315</v>
      </c>
      <c r="AU108" s="1809">
        <f>AJ108*(AU$2&lt;=YEAR($K108))+AT108*$AQ108*(AU$2=YEAR($K108)+1)+INDEX([11]核心假设及结论!$E$17:$E$21,MATCH($D108,[11]核心假设及结论!$B$17:$B$21,0))*(AU$2&gt;YEAR($K108)+1)*AT108</f>
        <v>251.25292888352371</v>
      </c>
      <c r="AV108" s="1809">
        <f>AK108*(AV$2&lt;=YEAR($K108))+AU108*$AQ108*(AV$2=YEAR($K108)+1)+INDEX([11]核心假设及结论!$E$17:$E$21,MATCH($D108,[11]核心假设及结论!$B$17:$B$21,0))*(AV$2&gt;YEAR($K108)+1)*AU108</f>
        <v>259.94002088367466</v>
      </c>
      <c r="AW108" s="1809">
        <f>AL108*(AW$2&lt;=YEAR($K108))+AV108*$AQ108*(AW$2=YEAR($K108)+1)+INDEX([11]核心假设及结论!$E$17:$E$21,MATCH($D108,[11]核心假设及结论!$B$17:$B$21,0))*(AW$2&gt;YEAR($K108)+1)*AV108</f>
        <v>268.92746984982966</v>
      </c>
      <c r="AX108" s="1809">
        <f>AM108*(AX$2&lt;=YEAR($K108))+AW108*$AQ108*(AX$2=YEAR($K108)+1)+INDEX([11]核心假设及结论!$E$17:$E$21,MATCH($D108,[11]核心假设及结论!$B$17:$B$21,0))*(AX$2&gt;YEAR($K108)+1)*AW108</f>
        <v>278.22566065036881</v>
      </c>
      <c r="AZ108" s="1746">
        <f t="shared" si="40"/>
        <v>45949</v>
      </c>
      <c r="BA108" s="1817">
        <f t="shared" si="41"/>
        <v>45658</v>
      </c>
      <c r="BB108" s="1817">
        <f t="shared" si="42"/>
        <v>45949</v>
      </c>
      <c r="BC108" s="1817">
        <f t="shared" si="43"/>
        <v>46022</v>
      </c>
      <c r="BD108" s="1818">
        <f t="shared" si="44"/>
        <v>292</v>
      </c>
      <c r="BE108" s="1818">
        <f t="shared" si="45"/>
        <v>73</v>
      </c>
      <c r="BG108" s="1777">
        <f t="shared" si="58"/>
        <v>87.604968</v>
      </c>
      <c r="BH108" s="1777">
        <f t="shared" si="56"/>
        <v>88.210757886763147</v>
      </c>
      <c r="BI108" s="1777">
        <f t="shared" si="56"/>
        <v>91.260652558918764</v>
      </c>
      <c r="BJ108" s="1777">
        <f t="shared" si="56"/>
        <v>94.415997606222319</v>
      </c>
      <c r="BK108" s="1777">
        <f t="shared" si="55"/>
        <v>97.680438984621176</v>
      </c>
      <c r="BL108" s="1777">
        <f t="shared" si="55"/>
        <v>101.05774870930868</v>
      </c>
      <c r="BM108" s="1777">
        <f t="shared" si="55"/>
        <v>83.067053243774112</v>
      </c>
      <c r="BO108" s="1739">
        <f t="shared" si="46"/>
        <v>2025</v>
      </c>
      <c r="BP108" s="1742">
        <f>_xlfn.IFNA(INDEX($AR108:$AX108,MATCH(BO108,$AR$2:$AX$2,0))*12/365*[11]核心假设及结论!$C$70*$H108,0)</f>
        <v>72004.083287671237</v>
      </c>
      <c r="BR108" s="1739">
        <f t="shared" si="51"/>
        <v>2028</v>
      </c>
      <c r="BS108" s="1742">
        <f>_xlfn.IFNA(INDEX($AR108:$AX108,MATCH(BR108,$AR$2:$AX$2,0))*12/365*[11]核心假设及结论!$C$70*$H108,0)</f>
        <v>77069.254569313198</v>
      </c>
      <c r="BU108" s="1739">
        <f t="shared" si="52"/>
        <v>2031</v>
      </c>
      <c r="BV108" s="1742">
        <f>_xlfn.IFNA(INDEX($AR108:$AX108,MATCH(BU108,$AR$2:$AX$2,0))*12/365*[11]核心假设及结论!$C$70*$H108,0)</f>
        <v>85342.862921685737</v>
      </c>
      <c r="BX108" s="1739">
        <f t="shared" si="53"/>
        <v>2034</v>
      </c>
      <c r="BY108" s="1742">
        <f>_xlfn.IFNA(INDEX($AR108:$AX108,MATCH(BX108,$AR$2:$AX$2,0))*12/365*[11]核心假设及结论!$C$70*$H108,0)</f>
        <v>0</v>
      </c>
      <c r="CA108" s="1739">
        <f t="shared" si="54"/>
        <v>2037</v>
      </c>
      <c r="CB108" s="1742">
        <f>_xlfn.IFNA(INDEX($AR108:$AX108,MATCH(CA108,$AR$2:$AX$2,0))*12/365*[11]核心假设及结论!$C$70*$H108,0)</f>
        <v>0</v>
      </c>
    </row>
    <row r="109" spans="1:80" ht="30" customHeight="1">
      <c r="A109" s="1756" t="s">
        <v>1666</v>
      </c>
      <c r="B109" s="1757" t="s">
        <v>1901</v>
      </c>
      <c r="C109" s="1756" t="s">
        <v>1902</v>
      </c>
      <c r="D109" s="1756" t="s">
        <v>1685</v>
      </c>
      <c r="E109" s="1758" t="s">
        <v>1692</v>
      </c>
      <c r="F109" s="1759"/>
      <c r="G109" s="1760" t="s">
        <v>1661</v>
      </c>
      <c r="H109" s="1761">
        <v>308</v>
      </c>
      <c r="I109" s="1761" t="s">
        <v>1782</v>
      </c>
      <c r="J109" s="1773">
        <v>45139</v>
      </c>
      <c r="K109" s="1773">
        <v>46234</v>
      </c>
      <c r="L109" s="1764">
        <f t="shared" si="36"/>
        <v>36</v>
      </c>
      <c r="M109" s="1774">
        <f t="shared" si="47"/>
        <v>145699.4</v>
      </c>
      <c r="N109" s="1775">
        <f t="shared" si="48"/>
        <v>365.04999999999995</v>
      </c>
      <c r="O109" s="1760">
        <v>112435.4</v>
      </c>
      <c r="P109" s="1776">
        <v>0.15</v>
      </c>
      <c r="Q109" s="1783">
        <f t="shared" si="37"/>
        <v>90</v>
      </c>
      <c r="R109" s="1784">
        <v>27720</v>
      </c>
      <c r="S109" s="1777">
        <f t="shared" si="38"/>
        <v>18</v>
      </c>
      <c r="T109" s="1784">
        <v>5544</v>
      </c>
      <c r="U109" s="1777"/>
      <c r="V109" s="1785">
        <v>366095.96636363602</v>
      </c>
      <c r="W109" s="1785">
        <f t="shared" si="39"/>
        <v>1188.6232674144026</v>
      </c>
      <c r="X109" s="1786">
        <f>(N109+Q109+S109)*H109/V109</f>
        <v>0.39798144035075111</v>
      </c>
      <c r="Y109" s="1789">
        <f>VLOOKUP(E109,[11]核心假设及结论!$C$25:$E$45,3,0)</f>
        <v>0.2</v>
      </c>
      <c r="Z109" s="1790">
        <f t="shared" si="60"/>
        <v>117058.48</v>
      </c>
      <c r="AA109" s="1790">
        <f t="shared" si="60"/>
        <v>121780.12</v>
      </c>
      <c r="AB109" s="1790">
        <f t="shared" si="60"/>
        <v>0</v>
      </c>
      <c r="AC109" s="1790">
        <f t="shared" si="60"/>
        <v>0</v>
      </c>
      <c r="AD109" s="1790">
        <f t="shared" si="60"/>
        <v>0</v>
      </c>
      <c r="AE109" s="1790">
        <f t="shared" si="60"/>
        <v>0</v>
      </c>
      <c r="AF109" s="1790">
        <f t="shared" si="60"/>
        <v>0</v>
      </c>
      <c r="AG109" s="1794">
        <v>380.06</v>
      </c>
      <c r="AH109" s="1794">
        <v>395.39</v>
      </c>
      <c r="AI109" s="1794">
        <v>0</v>
      </c>
      <c r="AJ109" s="1794">
        <v>0</v>
      </c>
      <c r="AK109" s="1794">
        <v>0</v>
      </c>
      <c r="AL109" s="1794">
        <v>0</v>
      </c>
      <c r="AM109" s="1794">
        <v>0</v>
      </c>
      <c r="AN109" s="1797"/>
      <c r="AO109" s="1797"/>
      <c r="AP109" s="1808">
        <f t="shared" si="49"/>
        <v>1.9899072017537556</v>
      </c>
      <c r="AQ109" s="1810">
        <f>IF(AP109&gt;[11]核心假设及结论!$B$59,[11]核心假设及结论!$D$59,IF(AP109&lt;=[11]核心假设及结论!$B$58,[11]核心假设及结论!$D$57,[11]核心假设及结论!$D$58))</f>
        <v>1</v>
      </c>
      <c r="AR109" s="1809">
        <f t="shared" si="50"/>
        <v>380.06</v>
      </c>
      <c r="AS109" s="1809">
        <f>AH109*(AS$2&lt;=YEAR($K109))+AR109*$AQ109*(AS$2=YEAR($K109)+1)+INDEX([11]核心假设及结论!$E$17:$E$21,MATCH($D109,[11]核心假设及结论!$B$17:$B$21,0))*(AS$2&gt;YEAR($K109)+1)*AR109</f>
        <v>395.39</v>
      </c>
      <c r="AT109" s="1811">
        <f>AI109*(AT$2&lt;=YEAR($K109))+AS109*$AQ109*(AT$2=YEAR($K109)+1)+INDEX([11]核心假设及结论!$E$17:$E$21,MATCH($D109,[11]核心假设及结论!$B$17:$B$21,0))*(AT$2&gt;YEAR($K109)+1)*AS109</f>
        <v>395.39</v>
      </c>
      <c r="AU109" s="1809">
        <f>AJ109*(AU$2&lt;=YEAR($K109))+AT109*$AQ109*(AU$2=YEAR($K109)+1)+INDEX([11]核心假设及结论!$E$17:$E$21,MATCH($D109,[11]核心假设及结论!$B$17:$B$21,0))*(AU$2&gt;YEAR($K109)+1)*AT109</f>
        <v>406.09498299934864</v>
      </c>
      <c r="AV109" s="1809">
        <f>AK109*(AV$2&lt;=YEAR($K109))+AU109*$AQ109*(AV$2=YEAR($K109)+1)+INDEX([11]核心假设及结论!$E$17:$E$21,MATCH($D109,[11]核心假设及结论!$B$17:$B$21,0))*(AV$2&gt;YEAR($K109)+1)*AU109</f>
        <v>417.08979796464575</v>
      </c>
      <c r="AW109" s="1809">
        <f>AL109*(AW$2&lt;=YEAR($K109))+AV109*$AQ109*(AW$2=YEAR($K109)+1)+INDEX([11]核心假设及结论!$E$17:$E$21,MATCH($D109,[11]核心假设及结论!$B$17:$B$21,0))*(AW$2&gt;YEAR($K109)+1)*AV109</f>
        <v>428.38229194884696</v>
      </c>
      <c r="AX109" s="1809">
        <f>AM109*(AX$2&lt;=YEAR($K109))+AW109*$AQ109*(AX$2=YEAR($K109)+1)+INDEX([11]核心假设及结论!$E$17:$E$21,MATCH($D109,[11]核心假设及结论!$B$17:$B$21,0))*(AX$2&gt;YEAR($K109)+1)*AW109</f>
        <v>439.98052445987258</v>
      </c>
      <c r="AZ109" s="1746">
        <f t="shared" si="40"/>
        <v>46234</v>
      </c>
      <c r="BA109" s="1817">
        <f t="shared" si="41"/>
        <v>45658</v>
      </c>
      <c r="BB109" s="1817">
        <f t="shared" si="42"/>
        <v>45869</v>
      </c>
      <c r="BC109" s="1817">
        <f t="shared" si="43"/>
        <v>46022</v>
      </c>
      <c r="BD109" s="1818">
        <f t="shared" si="44"/>
        <v>212</v>
      </c>
      <c r="BE109" s="1818">
        <f t="shared" si="45"/>
        <v>153</v>
      </c>
      <c r="BG109" s="1777">
        <f t="shared" si="58"/>
        <v>142.84522559999999</v>
      </c>
      <c r="BH109" s="1777">
        <f t="shared" si="56"/>
        <v>146.136144</v>
      </c>
      <c r="BI109" s="1777">
        <f t="shared" si="56"/>
        <v>147.79464795242072</v>
      </c>
      <c r="BJ109" s="1777">
        <f t="shared" si="56"/>
        <v>151.79611281932526</v>
      </c>
      <c r="BK109" s="1777">
        <f t="shared" si="55"/>
        <v>155.90591531078456</v>
      </c>
      <c r="BL109" s="1777">
        <f t="shared" si="55"/>
        <v>160.12698861284036</v>
      </c>
      <c r="BM109" s="1777">
        <f t="shared" si="55"/>
        <v>94.451402712762231</v>
      </c>
      <c r="BO109" s="1739">
        <f t="shared" si="46"/>
        <v>2026</v>
      </c>
      <c r="BP109" s="1742">
        <f>_xlfn.IFNA(INDEX($AR109:$AX109,MATCH(BO109,$AR$2:$AX$2,0))*12/365*[11]核心假设及结论!$C$70*$H109,0)</f>
        <v>120111.8991780822</v>
      </c>
      <c r="BR109" s="1739">
        <f t="shared" si="51"/>
        <v>2029</v>
      </c>
      <c r="BS109" s="1742">
        <f>_xlfn.IFNA(INDEX($AR109:$AX109,MATCH(BR109,$AR$2:$AX$2,0))*12/365*[11]核心假设及结论!$C$70*$H109,0)</f>
        <v>126703.88163923266</v>
      </c>
      <c r="BU109" s="1739">
        <f t="shared" si="52"/>
        <v>2032</v>
      </c>
      <c r="BV109" s="1742">
        <f>_xlfn.IFNA(INDEX($AR109:$AX109,MATCH(BU109,$AR$2:$AX$2,0))*12/365*[11]核心假设及结论!$C$70*$H109,0)</f>
        <v>0</v>
      </c>
      <c r="BX109" s="1739">
        <f t="shared" si="53"/>
        <v>2035</v>
      </c>
      <c r="BY109" s="1742">
        <f>_xlfn.IFNA(INDEX($AR109:$AX109,MATCH(BX109,$AR$2:$AX$2,0))*12/365*[11]核心假设及结论!$C$70*$H109,0)</f>
        <v>0</v>
      </c>
      <c r="CA109" s="1739">
        <f t="shared" si="54"/>
        <v>2038</v>
      </c>
      <c r="CB109" s="1742">
        <f>_xlfn.IFNA(INDEX($AR109:$AX109,MATCH(CA109,$AR$2:$AX$2,0))*12/365*[11]核心假设及结论!$C$70*$H109,0)</f>
        <v>0</v>
      </c>
    </row>
    <row r="110" spans="1:80" ht="30" customHeight="1">
      <c r="A110" s="1756" t="s">
        <v>1687</v>
      </c>
      <c r="B110" s="1757" t="s">
        <v>1903</v>
      </c>
      <c r="C110" s="1756" t="s">
        <v>1904</v>
      </c>
      <c r="D110" s="1756" t="s">
        <v>1685</v>
      </c>
      <c r="E110" s="1758" t="s">
        <v>1709</v>
      </c>
      <c r="F110" s="1759"/>
      <c r="G110" s="1760" t="s">
        <v>1661</v>
      </c>
      <c r="H110" s="1761">
        <v>307</v>
      </c>
      <c r="I110" s="1761" t="s">
        <v>1782</v>
      </c>
      <c r="J110" s="1773">
        <v>45226</v>
      </c>
      <c r="K110" s="1773">
        <v>46321</v>
      </c>
      <c r="L110" s="1764">
        <f t="shared" si="36"/>
        <v>36</v>
      </c>
      <c r="M110" s="1774">
        <f t="shared" si="47"/>
        <v>202779.64</v>
      </c>
      <c r="N110" s="1775">
        <f t="shared" si="48"/>
        <v>547.5200000000001</v>
      </c>
      <c r="O110" s="1760">
        <v>168088.64</v>
      </c>
      <c r="P110" s="1776">
        <v>0.16</v>
      </c>
      <c r="Q110" s="1783">
        <f t="shared" si="37"/>
        <v>95</v>
      </c>
      <c r="R110" s="1784">
        <v>29165</v>
      </c>
      <c r="S110" s="1777">
        <f t="shared" si="38"/>
        <v>18</v>
      </c>
      <c r="T110" s="1784">
        <v>5526</v>
      </c>
      <c r="U110" s="1777"/>
      <c r="V110" s="1785">
        <v>950919.39545454597</v>
      </c>
      <c r="W110" s="1785">
        <f t="shared" si="39"/>
        <v>3097.4573141841888</v>
      </c>
      <c r="X110" s="1786">
        <f>(N110+Q110+S110)*H110/V110</f>
        <v>0.21324587653727473</v>
      </c>
      <c r="Y110" s="1789">
        <f>VLOOKUP(E110,[11]核心假设及结论!$C$25:$E$45,3,0)</f>
        <v>0.2</v>
      </c>
      <c r="Z110" s="1790">
        <f t="shared" si="60"/>
        <v>173126.50999999998</v>
      </c>
      <c r="AA110" s="1790">
        <f t="shared" si="60"/>
        <v>178354.72</v>
      </c>
      <c r="AB110" s="1790">
        <f t="shared" si="60"/>
        <v>0</v>
      </c>
      <c r="AC110" s="1790">
        <f t="shared" si="60"/>
        <v>0</v>
      </c>
      <c r="AD110" s="1790">
        <f t="shared" si="60"/>
        <v>0</v>
      </c>
      <c r="AE110" s="1790">
        <f t="shared" si="60"/>
        <v>0</v>
      </c>
      <c r="AF110" s="1790">
        <f t="shared" si="60"/>
        <v>0</v>
      </c>
      <c r="AG110" s="1794">
        <v>563.92999999999995</v>
      </c>
      <c r="AH110" s="1794">
        <v>580.96</v>
      </c>
      <c r="AI110" s="1794">
        <v>0</v>
      </c>
      <c r="AJ110" s="1794">
        <v>0</v>
      </c>
      <c r="AK110" s="1794">
        <v>0</v>
      </c>
      <c r="AL110" s="1794">
        <v>0</v>
      </c>
      <c r="AM110" s="1794">
        <v>0</v>
      </c>
      <c r="AN110" s="1797"/>
      <c r="AO110" s="1797"/>
      <c r="AP110" s="1808">
        <f t="shared" si="49"/>
        <v>1.0662293826863736</v>
      </c>
      <c r="AQ110" s="1810">
        <f>IF(AP110&gt;[11]核心假设及结论!$B$59,[11]核心假设及结论!$D$59,IF(AP110&lt;=[11]核心假设及结论!$B$58,[11]核心假设及结论!$D$57,[11]核心假设及结论!$D$58))</f>
        <v>1.0069999999999999</v>
      </c>
      <c r="AR110" s="1809">
        <f t="shared" si="50"/>
        <v>563.92999999999995</v>
      </c>
      <c r="AS110" s="1809">
        <f>AH110*(AS$2&lt;=YEAR($K110))+AR110*$AQ110*(AS$2=YEAR($K110)+1)+INDEX([11]核心假设及结论!$E$17:$E$21,MATCH($D110,[11]核心假设及结论!$B$17:$B$21,0))*(AS$2&gt;YEAR($K110)+1)*AR110</f>
        <v>580.96</v>
      </c>
      <c r="AT110" s="1811">
        <f>AI110*(AT$2&lt;=YEAR($K110))+AS110*$AQ110*(AT$2=YEAR($K110)+1)+INDEX([11]核心假设及结论!$E$17:$E$21,MATCH($D110,[11]核心假设及结论!$B$17:$B$21,0))*(AT$2&gt;YEAR($K110)+1)*AS110</f>
        <v>585.02671999999995</v>
      </c>
      <c r="AU110" s="1809">
        <f>AJ110*(AU$2&lt;=YEAR($K110))+AT110*$AQ110*(AU$2=YEAR($K110)+1)+INDEX([11]核心假设及结论!$E$17:$E$21,MATCH($D110,[11]核心假设及结论!$B$17:$B$21,0))*(AU$2&gt;YEAR($K110)+1)*AT110</f>
        <v>600.86602066962928</v>
      </c>
      <c r="AV110" s="1809">
        <f>AK110*(AV$2&lt;=YEAR($K110))+AU110*$AQ110*(AV$2=YEAR($K110)+1)+INDEX([11]核心假设及结论!$E$17:$E$21,MATCH($D110,[11]核心假设及结论!$B$17:$B$21,0))*(AV$2&gt;YEAR($K110)+1)*AU110</f>
        <v>617.1341623427993</v>
      </c>
      <c r="AW110" s="1809">
        <f>AL110*(AW$2&lt;=YEAR($K110))+AV110*$AQ110*(AW$2=YEAR($K110)+1)+INDEX([11]核心假设及结论!$E$17:$E$21,MATCH($D110,[11]核心假设及结论!$B$17:$B$21,0))*(AW$2&gt;YEAR($K110)+1)*AV110</f>
        <v>633.84275567140389</v>
      </c>
      <c r="AX110" s="1809">
        <f>AM110*(AX$2&lt;=YEAR($K110))+AW110*$AQ110*(AX$2=YEAR($K110)+1)+INDEX([11]核心假设及结论!$E$17:$E$21,MATCH($D110,[11]核心假设及结论!$B$17:$B$21,0))*(AX$2&gt;YEAR($K110)+1)*AW110</f>
        <v>651.00372565982718</v>
      </c>
      <c r="AZ110" s="1746">
        <f t="shared" si="40"/>
        <v>46321</v>
      </c>
      <c r="BA110" s="1817">
        <f t="shared" si="41"/>
        <v>45658</v>
      </c>
      <c r="BB110" s="1817">
        <f t="shared" si="42"/>
        <v>45956</v>
      </c>
      <c r="BC110" s="1817">
        <f t="shared" si="43"/>
        <v>46022</v>
      </c>
      <c r="BD110" s="1818">
        <f t="shared" si="44"/>
        <v>299</v>
      </c>
      <c r="BE110" s="1818">
        <f t="shared" si="45"/>
        <v>66</v>
      </c>
      <c r="BG110" s="1777">
        <f t="shared" si="58"/>
        <v>208.88626195068491</v>
      </c>
      <c r="BH110" s="1777">
        <f t="shared" si="56"/>
        <v>214.29656771717262</v>
      </c>
      <c r="BI110" s="1777">
        <f t="shared" si="56"/>
        <v>216.57897540745651</v>
      </c>
      <c r="BJ110" s="1777">
        <f t="shared" si="56"/>
        <v>222.44274092948078</v>
      </c>
      <c r="BK110" s="1777">
        <f t="shared" si="55"/>
        <v>228.4652649183997</v>
      </c>
      <c r="BL110" s="1777">
        <f t="shared" si="55"/>
        <v>234.6508456788973</v>
      </c>
      <c r="BM110" s="1777">
        <f t="shared" si="55"/>
        <v>196.46329311613979</v>
      </c>
      <c r="BO110" s="1739">
        <f t="shared" si="46"/>
        <v>2026</v>
      </c>
      <c r="BP110" s="1742">
        <f>_xlfn.IFNA(INDEX($AR110:$AX110,MATCH(BO110,$AR$2:$AX$2,0))*12/365*[11]核心假设及结论!$C$70*$H110,0)</f>
        <v>175911.50465753427</v>
      </c>
      <c r="BR110" s="1739">
        <f t="shared" si="51"/>
        <v>2029</v>
      </c>
      <c r="BS110" s="1742">
        <f>_xlfn.IFNA(INDEX($AR110:$AX110,MATCH(BR110,$AR$2:$AX$2,0))*12/365*[11]核心假设及结论!$C$70*$H110,0)</f>
        <v>186864.84280034571</v>
      </c>
      <c r="BU110" s="1739">
        <f t="shared" si="52"/>
        <v>2032</v>
      </c>
      <c r="BV110" s="1742">
        <f>_xlfn.IFNA(INDEX($AR110:$AX110,MATCH(BU110,$AR$2:$AX$2,0))*12/365*[11]核心假设及结论!$C$70*$H110,0)</f>
        <v>0</v>
      </c>
      <c r="BX110" s="1739">
        <f t="shared" si="53"/>
        <v>2035</v>
      </c>
      <c r="BY110" s="1742">
        <f>_xlfn.IFNA(INDEX($AR110:$AX110,MATCH(BX110,$AR$2:$AX$2,0))*12/365*[11]核心假设及结论!$C$70*$H110,0)</f>
        <v>0</v>
      </c>
      <c r="CA110" s="1739">
        <f t="shared" si="54"/>
        <v>2038</v>
      </c>
      <c r="CB110" s="1742">
        <f>_xlfn.IFNA(INDEX($AR110:$AX110,MATCH(CA110,$AR$2:$AX$2,0))*12/365*[11]核心假设及结论!$C$70*$H110,0)</f>
        <v>0</v>
      </c>
    </row>
    <row r="111" spans="1:80" ht="30" customHeight="1">
      <c r="A111" s="1756" t="s">
        <v>1666</v>
      </c>
      <c r="B111" s="1757" t="s">
        <v>1905</v>
      </c>
      <c r="C111" s="1756" t="s">
        <v>1906</v>
      </c>
      <c r="D111" s="1756" t="s">
        <v>1698</v>
      </c>
      <c r="E111" s="1758" t="s">
        <v>1698</v>
      </c>
      <c r="F111" s="1762"/>
      <c r="G111" s="1760" t="s">
        <v>1661</v>
      </c>
      <c r="H111" s="1761">
        <v>307</v>
      </c>
      <c r="I111" s="1761" t="s">
        <v>1782</v>
      </c>
      <c r="J111" s="1773">
        <v>44455</v>
      </c>
      <c r="K111" s="1773">
        <v>46280</v>
      </c>
      <c r="L111" s="1764">
        <f t="shared" si="36"/>
        <v>60</v>
      </c>
      <c r="M111" s="1774">
        <f t="shared" si="47"/>
        <v>146948.62</v>
      </c>
      <c r="N111" s="1775">
        <f t="shared" si="48"/>
        <v>365.04</v>
      </c>
      <c r="O111" s="1760">
        <v>112067.28</v>
      </c>
      <c r="P111" s="1776">
        <v>0.09</v>
      </c>
      <c r="Q111" s="1783">
        <f t="shared" si="37"/>
        <v>95</v>
      </c>
      <c r="R111" s="1784">
        <v>29165</v>
      </c>
      <c r="S111" s="1777">
        <f t="shared" si="38"/>
        <v>18.62</v>
      </c>
      <c r="T111" s="1784">
        <v>5716.34</v>
      </c>
      <c r="U111" s="1777"/>
      <c r="V111" s="1785">
        <v>1663206.7649999999</v>
      </c>
      <c r="W111" s="1785">
        <f t="shared" si="39"/>
        <v>5417.6116123778502</v>
      </c>
      <c r="X111" s="1786">
        <f>(N111+Q111)*H111/V111</f>
        <v>8.4915647874965208E-2</v>
      </c>
      <c r="Y111" s="1789">
        <f>VLOOKUP(E111,[11]核心假设及结论!$C$25:$E$45,3,0)</f>
        <v>0.2</v>
      </c>
      <c r="Z111" s="1790">
        <f t="shared" si="60"/>
        <v>112067.28000000001</v>
      </c>
      <c r="AA111" s="1790">
        <f t="shared" si="60"/>
        <v>121384.73</v>
      </c>
      <c r="AB111" s="1790">
        <f t="shared" si="60"/>
        <v>0</v>
      </c>
      <c r="AC111" s="1790">
        <f t="shared" si="60"/>
        <v>0</v>
      </c>
      <c r="AD111" s="1790">
        <f t="shared" si="60"/>
        <v>0</v>
      </c>
      <c r="AE111" s="1790">
        <f t="shared" si="60"/>
        <v>0</v>
      </c>
      <c r="AF111" s="1790">
        <f t="shared" si="60"/>
        <v>0</v>
      </c>
      <c r="AG111" s="1824">
        <v>365.04</v>
      </c>
      <c r="AH111" s="1824">
        <v>395.39</v>
      </c>
      <c r="AI111" s="1824">
        <v>0</v>
      </c>
      <c r="AJ111" s="1794">
        <v>0</v>
      </c>
      <c r="AK111" s="1794">
        <v>0</v>
      </c>
      <c r="AL111" s="1794">
        <v>0</v>
      </c>
      <c r="AM111" s="1794">
        <v>0</v>
      </c>
      <c r="AN111" s="1797"/>
      <c r="AO111" s="1797"/>
      <c r="AP111" s="1808">
        <f t="shared" si="49"/>
        <v>0.42457823937482603</v>
      </c>
      <c r="AQ111" s="1812">
        <f>IF(AP111&gt;[11]核心假设及结论!$B$62,[11]核心假设及结论!$D$62,IF(AP111&lt;=[11]核心假设及结论!$B$61,[11]核心假设及结论!$D$60,[11]核心假设及结论!$D$61))</f>
        <v>1.0811176582269599</v>
      </c>
      <c r="AR111" s="1809">
        <f t="shared" si="50"/>
        <v>365.04</v>
      </c>
      <c r="AS111" s="1809">
        <f>AH111*(AS$2&lt;=YEAR($K111))+AR111*$AQ111*(AS$2=YEAR($K111)+1)+INDEX([11]核心假设及结论!$E$17:$E$21,MATCH($D111,[11]核心假设及结论!$B$17:$B$21,0))*(AS$2&gt;YEAR($K111)+1)*AR111</f>
        <v>395.39</v>
      </c>
      <c r="AT111" s="1811">
        <f>AI111*(AT$2&lt;=YEAR($K111))+AS111*$AQ111*(AT$2=YEAR($K111)+1)+INDEX([11]核心假设及结论!$E$17:$E$21,MATCH($D111,[11]核心假设及结论!$B$17:$B$21,0))*(AT$2&gt;YEAR($K111)+1)*AS111</f>
        <v>427.4631108863577</v>
      </c>
      <c r="AU111" s="1809">
        <f>AJ111*(AU$2&lt;=YEAR($K111))+AT111*$AQ111*(AU$2=YEAR($K111)+1)+INDEX([11]核心假设及结论!$E$17:$E$21,MATCH($D111,[11]核心假设及结论!$B$17:$B$21,0))*(AU$2&gt;YEAR($K111)+1)*AT111</f>
        <v>440.55092223057306</v>
      </c>
      <c r="AV111" s="1809">
        <f>AK111*(AV$2&lt;=YEAR($K111))+AU111*$AQ111*(AV$2=YEAR($K111)+1)+INDEX([11]核心假设及结论!$E$17:$E$21,MATCH($D111,[11]核心假设及结论!$B$17:$B$21,0))*(AV$2&gt;YEAR($K111)+1)*AU111</f>
        <v>454.0394484000434</v>
      </c>
      <c r="AW111" s="1809">
        <f>AL111*(AW$2&lt;=YEAR($K111))+AV111*$AQ111*(AW$2=YEAR($K111)+1)+INDEX([11]核心假设及结论!$E$17:$E$21,MATCH($D111,[11]核心假设及结论!$B$17:$B$21,0))*(AW$2&gt;YEAR($K111)+1)*AV111</f>
        <v>467.94095824300894</v>
      </c>
      <c r="AX111" s="1809">
        <f>AM111*(AX$2&lt;=YEAR($K111))+AW111*$AQ111*(AX$2=YEAR($K111)+1)+INDEX([11]核心假设及结论!$E$17:$E$21,MATCH($D111,[11]核心假设及结论!$B$17:$B$21,0))*(AX$2&gt;YEAR($K111)+1)*AW111</f>
        <v>482.26809624800984</v>
      </c>
      <c r="AZ111" s="1746">
        <f t="shared" si="40"/>
        <v>46280</v>
      </c>
      <c r="BA111" s="1817">
        <f t="shared" si="41"/>
        <v>45658</v>
      </c>
      <c r="BB111" s="1817">
        <f t="shared" si="42"/>
        <v>45915</v>
      </c>
      <c r="BC111" s="1817">
        <f t="shared" si="43"/>
        <v>46022</v>
      </c>
      <c r="BD111" s="1818">
        <f t="shared" si="44"/>
        <v>258</v>
      </c>
      <c r="BE111" s="1818">
        <f t="shared" si="45"/>
        <v>107</v>
      </c>
      <c r="BG111" s="1777">
        <f t="shared" si="58"/>
        <v>137.75843621917809</v>
      </c>
      <c r="BH111" s="1777">
        <f t="shared" si="56"/>
        <v>149.12546652988263</v>
      </c>
      <c r="BI111" s="1777">
        <f t="shared" si="56"/>
        <v>158.89085064728857</v>
      </c>
      <c r="BJ111" s="1777">
        <f t="shared" si="56"/>
        <v>163.75567623020643</v>
      </c>
      <c r="BK111" s="1777">
        <f t="shared" si="55"/>
        <v>168.76945015002227</v>
      </c>
      <c r="BL111" s="1777">
        <f t="shared" si="55"/>
        <v>173.93673281834512</v>
      </c>
      <c r="BM111" s="1777">
        <f t="shared" si="55"/>
        <v>125.58419780192831</v>
      </c>
      <c r="BO111" s="1739">
        <f t="shared" si="46"/>
        <v>2026</v>
      </c>
      <c r="BP111" s="1742">
        <f>_xlfn.IFNA(INDEX($AR111:$AX111,MATCH(BO111,$AR$2:$AX$2,0))*12/365*[11]核心假设及结论!$C$70*$H111,0)</f>
        <v>119721.92547945205</v>
      </c>
      <c r="BR111" s="1739">
        <f t="shared" si="51"/>
        <v>2031</v>
      </c>
      <c r="BS111" s="1742">
        <f>_xlfn.IFNA(INDEX($AR111:$AX111,MATCH(BR111,$AR$2:$AX$2,0))*12/365*[11]核心假设及结论!$C$70*$H111,0)</f>
        <v>146028.13697898641</v>
      </c>
      <c r="BU111" s="1739">
        <f t="shared" si="52"/>
        <v>2036</v>
      </c>
      <c r="BV111" s="1742">
        <f>_xlfn.IFNA(INDEX($AR111:$AX111,MATCH(BU111,$AR$2:$AX$2,0))*12/365*[11]核心假设及结论!$C$70*$H111,0)</f>
        <v>0</v>
      </c>
      <c r="BX111" s="1739">
        <f t="shared" si="53"/>
        <v>2041</v>
      </c>
      <c r="BY111" s="1742">
        <f>_xlfn.IFNA(INDEX($AR111:$AX111,MATCH(BX111,$AR$2:$AX$2,0))*12/365*[11]核心假设及结论!$C$70*$H111,0)</f>
        <v>0</v>
      </c>
      <c r="CA111" s="1739">
        <f t="shared" si="54"/>
        <v>2046</v>
      </c>
      <c r="CB111" s="1742">
        <f>_xlfn.IFNA(INDEX($AR111:$AX111,MATCH(CA111,$AR$2:$AX$2,0))*12/365*[11]核心假设及结论!$C$70*$H111,0)</f>
        <v>0</v>
      </c>
    </row>
    <row r="112" spans="1:80" ht="30" customHeight="1">
      <c r="A112" s="1756" t="s">
        <v>1666</v>
      </c>
      <c r="B112" s="1757" t="s">
        <v>1907</v>
      </c>
      <c r="C112" s="1756" t="s">
        <v>1908</v>
      </c>
      <c r="D112" s="1756" t="s">
        <v>1698</v>
      </c>
      <c r="E112" s="1758" t="s">
        <v>1698</v>
      </c>
      <c r="F112" s="1762"/>
      <c r="G112" s="1760" t="s">
        <v>1661</v>
      </c>
      <c r="H112" s="1761">
        <v>307</v>
      </c>
      <c r="I112" s="1761" t="s">
        <v>1782</v>
      </c>
      <c r="J112" s="1773">
        <v>44454</v>
      </c>
      <c r="K112" s="1773">
        <v>46279</v>
      </c>
      <c r="L112" s="1764">
        <f t="shared" si="36"/>
        <v>60</v>
      </c>
      <c r="M112" s="1774">
        <f t="shared" si="47"/>
        <v>137637.31</v>
      </c>
      <c r="N112" s="1775">
        <f t="shared" si="48"/>
        <v>334.71</v>
      </c>
      <c r="O112" s="1760">
        <v>102755.97</v>
      </c>
      <c r="P112" s="1776">
        <v>0.08</v>
      </c>
      <c r="Q112" s="1783">
        <f t="shared" si="37"/>
        <v>95</v>
      </c>
      <c r="R112" s="1784">
        <v>29165</v>
      </c>
      <c r="S112" s="1777">
        <f t="shared" si="38"/>
        <v>18.62</v>
      </c>
      <c r="T112" s="1784">
        <v>5716.34</v>
      </c>
      <c r="U112" s="1777"/>
      <c r="V112" s="1785">
        <v>942715.73166666704</v>
      </c>
      <c r="W112" s="1785">
        <f t="shared" si="39"/>
        <v>3070.7352823018468</v>
      </c>
      <c r="X112" s="1786">
        <f>(N112+Q112)*H112/V112</f>
        <v>0.13993716829862524</v>
      </c>
      <c r="Y112" s="1789">
        <f>VLOOKUP(E112,[11]核心假设及结论!$C$25:$E$45,3,0)</f>
        <v>0.2</v>
      </c>
      <c r="Z112" s="1790">
        <f t="shared" si="60"/>
        <v>102755.96999999999</v>
      </c>
      <c r="AA112" s="1790">
        <f t="shared" si="60"/>
        <v>107360.96999999999</v>
      </c>
      <c r="AB112" s="1790">
        <f t="shared" si="60"/>
        <v>0</v>
      </c>
      <c r="AC112" s="1790">
        <f t="shared" si="60"/>
        <v>0</v>
      </c>
      <c r="AD112" s="1790">
        <f t="shared" si="60"/>
        <v>0</v>
      </c>
      <c r="AE112" s="1790">
        <f t="shared" si="60"/>
        <v>0</v>
      </c>
      <c r="AF112" s="1790">
        <f t="shared" si="60"/>
        <v>0</v>
      </c>
      <c r="AG112" s="1794">
        <v>334.71</v>
      </c>
      <c r="AH112" s="1794">
        <v>349.71</v>
      </c>
      <c r="AI112" s="1794">
        <v>0</v>
      </c>
      <c r="AJ112" s="1794">
        <v>0</v>
      </c>
      <c r="AK112" s="1794">
        <v>0</v>
      </c>
      <c r="AL112" s="1794">
        <v>0</v>
      </c>
      <c r="AM112" s="1794">
        <v>0</v>
      </c>
      <c r="AN112" s="1797"/>
      <c r="AO112" s="1797"/>
      <c r="AP112" s="1808">
        <f t="shared" si="49"/>
        <v>0.69968584149312618</v>
      </c>
      <c r="AQ112" s="1812">
        <f>IF(AP112&gt;[11]核心假设及结论!$B$62,[11]核心假设及结论!$D$62,IF(AP112&lt;=[11]核心假设及结论!$B$61,[11]核心假设及结论!$D$60,[11]核心假设及结论!$D$61))</f>
        <v>1.0811176582269599</v>
      </c>
      <c r="AR112" s="1809">
        <f t="shared" si="50"/>
        <v>334.71</v>
      </c>
      <c r="AS112" s="1809">
        <f>AH112*(AS$2&lt;=YEAR($K112))+AR112*$AQ112*(AS$2=YEAR($K112)+1)+INDEX([11]核心假设及结论!$E$17:$E$21,MATCH($D112,[11]核心假设及结论!$B$17:$B$21,0))*(AS$2&gt;YEAR($K112)+1)*AR112</f>
        <v>349.71</v>
      </c>
      <c r="AT112" s="1811">
        <f>AI112*(AT$2&lt;=YEAR($K112))+AS112*$AQ112*(AT$2=YEAR($K112)+1)+INDEX([11]核心假设及结论!$E$17:$E$21,MATCH($D112,[11]核心假设及结论!$B$17:$B$21,0))*(AT$2&gt;YEAR($K112)+1)*AS112</f>
        <v>378.07765625855012</v>
      </c>
      <c r="AU112" s="1809">
        <f>AJ112*(AU$2&lt;=YEAR($K112))+AT112*$AQ112*(AU$2=YEAR($K112)+1)+INDEX([11]核心假设及结论!$E$17:$E$21,MATCH($D112,[11]核心假设及结论!$B$17:$B$21,0))*(AU$2&gt;YEAR($K112)+1)*AT112</f>
        <v>389.65341311933457</v>
      </c>
      <c r="AV112" s="1809">
        <f>AK112*(AV$2&lt;=YEAR($K112))+AU112*$AQ112*(AV$2=YEAR($K112)+1)+INDEX([11]核心假设及结论!$E$17:$E$21,MATCH($D112,[11]核心假设及结论!$B$17:$B$21,0))*(AV$2&gt;YEAR($K112)+1)*AU112</f>
        <v>401.58358962032213</v>
      </c>
      <c r="AW112" s="1809">
        <f>AL112*(AW$2&lt;=YEAR($K112))+AV112*$AQ112*(AW$2=YEAR($K112)+1)+INDEX([11]核心假设及结论!$E$17:$E$21,MATCH($D112,[11]核心假设及结论!$B$17:$B$21,0))*(AW$2&gt;YEAR($K112)+1)*AV112</f>
        <v>413.87903717130592</v>
      </c>
      <c r="AX112" s="1809">
        <f>AM112*(AX$2&lt;=YEAR($K112))+AW112*$AQ112*(AX$2=YEAR($K112)+1)+INDEX([11]核心假设及结论!$E$17:$E$21,MATCH($D112,[11]核心假设及结论!$B$17:$B$21,0))*(AX$2&gt;YEAR($K112)+1)*AW112</f>
        <v>426.55093942409144</v>
      </c>
      <c r="AZ112" s="1746">
        <f t="shared" si="40"/>
        <v>46279</v>
      </c>
      <c r="BA112" s="1817">
        <f t="shared" si="41"/>
        <v>45658</v>
      </c>
      <c r="BB112" s="1817">
        <f t="shared" si="42"/>
        <v>45914</v>
      </c>
      <c r="BC112" s="1817">
        <f t="shared" si="43"/>
        <v>46022</v>
      </c>
      <c r="BD112" s="1818">
        <f t="shared" si="44"/>
        <v>257</v>
      </c>
      <c r="BE112" s="1818">
        <f t="shared" si="45"/>
        <v>108</v>
      </c>
      <c r="BG112" s="1777">
        <f t="shared" si="58"/>
        <v>124.9422544109589</v>
      </c>
      <c r="BH112" s="1777">
        <f t="shared" si="56"/>
        <v>131.92540951531558</v>
      </c>
      <c r="BI112" s="1777">
        <f t="shared" si="56"/>
        <v>140.54563583516054</v>
      </c>
      <c r="BJ112" s="1777">
        <f t="shared" si="56"/>
        <v>144.84877853968365</v>
      </c>
      <c r="BK112" s="1777">
        <f t="shared" si="55"/>
        <v>149.28367230873079</v>
      </c>
      <c r="BL112" s="1777">
        <f t="shared" si="55"/>
        <v>153.85435101805163</v>
      </c>
      <c r="BM112" s="1777">
        <f t="shared" si="55"/>
        <v>110.64474269464567</v>
      </c>
      <c r="BO112" s="1739">
        <f t="shared" si="46"/>
        <v>2026</v>
      </c>
      <c r="BP112" s="1742">
        <f>_xlfn.IFNA(INDEX($AR112:$AX112,MATCH(BO112,$AR$2:$AX$2,0))*12/365*[11]核心假设及结论!$C$70*$H112,0)</f>
        <v>105890.2717808219</v>
      </c>
      <c r="BR112" s="1739">
        <f t="shared" si="51"/>
        <v>2031</v>
      </c>
      <c r="BS112" s="1742">
        <f>_xlfn.IFNA(INDEX($AR112:$AX112,MATCH(BR112,$AR$2:$AX$2,0))*12/365*[11]核心假设及结论!$C$70*$H112,0)</f>
        <v>129157.28719219337</v>
      </c>
      <c r="BU112" s="1739">
        <f t="shared" si="52"/>
        <v>2036</v>
      </c>
      <c r="BV112" s="1742">
        <f>_xlfn.IFNA(INDEX($AR112:$AX112,MATCH(BU112,$AR$2:$AX$2,0))*12/365*[11]核心假设及结论!$C$70*$H112,0)</f>
        <v>0</v>
      </c>
      <c r="BX112" s="1739">
        <f t="shared" si="53"/>
        <v>2041</v>
      </c>
      <c r="BY112" s="1742">
        <f>_xlfn.IFNA(INDEX($AR112:$AX112,MATCH(BX112,$AR$2:$AX$2,0))*12/365*[11]核心假设及结论!$C$70*$H112,0)</f>
        <v>0</v>
      </c>
      <c r="CA112" s="1739">
        <f t="shared" si="54"/>
        <v>2046</v>
      </c>
      <c r="CB112" s="1742">
        <f>_xlfn.IFNA(INDEX($AR112:$AX112,MATCH(CA112,$AR$2:$AX$2,0))*12/365*[11]核心假设及结论!$C$70*$H112,0)</f>
        <v>0</v>
      </c>
    </row>
    <row r="113" spans="1:80" ht="30" customHeight="1">
      <c r="A113" s="1756" t="s">
        <v>1662</v>
      </c>
      <c r="B113" s="1757" t="s">
        <v>1909</v>
      </c>
      <c r="C113" s="1756" t="s">
        <v>1910</v>
      </c>
      <c r="D113" s="1756" t="s">
        <v>1685</v>
      </c>
      <c r="E113" s="1758" t="s">
        <v>1692</v>
      </c>
      <c r="F113" s="1759"/>
      <c r="G113" s="1760" t="s">
        <v>1661</v>
      </c>
      <c r="H113" s="1761">
        <v>305</v>
      </c>
      <c r="I113" s="1761" t="s">
        <v>1782</v>
      </c>
      <c r="J113" s="1773">
        <v>44858</v>
      </c>
      <c r="K113" s="1773">
        <v>45953</v>
      </c>
      <c r="L113" s="1764">
        <f t="shared" si="36"/>
        <v>36</v>
      </c>
      <c r="M113" s="1774">
        <f t="shared" si="47"/>
        <v>206100.7</v>
      </c>
      <c r="N113" s="1775">
        <f t="shared" si="48"/>
        <v>562.74</v>
      </c>
      <c r="O113" s="1760">
        <v>171635.7</v>
      </c>
      <c r="P113" s="1776">
        <v>0.17</v>
      </c>
      <c r="Q113" s="1783">
        <f t="shared" si="37"/>
        <v>95</v>
      </c>
      <c r="R113" s="1784">
        <v>28975</v>
      </c>
      <c r="S113" s="1777">
        <f t="shared" si="38"/>
        <v>18</v>
      </c>
      <c r="T113" s="1777">
        <v>5490</v>
      </c>
      <c r="U113" s="1777"/>
      <c r="V113" s="1785">
        <v>766249.06</v>
      </c>
      <c r="W113" s="1785">
        <f t="shared" si="39"/>
        <v>2512.2920000000004</v>
      </c>
      <c r="X113" s="1786">
        <f>(N113+Q113)*H113/V113</f>
        <v>0.26180873879310207</v>
      </c>
      <c r="Y113" s="1789">
        <f>VLOOKUP(E113,[11]核心假设及结论!$C$25:$E$45,3,0)</f>
        <v>0.2</v>
      </c>
      <c r="Z113" s="1790">
        <f t="shared" si="60"/>
        <v>176311.35</v>
      </c>
      <c r="AA113" s="1790">
        <f t="shared" si="60"/>
        <v>0</v>
      </c>
      <c r="AB113" s="1790">
        <f t="shared" si="60"/>
        <v>0</v>
      </c>
      <c r="AC113" s="1790">
        <f t="shared" si="60"/>
        <v>0</v>
      </c>
      <c r="AD113" s="1790">
        <f t="shared" si="60"/>
        <v>0</v>
      </c>
      <c r="AE113" s="1790">
        <f t="shared" si="60"/>
        <v>0</v>
      </c>
      <c r="AF113" s="1790">
        <f t="shared" si="60"/>
        <v>0</v>
      </c>
      <c r="AG113" s="1794">
        <v>578.07000000000005</v>
      </c>
      <c r="AH113" s="1794">
        <v>0</v>
      </c>
      <c r="AI113" s="1794">
        <v>0</v>
      </c>
      <c r="AJ113" s="1794">
        <v>0</v>
      </c>
      <c r="AK113" s="1794">
        <v>0</v>
      </c>
      <c r="AL113" s="1794">
        <v>0</v>
      </c>
      <c r="AM113" s="1794">
        <v>0</v>
      </c>
      <c r="AN113" s="1795"/>
      <c r="AO113" s="1795"/>
      <c r="AP113" s="1808">
        <f t="shared" si="49"/>
        <v>1.3090436939655103</v>
      </c>
      <c r="AQ113" s="1810">
        <f>IF(AP113&gt;[11]核心假设及结论!$B$59,[11]核心假设及结论!$D$59,IF(AP113&lt;=[11]核心假设及结论!$B$58,[11]核心假设及结论!$D$57,[11]核心假设及结论!$D$58))</f>
        <v>1.0069999999999999</v>
      </c>
      <c r="AR113" s="1809">
        <f t="shared" si="50"/>
        <v>578.07000000000005</v>
      </c>
      <c r="AS113" s="1811">
        <f>AH113*(AS$2&lt;=YEAR($K113))+AR113*$AQ113*(AS$2=YEAR($K113)+1)+INDEX([11]核心假设及结论!$E$17:$E$21,MATCH($D113,[11]核心假设及结论!$B$17:$B$21,0))*(AS$2&gt;YEAR($K113)+1)*AR113</f>
        <v>582.11649</v>
      </c>
      <c r="AT113" s="1809">
        <f>AI113*(AT$2&lt;=YEAR($K113))+AS113*$AQ113*(AT$2=YEAR($K113)+1)+INDEX([11]核心假设及结论!$E$17:$E$21,MATCH($D113,[11]核心假设及结论!$B$17:$B$21,0))*(AT$2&gt;YEAR($K113)+1)*AS113</f>
        <v>597.8769976736653</v>
      </c>
      <c r="AU113" s="1809">
        <f>AJ113*(AU$2&lt;=YEAR($K113))+AT113*$AQ113*(AU$2=YEAR($K113)+1)+INDEX([11]核心假设及结论!$E$17:$E$21,MATCH($D113,[11]核心假设及结论!$B$17:$B$21,0))*(AU$2&gt;YEAR($K113)+1)*AT113</f>
        <v>614.06421307061066</v>
      </c>
      <c r="AV113" s="1809">
        <f>AK113*(AV$2&lt;=YEAR($K113))+AU113*$AQ113*(AV$2=YEAR($K113)+1)+INDEX([11]核心假设及结论!$E$17:$E$21,MATCH($D113,[11]核心假设及结论!$B$17:$B$21,0))*(AV$2&gt;YEAR($K113)+1)*AU113</f>
        <v>630.68968908525267</v>
      </c>
      <c r="AW113" s="1809">
        <f>AL113*(AW$2&lt;=YEAR($K113))+AV113*$AQ113*(AW$2=YEAR($K113)+1)+INDEX([11]核心假设及结论!$E$17:$E$21,MATCH($D113,[11]核心假设及结论!$B$17:$B$21,0))*(AW$2&gt;YEAR($K113)+1)*AV113</f>
        <v>647.76529140074399</v>
      </c>
      <c r="AX113" s="1809">
        <f>AM113*(AX$2&lt;=YEAR($K113))+AW113*$AQ113*(AX$2=YEAR($K113)+1)+INDEX([11]核心假设及结论!$E$17:$E$21,MATCH($D113,[11]核心假设及结论!$B$17:$B$21,0))*(AX$2&gt;YEAR($K113)+1)*AW113</f>
        <v>665.30320695756916</v>
      </c>
      <c r="AZ113" s="1746">
        <f t="shared" si="40"/>
        <v>45953</v>
      </c>
      <c r="BA113" s="1817">
        <f t="shared" si="41"/>
        <v>45658</v>
      </c>
      <c r="BB113" s="1817">
        <f t="shared" si="42"/>
        <v>45953</v>
      </c>
      <c r="BC113" s="1817">
        <f t="shared" si="43"/>
        <v>46022</v>
      </c>
      <c r="BD113" s="1818">
        <f t="shared" si="44"/>
        <v>296</v>
      </c>
      <c r="BE113" s="1818">
        <f t="shared" si="45"/>
        <v>69</v>
      </c>
      <c r="BG113" s="1777">
        <f t="shared" si="58"/>
        <v>211.85359276290416</v>
      </c>
      <c r="BH113" s="1777">
        <f t="shared" si="56"/>
        <v>214.14508975312532</v>
      </c>
      <c r="BI113" s="1777">
        <f t="shared" si="56"/>
        <v>219.94295905988878</v>
      </c>
      <c r="BJ113" s="1777">
        <f t="shared" si="56"/>
        <v>225.89780272705929</v>
      </c>
      <c r="BK113" s="1777">
        <f t="shared" si="55"/>
        <v>232.01387075554612</v>
      </c>
      <c r="BL113" s="1777">
        <f t="shared" si="55"/>
        <v>238.29552821286973</v>
      </c>
      <c r="BM113" s="1777">
        <f t="shared" si="55"/>
        <v>197.46928281905537</v>
      </c>
      <c r="BO113" s="1739">
        <f t="shared" si="46"/>
        <v>2025</v>
      </c>
      <c r="BP113" s="1742">
        <f>_xlfn.IFNA(INDEX($AR113:$AX113,MATCH(BO113,$AR$2:$AX$2,0))*12/365*[11]核心假设及结论!$C$70*$H113,0)</f>
        <v>173896.12602739726</v>
      </c>
      <c r="BR113" s="1739">
        <f t="shared" si="51"/>
        <v>2028</v>
      </c>
      <c r="BS113" s="1742">
        <f>_xlfn.IFNA(INDEX($AR113:$AX113,MATCH(BR113,$AR$2:$AX$2,0))*12/365*[11]核心假设及结论!$C$70*$H113,0)</f>
        <v>184723.97423329606</v>
      </c>
      <c r="BU113" s="1739">
        <f t="shared" si="52"/>
        <v>2031</v>
      </c>
      <c r="BV113" s="1742">
        <f>_xlfn.IFNA(INDEX($AR113:$AX113,MATCH(BU113,$AR$2:$AX$2,0))*12/365*[11]核心假设及结论!$C$70*$H113,0)</f>
        <v>200137.7866409345</v>
      </c>
      <c r="BX113" s="1739">
        <f t="shared" si="53"/>
        <v>2034</v>
      </c>
      <c r="BY113" s="1742">
        <f>_xlfn.IFNA(INDEX($AR113:$AX113,MATCH(BX113,$AR$2:$AX$2,0))*12/365*[11]核心假设及结论!$C$70*$H113,0)</f>
        <v>0</v>
      </c>
      <c r="CA113" s="1739">
        <f t="shared" si="54"/>
        <v>2037</v>
      </c>
      <c r="CB113" s="1742">
        <f>_xlfn.IFNA(INDEX($AR113:$AX113,MATCH(CA113,$AR$2:$AX$2,0))*12/365*[11]核心假设及结论!$C$70*$H113,0)</f>
        <v>0</v>
      </c>
    </row>
    <row r="114" spans="1:80" ht="30" customHeight="1">
      <c r="A114" s="1756" t="s">
        <v>1662</v>
      </c>
      <c r="B114" s="1757" t="s">
        <v>1911</v>
      </c>
      <c r="C114" s="1756" t="s">
        <v>1912</v>
      </c>
      <c r="D114" s="1756" t="s">
        <v>1685</v>
      </c>
      <c r="E114" s="1758" t="s">
        <v>1692</v>
      </c>
      <c r="F114" s="1759"/>
      <c r="G114" s="1760" t="s">
        <v>1661</v>
      </c>
      <c r="H114" s="1761">
        <v>299</v>
      </c>
      <c r="I114" s="1761" t="s">
        <v>1913</v>
      </c>
      <c r="J114" s="1773">
        <v>45352</v>
      </c>
      <c r="K114" s="1773">
        <v>46446</v>
      </c>
      <c r="L114" s="1764">
        <f t="shared" si="36"/>
        <v>36</v>
      </c>
      <c r="M114" s="1774">
        <f t="shared" si="47"/>
        <v>255109.79</v>
      </c>
      <c r="N114" s="1775">
        <f t="shared" si="48"/>
        <v>745.21</v>
      </c>
      <c r="O114" s="1760">
        <v>222817.79</v>
      </c>
      <c r="P114" s="1776">
        <v>0.16</v>
      </c>
      <c r="Q114" s="1783">
        <f t="shared" si="37"/>
        <v>90</v>
      </c>
      <c r="R114" s="1784">
        <v>26910</v>
      </c>
      <c r="S114" s="1777">
        <f t="shared" si="38"/>
        <v>18</v>
      </c>
      <c r="T114" s="1784">
        <v>5382</v>
      </c>
      <c r="U114" s="1777"/>
      <c r="V114" s="1785">
        <v>1113464.97</v>
      </c>
      <c r="W114" s="1785">
        <f t="shared" si="39"/>
        <v>3723.963110367893</v>
      </c>
      <c r="X114" s="1786">
        <f>(N114+Q114+S114)*H114/V114</f>
        <v>0.22911344036265463</v>
      </c>
      <c r="Y114" s="1789">
        <f>VLOOKUP(E114,[11]核心假设及结论!$C$25:$E$45,3,0)</f>
        <v>0.2</v>
      </c>
      <c r="Z114" s="1790">
        <f t="shared" si="60"/>
        <v>222817.79</v>
      </c>
      <c r="AA114" s="1790">
        <f t="shared" si="60"/>
        <v>227272.89</v>
      </c>
      <c r="AB114" s="1790">
        <f t="shared" si="60"/>
        <v>231820.68000000002</v>
      </c>
      <c r="AC114" s="1790">
        <f t="shared" si="60"/>
        <v>0</v>
      </c>
      <c r="AD114" s="1790">
        <f t="shared" si="60"/>
        <v>0</v>
      </c>
      <c r="AE114" s="1790">
        <f t="shared" si="60"/>
        <v>0</v>
      </c>
      <c r="AF114" s="1790">
        <f t="shared" si="60"/>
        <v>0</v>
      </c>
      <c r="AG114" s="1794">
        <v>745.21</v>
      </c>
      <c r="AH114" s="1794">
        <v>760.11</v>
      </c>
      <c r="AI114" s="1794">
        <v>775.32</v>
      </c>
      <c r="AJ114" s="1794">
        <v>0</v>
      </c>
      <c r="AK114" s="1794">
        <v>0</v>
      </c>
      <c r="AL114" s="1794">
        <v>0</v>
      </c>
      <c r="AM114" s="1794">
        <v>0</v>
      </c>
      <c r="AN114" s="1797"/>
      <c r="AO114" s="1797"/>
      <c r="AP114" s="1808">
        <f t="shared" si="49"/>
        <v>1.145567201813273</v>
      </c>
      <c r="AQ114" s="1810">
        <f>IF(AP114&gt;[11]核心假设及结论!$B$59,[11]核心假设及结论!$D$59,IF(AP114&lt;=[11]核心假设及结论!$B$58,[11]核心假设及结论!$D$57,[11]核心假设及结论!$D$58))</f>
        <v>1.0069999999999999</v>
      </c>
      <c r="AR114" s="1809">
        <f t="shared" si="50"/>
        <v>745.21</v>
      </c>
      <c r="AS114" s="1809">
        <f>AH114*(AS$2&lt;=YEAR($K114))+AR114*$AQ114*(AS$2=YEAR($K114)+1)+INDEX([11]核心假设及结论!$E$17:$E$21,MATCH($D114,[11]核心假设及结论!$B$17:$B$21,0))*(AS$2&gt;YEAR($K114)+1)*AR114</f>
        <v>760.11</v>
      </c>
      <c r="AT114" s="1809">
        <f>AI114*(AT$2&lt;=YEAR($K114))+AS114*$AQ114*(AT$2=YEAR($K114)+1)+INDEX([11]核心假设及结论!$E$17:$E$21,MATCH($D114,[11]核心假设及结论!$B$17:$B$21,0))*(AT$2&gt;YEAR($K114)+1)*AS114</f>
        <v>775.32</v>
      </c>
      <c r="AU114" s="1811">
        <f>AJ114*(AU$2&lt;=YEAR($K114))+AT114*$AQ114*(AU$2=YEAR($K114)+1)+INDEX([11]核心假设及结论!$E$17:$E$21,MATCH($D114,[11]核心假设及结论!$B$17:$B$21,0))*(AU$2&gt;YEAR($K114)+1)*AT114</f>
        <v>780.74723999999992</v>
      </c>
      <c r="AV114" s="1809">
        <f>AK114*(AV$2&lt;=YEAR($K114))+AU114*$AQ114*(AV$2=YEAR($K114)+1)+INDEX([11]核心假设及结论!$E$17:$E$21,MATCH($D114,[11]核心假设及结论!$B$17:$B$21,0))*(AV$2&gt;YEAR($K114)+1)*AU114</f>
        <v>801.8855741282996</v>
      </c>
      <c r="AW114" s="1809">
        <f>AL114*(AW$2&lt;=YEAR($K114))+AV114*$AQ114*(AW$2=YEAR($K114)+1)+INDEX([11]核心假设及结论!$E$17:$E$21,MATCH($D114,[11]核心假设及结论!$B$17:$B$21,0))*(AW$2&gt;YEAR($K114)+1)*AV114</f>
        <v>823.5962178938637</v>
      </c>
      <c r="AX114" s="1809">
        <f>AM114*(AX$2&lt;=YEAR($K114))+AW114*$AQ114*(AX$2=YEAR($K114)+1)+INDEX([11]核心假设及结论!$E$17:$E$21,MATCH($D114,[11]核心假设及结论!$B$17:$B$21,0))*(AX$2&gt;YEAR($K114)+1)*AW114</f>
        <v>845.89466628881974</v>
      </c>
      <c r="AZ114" s="1746">
        <f t="shared" si="40"/>
        <v>46446</v>
      </c>
      <c r="BA114" s="1817">
        <f t="shared" si="41"/>
        <v>45658</v>
      </c>
      <c r="BB114" s="1817">
        <f t="shared" si="42"/>
        <v>45716</v>
      </c>
      <c r="BC114" s="1817">
        <f t="shared" si="43"/>
        <v>46022</v>
      </c>
      <c r="BD114" s="1818">
        <f t="shared" si="44"/>
        <v>59</v>
      </c>
      <c r="BE114" s="1818">
        <f t="shared" si="45"/>
        <v>306</v>
      </c>
      <c r="BG114" s="1777">
        <f t="shared" si="58"/>
        <v>271.8633006575343</v>
      </c>
      <c r="BH114" s="1777">
        <f t="shared" si="56"/>
        <v>277.3026693369863</v>
      </c>
      <c r="BI114" s="1777">
        <f t="shared" si="56"/>
        <v>279.81734168732055</v>
      </c>
      <c r="BJ114" s="1777">
        <f t="shared" si="56"/>
        <v>286.49056694838788</v>
      </c>
      <c r="BK114" s="1777">
        <f t="shared" si="55"/>
        <v>294.2471532268882</v>
      </c>
      <c r="BL114" s="1777">
        <f t="shared" si="55"/>
        <v>302.21374513083265</v>
      </c>
      <c r="BM114" s="1777">
        <f t="shared" si="55"/>
        <v>49.06003662904461</v>
      </c>
      <c r="BO114" s="1739">
        <f t="shared" si="46"/>
        <v>2027</v>
      </c>
      <c r="BP114" s="1742">
        <f>_xlfn.IFNA(INDEX($AR114:$AX114,MATCH(BO114,$AR$2:$AX$2,0))*12/365*[11]核心假设及结论!$C$70*$H114,0)</f>
        <v>228645.05424657534</v>
      </c>
      <c r="BR114" s="1739">
        <f t="shared" si="51"/>
        <v>2030</v>
      </c>
      <c r="BS114" s="1742">
        <f>_xlfn.IFNA(INDEX($AR114:$AX114,MATCH(BR114,$AR$2:$AX$2,0))*12/365*[11]核心假设及结论!$C$70*$H114,0)</f>
        <v>242881.90929889178</v>
      </c>
      <c r="BU114" s="1739">
        <f t="shared" si="52"/>
        <v>2033</v>
      </c>
      <c r="BV114" s="1742">
        <f>_xlfn.IFNA(INDEX($AR114:$AX114,MATCH(BU114,$AR$2:$AX$2,0))*12/365*[11]核心假设及结论!$C$70*$H114,0)</f>
        <v>0</v>
      </c>
      <c r="BX114" s="1739">
        <f t="shared" si="53"/>
        <v>2036</v>
      </c>
      <c r="BY114" s="1742">
        <f>_xlfn.IFNA(INDEX($AR114:$AX114,MATCH(BX114,$AR$2:$AX$2,0))*12/365*[11]核心假设及结论!$C$70*$H114,0)</f>
        <v>0</v>
      </c>
      <c r="CA114" s="1739">
        <f t="shared" si="54"/>
        <v>2039</v>
      </c>
      <c r="CB114" s="1742">
        <f>_xlfn.IFNA(INDEX($AR114:$AX114,MATCH(CA114,$AR$2:$AX$2,0))*12/365*[11]核心假设及结论!$C$70*$H114,0)</f>
        <v>0</v>
      </c>
    </row>
    <row r="115" spans="1:80" ht="30" customHeight="1">
      <c r="A115" s="1763" t="s">
        <v>1666</v>
      </c>
      <c r="B115" s="1757" t="s">
        <v>1914</v>
      </c>
      <c r="C115" s="1822" t="s">
        <v>1915</v>
      </c>
      <c r="D115" s="1764" t="s">
        <v>1685</v>
      </c>
      <c r="E115" s="1764" t="s">
        <v>1709</v>
      </c>
      <c r="F115" s="1765"/>
      <c r="G115" s="1763" t="s">
        <v>1682</v>
      </c>
      <c r="H115" s="1761">
        <v>299</v>
      </c>
      <c r="I115" s="1763" t="s">
        <v>1913</v>
      </c>
      <c r="J115" s="1773">
        <v>45701</v>
      </c>
      <c r="K115" s="1773">
        <v>47161</v>
      </c>
      <c r="L115" s="1764">
        <f t="shared" si="36"/>
        <v>48</v>
      </c>
      <c r="M115" s="1774">
        <f t="shared" si="47"/>
        <v>9867</v>
      </c>
      <c r="N115" s="1775">
        <f t="shared" si="48"/>
        <v>0</v>
      </c>
      <c r="O115" s="1777">
        <v>0</v>
      </c>
      <c r="P115" s="1763">
        <v>0</v>
      </c>
      <c r="Q115" s="1783">
        <f t="shared" si="37"/>
        <v>20</v>
      </c>
      <c r="R115" s="1763">
        <v>5980</v>
      </c>
      <c r="S115" s="1777">
        <f t="shared" si="38"/>
        <v>13</v>
      </c>
      <c r="T115" s="1763">
        <v>3887</v>
      </c>
      <c r="U115" s="1763"/>
      <c r="V115" s="1785"/>
      <c r="W115" s="1785">
        <f t="shared" si="39"/>
        <v>0</v>
      </c>
      <c r="X115" s="1786" t="e">
        <f t="shared" ref="X115:X124" si="61">(N115+Q115)*H115/V115</f>
        <v>#DIV/0!</v>
      </c>
      <c r="Y115" s="1789">
        <f>VLOOKUP(E115,[11]核心假设及结论!$C$25:$E$45,3,0)</f>
        <v>0.2</v>
      </c>
      <c r="Z115" s="1790">
        <f t="shared" si="60"/>
        <v>63692.98</v>
      </c>
      <c r="AA115" s="1790">
        <f t="shared" si="60"/>
        <v>50019.71</v>
      </c>
      <c r="AB115" s="1790">
        <f t="shared" si="60"/>
        <v>52749.579999999994</v>
      </c>
      <c r="AC115" s="1790">
        <f t="shared" si="60"/>
        <v>55476.46</v>
      </c>
      <c r="AD115" s="1790">
        <f t="shared" si="60"/>
        <v>58206.329999999994</v>
      </c>
      <c r="AE115" s="1790">
        <f t="shared" si="60"/>
        <v>0</v>
      </c>
      <c r="AF115" s="1790">
        <f t="shared" si="60"/>
        <v>0</v>
      </c>
      <c r="AG115" s="1825">
        <v>213.02</v>
      </c>
      <c r="AH115" s="1825">
        <v>167.29</v>
      </c>
      <c r="AI115" s="1825">
        <v>176.42</v>
      </c>
      <c r="AJ115" s="1825">
        <v>185.54</v>
      </c>
      <c r="AK115" s="1825">
        <v>194.67</v>
      </c>
      <c r="AL115" s="1825">
        <v>0</v>
      </c>
      <c r="AM115" s="1825">
        <v>0</v>
      </c>
      <c r="AN115" s="1764"/>
      <c r="AO115" s="1764"/>
      <c r="AP115" s="1808">
        <f t="shared" si="49"/>
        <v>1.25</v>
      </c>
      <c r="AQ115" s="1810">
        <f>IF(AP115&gt;[11]核心假设及结论!$B$59,[11]核心假设及结论!$D$59,IF(AP115&lt;=[11]核心假设及结论!$B$58,[11]核心假设及结论!$D$57,[11]核心假设及结论!$D$58))</f>
        <v>1.0069999999999999</v>
      </c>
      <c r="AR115" s="1809">
        <f t="shared" si="50"/>
        <v>213.02</v>
      </c>
      <c r="AS115" s="1809">
        <f>AH115*(AS$2&lt;=YEAR($K115))+AR115*$AQ115*(AS$2=YEAR($K115)+1)+INDEX([11]核心假设及结论!$E$17:$E$21,MATCH($D115,[11]核心假设及结论!$B$17:$B$21,0))*(AS$2&gt;YEAR($K115)+1)*AR115</f>
        <v>167.29</v>
      </c>
      <c r="AT115" s="1809">
        <f>AI115*(AT$2&lt;=YEAR($K115))+AS115*$AQ115*(AT$2=YEAR($K115)+1)+INDEX([11]核心假设及结论!$E$17:$E$21,MATCH($D115,[11]核心假设及结论!$B$17:$B$21,0))*(AT$2&gt;YEAR($K115)+1)*AS115</f>
        <v>176.42</v>
      </c>
      <c r="AU115" s="1809">
        <f>AJ115*(AU$2&lt;=YEAR($K115))+AT115*$AQ115*(AU$2=YEAR($K115)+1)+INDEX([11]核心假设及结论!$E$17:$E$21,MATCH($D115,[11]核心假设及结论!$B$17:$B$21,0))*(AU$2&gt;YEAR($K115)+1)*AT115</f>
        <v>185.54</v>
      </c>
      <c r="AV115" s="1809">
        <f>AK115*(AV$2&lt;=YEAR($K115))+AU115*$AQ115*(AV$2=YEAR($K115)+1)+INDEX([11]核心假设及结论!$E$17:$E$21,MATCH($D115,[11]核心假设及结论!$B$17:$B$21,0))*(AV$2&gt;YEAR($K115)+1)*AU115</f>
        <v>194.67</v>
      </c>
      <c r="AW115" s="1811">
        <f>AL115*(AW$2&lt;=YEAR($K115))+AV115*$AQ115*(AW$2=YEAR($K115)+1)+INDEX([11]核心假设及结论!$E$17:$E$21,MATCH($D115,[11]核心假设及结论!$B$17:$B$21,0))*(AW$2&gt;YEAR($K115)+1)*AV115</f>
        <v>196.03268999999997</v>
      </c>
      <c r="AX115" s="1809">
        <f>AM115*(AX$2&lt;=YEAR($K115))+AW115*$AQ115*(AX$2=YEAR($K115)+1)+INDEX([11]核心假设及结论!$E$17:$E$21,MATCH($D115,[11]核心假设及结论!$B$17:$B$21,0))*(AX$2&gt;YEAR($K115)+1)*AW115</f>
        <v>201.34017530252808</v>
      </c>
      <c r="AZ115" s="1746">
        <f t="shared" si="40"/>
        <v>47161</v>
      </c>
      <c r="BA115" s="1817">
        <f t="shared" si="41"/>
        <v>45658</v>
      </c>
      <c r="BB115" s="1817">
        <f t="shared" si="42"/>
        <v>45700</v>
      </c>
      <c r="BC115" s="1817">
        <f t="shared" si="43"/>
        <v>46022</v>
      </c>
      <c r="BD115" s="1818">
        <f t="shared" si="44"/>
        <v>43</v>
      </c>
      <c r="BE115" s="1818">
        <f t="shared" si="45"/>
        <v>322</v>
      </c>
      <c r="BG115" s="1777">
        <f t="shared" si="58"/>
        <v>61.956640306849309</v>
      </c>
      <c r="BH115" s="1777">
        <f t="shared" si="56"/>
        <v>62.913574652054791</v>
      </c>
      <c r="BI115" s="1777">
        <f t="shared" si="56"/>
        <v>66.186253347945197</v>
      </c>
      <c r="BJ115" s="1777">
        <f t="shared" si="56"/>
        <v>69.461674652054796</v>
      </c>
      <c r="BK115" s="1777">
        <f t="shared" si="55"/>
        <v>70.278928825709571</v>
      </c>
      <c r="BL115" s="1777">
        <f t="shared" si="55"/>
        <v>72.016509675967555</v>
      </c>
      <c r="BM115" s="1777">
        <f t="shared" si="55"/>
        <v>8.5105664675000678</v>
      </c>
      <c r="BO115" s="1739">
        <f t="shared" si="46"/>
        <v>2029</v>
      </c>
      <c r="BP115" s="1742">
        <f>_xlfn.IFNA(INDEX($AR115:$AX115,MATCH(BO115,$AR$2:$AX$2,0))*12/365*[11]核心假设及结论!$C$70*$H115,0)</f>
        <v>57408.983013698627</v>
      </c>
      <c r="BR115" s="1739">
        <f t="shared" si="51"/>
        <v>2033</v>
      </c>
      <c r="BS115" s="1742">
        <f>_xlfn.IFNA(INDEX($AR115:$AX115,MATCH(BR115,$AR$2:$AX$2,0))*12/365*[11]核心假设及结论!$C$70*$H115,0)</f>
        <v>0</v>
      </c>
      <c r="BU115" s="1739">
        <f t="shared" si="52"/>
        <v>2037</v>
      </c>
      <c r="BV115" s="1742">
        <f>_xlfn.IFNA(INDEX($AR115:$AX115,MATCH(BU115,$AR$2:$AX$2,0))*12/365*[11]核心假设及结论!$C$70*$H115,0)</f>
        <v>0</v>
      </c>
      <c r="BX115" s="1739">
        <f t="shared" si="53"/>
        <v>2041</v>
      </c>
      <c r="BY115" s="1742">
        <f>_xlfn.IFNA(INDEX($AR115:$AX115,MATCH(BX115,$AR$2:$AX$2,0))*12/365*[11]核心假设及结论!$C$70*$H115,0)</f>
        <v>0</v>
      </c>
      <c r="CA115" s="1739">
        <f t="shared" si="54"/>
        <v>2045</v>
      </c>
      <c r="CB115" s="1742">
        <f>_xlfn.IFNA(INDEX($AR115:$AX115,MATCH(CA115,$AR$2:$AX$2,0))*12/365*[11]核心假设及结论!$C$70*$H115,0)</f>
        <v>0</v>
      </c>
    </row>
    <row r="116" spans="1:80" ht="30" customHeight="1">
      <c r="A116" s="1756" t="s">
        <v>1662</v>
      </c>
      <c r="B116" s="1757" t="s">
        <v>1916</v>
      </c>
      <c r="C116" s="1756" t="s">
        <v>1917</v>
      </c>
      <c r="D116" s="1756" t="s">
        <v>1685</v>
      </c>
      <c r="E116" s="1758" t="s">
        <v>1692</v>
      </c>
      <c r="F116" s="1759"/>
      <c r="G116" s="1760" t="s">
        <v>1661</v>
      </c>
      <c r="H116" s="1761">
        <v>298</v>
      </c>
      <c r="I116" s="1761" t="s">
        <v>1913</v>
      </c>
      <c r="J116" s="1773">
        <v>44991</v>
      </c>
      <c r="K116" s="1773">
        <v>46086</v>
      </c>
      <c r="L116" s="1764">
        <f t="shared" si="36"/>
        <v>36</v>
      </c>
      <c r="M116" s="1774">
        <f t="shared" si="47"/>
        <v>183234.24</v>
      </c>
      <c r="N116" s="1775">
        <f t="shared" si="48"/>
        <v>501.88</v>
      </c>
      <c r="O116" s="1760">
        <v>149560.24</v>
      </c>
      <c r="P116" s="1776">
        <v>0.17</v>
      </c>
      <c r="Q116" s="1783">
        <f t="shared" si="37"/>
        <v>95</v>
      </c>
      <c r="R116" s="1784">
        <v>28310</v>
      </c>
      <c r="S116" s="1777">
        <f t="shared" si="38"/>
        <v>18</v>
      </c>
      <c r="T116" s="1784">
        <v>5364</v>
      </c>
      <c r="U116" s="1777"/>
      <c r="V116" s="1785">
        <v>1339764.36583333</v>
      </c>
      <c r="W116" s="1785">
        <f t="shared" si="39"/>
        <v>4495.8535766219129</v>
      </c>
      <c r="X116" s="1786">
        <f t="shared" si="61"/>
        <v>0.13276233085163835</v>
      </c>
      <c r="Y116" s="1789">
        <f>VLOOKUP(E116,[11]核心假设及结论!$C$25:$E$45,3,0)</f>
        <v>0.2</v>
      </c>
      <c r="Z116" s="1790">
        <f t="shared" si="60"/>
        <v>149560.24</v>
      </c>
      <c r="AA116" s="1790">
        <f t="shared" si="60"/>
        <v>154089.84000000003</v>
      </c>
      <c r="AB116" s="1790">
        <f t="shared" si="60"/>
        <v>0</v>
      </c>
      <c r="AC116" s="1790">
        <f t="shared" si="60"/>
        <v>0</v>
      </c>
      <c r="AD116" s="1790">
        <f t="shared" si="60"/>
        <v>0</v>
      </c>
      <c r="AE116" s="1790">
        <f t="shared" si="60"/>
        <v>0</v>
      </c>
      <c r="AF116" s="1790">
        <f t="shared" si="60"/>
        <v>0</v>
      </c>
      <c r="AG116" s="1794">
        <v>501.88</v>
      </c>
      <c r="AH116" s="1794">
        <v>517.08000000000004</v>
      </c>
      <c r="AI116" s="1794">
        <v>0</v>
      </c>
      <c r="AJ116" s="1794">
        <v>0</v>
      </c>
      <c r="AK116" s="1794">
        <v>0</v>
      </c>
      <c r="AL116" s="1794">
        <v>0</v>
      </c>
      <c r="AM116" s="1794">
        <v>0</v>
      </c>
      <c r="AN116" s="1797"/>
      <c r="AO116" s="1797"/>
      <c r="AP116" s="1808">
        <f t="shared" si="49"/>
        <v>0.66381165425819177</v>
      </c>
      <c r="AQ116" s="1810">
        <f>IF(AP116&gt;[11]核心假设及结论!$B$59,[11]核心假设及结论!$D$59,IF(AP116&lt;=[11]核心假设及结论!$B$58,[11]核心假设及结论!$D$57,[11]核心假设及结论!$D$58))</f>
        <v>1.0342640124442799</v>
      </c>
      <c r="AR116" s="1809">
        <f t="shared" si="50"/>
        <v>501.88</v>
      </c>
      <c r="AS116" s="1809">
        <f>AH116*(AS$2&lt;=YEAR($K116))+AR116*$AQ116*(AS$2=YEAR($K116)+1)+INDEX([11]核心假设及结论!$E$17:$E$21,MATCH($D116,[11]核心假设及结论!$B$17:$B$21,0))*(AS$2&gt;YEAR($K116)+1)*AR116</f>
        <v>517.08000000000004</v>
      </c>
      <c r="AT116" s="1811">
        <f>AI116*(AT$2&lt;=YEAR($K116))+AS116*$AQ116*(AT$2=YEAR($K116)+1)+INDEX([11]核心假设及结论!$E$17:$E$21,MATCH($D116,[11]核心假设及结论!$B$17:$B$21,0))*(AT$2&gt;YEAR($K116)+1)*AS116</f>
        <v>534.79723555468831</v>
      </c>
      <c r="AU116" s="1809">
        <f>AJ116*(AU$2&lt;=YEAR($K116))+AT116*$AQ116*(AU$2=YEAR($K116)+1)+INDEX([11]核心假设及结论!$E$17:$E$21,MATCH($D116,[11]核心假设及结论!$B$17:$B$21,0))*(AU$2&gt;YEAR($K116)+1)*AT116</f>
        <v>549.27659849940517</v>
      </c>
      <c r="AV116" s="1809">
        <f>AK116*(AV$2&lt;=YEAR($K116))+AU116*$AQ116*(AV$2=YEAR($K116)+1)+INDEX([11]核心假设及结论!$E$17:$E$21,MATCH($D116,[11]核心假设及结论!$B$17:$B$21,0))*(AV$2&gt;YEAR($K116)+1)*AU116</f>
        <v>564.14798282595916</v>
      </c>
      <c r="AW116" s="1809">
        <f>AL116*(AW$2&lt;=YEAR($K116))+AV116*$AQ116*(AW$2=YEAR($K116)+1)+INDEX([11]核心假设及结论!$E$17:$E$21,MATCH($D116,[11]核心假设及结论!$B$17:$B$21,0))*(AW$2&gt;YEAR($K116)+1)*AV116</f>
        <v>579.4220023137276</v>
      </c>
      <c r="AX116" s="1809">
        <f>AM116*(AX$2&lt;=YEAR($K116))+AW116*$AQ116*(AX$2=YEAR($K116)+1)+INDEX([11]核心假设及结论!$E$17:$E$21,MATCH($D116,[11]核心假设及结论!$B$17:$B$21,0))*(AX$2&gt;YEAR($K116)+1)*AW116</f>
        <v>595.10955810476185</v>
      </c>
      <c r="AZ116" s="1746">
        <f t="shared" si="40"/>
        <v>46086</v>
      </c>
      <c r="BA116" s="1817">
        <f t="shared" si="41"/>
        <v>45658</v>
      </c>
      <c r="BB116" s="1817">
        <f t="shared" si="42"/>
        <v>45721</v>
      </c>
      <c r="BC116" s="1817">
        <f t="shared" si="43"/>
        <v>46022</v>
      </c>
      <c r="BD116" s="1818">
        <f t="shared" si="44"/>
        <v>64</v>
      </c>
      <c r="BE116" s="1818">
        <f t="shared" si="45"/>
        <v>301</v>
      </c>
      <c r="BG116" s="1777">
        <f t="shared" si="58"/>
        <v>183.95473052054797</v>
      </c>
      <c r="BH116" s="1777">
        <f t="shared" si="56"/>
        <v>190.13257707874334</v>
      </c>
      <c r="BI116" s="1777">
        <f t="shared" si="56"/>
        <v>195.51341986421477</v>
      </c>
      <c r="BJ116" s="1777">
        <f t="shared" si="56"/>
        <v>200.80684619212121</v>
      </c>
      <c r="BK116" s="1777">
        <f t="shared" si="55"/>
        <v>206.24358934354004</v>
      </c>
      <c r="BL116" s="1777">
        <f t="shared" si="55"/>
        <v>211.8275295485206</v>
      </c>
      <c r="BM116" s="1777">
        <f t="shared" si="55"/>
        <v>37.31483668659952</v>
      </c>
      <c r="BO116" s="1739">
        <f t="shared" si="46"/>
        <v>2026</v>
      </c>
      <c r="BP116" s="1742">
        <f>_xlfn.IFNA(INDEX($AR116:$AX116,MATCH(BO116,$AR$2:$AX$2,0))*12/365*[11]核心假设及结论!$C$70*$H116,0)</f>
        <v>151979.02027397265</v>
      </c>
      <c r="BR116" s="1739">
        <f t="shared" si="51"/>
        <v>2029</v>
      </c>
      <c r="BS116" s="1742">
        <f>_xlfn.IFNA(INDEX($AR116:$AX116,MATCH(BR116,$AR$2:$AX$2,0))*12/365*[11]核心假设及结论!$C$70*$H116,0)</f>
        <v>165813.13862347644</v>
      </c>
      <c r="BU116" s="1739">
        <f t="shared" si="52"/>
        <v>2032</v>
      </c>
      <c r="BV116" s="1742">
        <f>_xlfn.IFNA(INDEX($AR116:$AX116,MATCH(BU116,$AR$2:$AX$2,0))*12/365*[11]核心假设及结论!$C$70*$H116,0)</f>
        <v>0</v>
      </c>
      <c r="BX116" s="1739">
        <f t="shared" si="53"/>
        <v>2035</v>
      </c>
      <c r="BY116" s="1742">
        <f>_xlfn.IFNA(INDEX($AR116:$AX116,MATCH(BX116,$AR$2:$AX$2,0))*12/365*[11]核心假设及结论!$C$70*$H116,0)</f>
        <v>0</v>
      </c>
      <c r="CA116" s="1739">
        <f t="shared" si="54"/>
        <v>2038</v>
      </c>
      <c r="CB116" s="1742">
        <f>_xlfn.IFNA(INDEX($AR116:$AX116,MATCH(CA116,$AR$2:$AX$2,0))*12/365*[11]核心假设及结论!$C$70*$H116,0)</f>
        <v>0</v>
      </c>
    </row>
    <row r="117" spans="1:80" ht="30" customHeight="1">
      <c r="A117" s="1756" t="s">
        <v>1666</v>
      </c>
      <c r="B117" s="1757" t="s">
        <v>1918</v>
      </c>
      <c r="C117" s="1756" t="s">
        <v>1919</v>
      </c>
      <c r="D117" s="1756" t="s">
        <v>1685</v>
      </c>
      <c r="E117" s="1758" t="s">
        <v>1920</v>
      </c>
      <c r="F117" s="1759"/>
      <c r="G117" s="1760" t="s">
        <v>1661</v>
      </c>
      <c r="H117" s="1761">
        <v>298</v>
      </c>
      <c r="I117" s="1761" t="s">
        <v>1913</v>
      </c>
      <c r="J117" s="1773">
        <v>45483</v>
      </c>
      <c r="K117" s="1773">
        <v>45725</v>
      </c>
      <c r="L117" s="1764">
        <f t="shared" si="36"/>
        <v>8</v>
      </c>
      <c r="M117" s="1774">
        <f t="shared" si="47"/>
        <v>151693.92000000001</v>
      </c>
      <c r="N117" s="1775">
        <f t="shared" si="48"/>
        <v>395.42</v>
      </c>
      <c r="O117" s="1760">
        <v>117835.16</v>
      </c>
      <c r="P117" s="1776">
        <v>0.08</v>
      </c>
      <c r="Q117" s="1783">
        <f t="shared" si="37"/>
        <v>95</v>
      </c>
      <c r="R117" s="1784">
        <v>28310</v>
      </c>
      <c r="S117" s="1777">
        <f t="shared" si="38"/>
        <v>18.62</v>
      </c>
      <c r="T117" s="1784">
        <v>5548.76</v>
      </c>
      <c r="U117" s="1777"/>
      <c r="V117" s="1785">
        <v>655248.81416666706</v>
      </c>
      <c r="W117" s="1785">
        <f t="shared" si="39"/>
        <v>2198.8215240492182</v>
      </c>
      <c r="X117" s="1786">
        <f t="shared" si="61"/>
        <v>0.22303765659746311</v>
      </c>
      <c r="Y117" s="1789">
        <f>VLOOKUP(E117,[11]核心假设及结论!$C$25:$E$45,3,0)</f>
        <v>0.25</v>
      </c>
      <c r="Z117" s="1790">
        <f t="shared" si="60"/>
        <v>117835.16</v>
      </c>
      <c r="AA117" s="1790">
        <f t="shared" si="60"/>
        <v>0</v>
      </c>
      <c r="AB117" s="1790">
        <f t="shared" si="60"/>
        <v>0</v>
      </c>
      <c r="AC117" s="1790">
        <f t="shared" si="60"/>
        <v>0</v>
      </c>
      <c r="AD117" s="1790">
        <f t="shared" si="60"/>
        <v>0</v>
      </c>
      <c r="AE117" s="1790">
        <f t="shared" si="60"/>
        <v>0</v>
      </c>
      <c r="AF117" s="1790">
        <f t="shared" si="60"/>
        <v>0</v>
      </c>
      <c r="AG117" s="1794">
        <v>395.42</v>
      </c>
      <c r="AH117" s="1794">
        <v>0</v>
      </c>
      <c r="AI117" s="1794">
        <v>0</v>
      </c>
      <c r="AJ117" s="1794">
        <v>0</v>
      </c>
      <c r="AK117" s="1794">
        <v>0</v>
      </c>
      <c r="AL117" s="1794">
        <v>0</v>
      </c>
      <c r="AM117" s="1794">
        <v>0</v>
      </c>
      <c r="AN117" s="1797"/>
      <c r="AO117" s="1797"/>
      <c r="AP117" s="1808">
        <f t="shared" si="49"/>
        <v>0.89215062638985243</v>
      </c>
      <c r="AQ117" s="1810">
        <f>IF(AP117&gt;[11]核心假设及结论!$B$59,[11]核心假设及结论!$D$59,IF(AP117&lt;=[11]核心假设及结论!$B$58,[11]核心假设及结论!$D$57,[11]核心假设及结论!$D$58))</f>
        <v>1.0342640124442799</v>
      </c>
      <c r="AR117" s="1809">
        <f t="shared" si="50"/>
        <v>395.42</v>
      </c>
      <c r="AS117" s="1811">
        <f>AH117*(AS$2&lt;=YEAR($K117))+AR117*$AQ117*(AS$2=YEAR($K117)+1)+INDEX([11]核心假设及结论!$E$17:$E$21,MATCH($D117,[11]核心假设及结论!$B$17:$B$21,0))*(AS$2&gt;YEAR($K117)+1)*AR117</f>
        <v>408.96867580071716</v>
      </c>
      <c r="AT117" s="1809">
        <f>AI117*(AT$2&lt;=YEAR($K117))+AS117*$AQ117*(AT$2=YEAR($K117)+1)+INDEX([11]核心假设及结论!$E$17:$E$21,MATCH($D117,[11]核心假设及结论!$B$17:$B$21,0))*(AT$2&gt;YEAR($K117)+1)*AS117</f>
        <v>420.04129453592248</v>
      </c>
      <c r="AU117" s="1809">
        <f>AJ117*(AU$2&lt;=YEAR($K117))+AT117*$AQ117*(AU$2=YEAR($K117)+1)+INDEX([11]核心假设及结论!$E$17:$E$21,MATCH($D117,[11]核心假设及结论!$B$17:$B$21,0))*(AU$2&gt;YEAR($K117)+1)*AT117</f>
        <v>431.41369878750055</v>
      </c>
      <c r="AV117" s="1809">
        <f>AK117*(AV$2&lt;=YEAR($K117))+AU117*$AQ117*(AV$2=YEAR($K117)+1)+INDEX([11]核心假设及结论!$E$17:$E$21,MATCH($D117,[11]核心假设及结论!$B$17:$B$21,0))*(AV$2&gt;YEAR($K117)+1)*AU117</f>
        <v>443.09400509571856</v>
      </c>
      <c r="AW117" s="1809">
        <f>AL117*(AW$2&lt;=YEAR($K117))+AV117*$AQ117*(AW$2=YEAR($K117)+1)+INDEX([11]核心假设及结论!$E$17:$E$21,MATCH($D117,[11]核心假设及结论!$B$17:$B$21,0))*(AW$2&gt;YEAR($K117)+1)*AV117</f>
        <v>455.09054975204015</v>
      </c>
      <c r="AX117" s="1809">
        <f>AM117*(AX$2&lt;=YEAR($K117))+AW117*$AQ117*(AX$2=YEAR($K117)+1)+INDEX([11]核心假设及结论!$E$17:$E$21,MATCH($D117,[11]核心假设及结论!$B$17:$B$21,0))*(AX$2&gt;YEAR($K117)+1)*AW117</f>
        <v>467.41189474877712</v>
      </c>
      <c r="AZ117" s="1746">
        <f t="shared" si="40"/>
        <v>45725</v>
      </c>
      <c r="BA117" s="1817">
        <f t="shared" si="41"/>
        <v>45658</v>
      </c>
      <c r="BB117" s="1817">
        <f t="shared" si="42"/>
        <v>45725</v>
      </c>
      <c r="BC117" s="1817">
        <f t="shared" si="43"/>
        <v>46022</v>
      </c>
      <c r="BD117" s="1818">
        <f t="shared" si="44"/>
        <v>68</v>
      </c>
      <c r="BE117" s="1818">
        <f t="shared" si="45"/>
        <v>297</v>
      </c>
      <c r="BG117" s="1777">
        <f t="shared" si="58"/>
        <v>145.3445671246628</v>
      </c>
      <c r="BH117" s="1777">
        <f t="shared" si="56"/>
        <v>149.46909389793566</v>
      </c>
      <c r="BI117" s="1777">
        <f t="shared" si="56"/>
        <v>153.51589353653409</v>
      </c>
      <c r="BJ117" s="1777">
        <f t="shared" si="56"/>
        <v>157.67225821555587</v>
      </c>
      <c r="BK117" s="1777">
        <f t="shared" si="55"/>
        <v>161.94115435270263</v>
      </c>
      <c r="BL117" s="1777">
        <f t="shared" si="55"/>
        <v>166.3256286799253</v>
      </c>
      <c r="BM117" s="1777">
        <f t="shared" si="55"/>
        <v>31.139620718430304</v>
      </c>
      <c r="BO117" s="1739">
        <f t="shared" si="46"/>
        <v>2025</v>
      </c>
      <c r="BP117" s="1742">
        <f>_xlfn.IFNA(INDEX($AR117:$AX117,MATCH(BO117,$AR$2:$AX$2,0))*12/365*[11]核心假设及结论!$C$70*$H117,0)</f>
        <v>116220.97972602739</v>
      </c>
      <c r="BR117" s="1739">
        <f>BO117+2</f>
        <v>2027</v>
      </c>
      <c r="BS117" s="1742">
        <f>_xlfn.IFNA(INDEX($AR117:$AX117,MATCH(BR117,$AR$2:$AX$2,0))*12/365*[11]核心假设及结论!$C$70*$H117,0)</f>
        <v>123457.61665154455</v>
      </c>
      <c r="BU117" s="1739">
        <f>BR117+2</f>
        <v>2029</v>
      </c>
      <c r="BV117" s="1742">
        <f>_xlfn.IFNA(INDEX($AR117:$AX117,MATCH(BU117,$AR$2:$AX$2,0))*12/365*[11]核心假设及结论!$C$70*$H117,0)</f>
        <v>130233.21881279092</v>
      </c>
      <c r="BX117" s="1739">
        <f>BU117+2</f>
        <v>2031</v>
      </c>
      <c r="BY117" s="1742">
        <f>_xlfn.IFNA(INDEX($AR117:$AX117,MATCH(BX117,$AR$2:$AX$2,0))*12/365*[11]核心假设及结论!$C$70*$H117,0)</f>
        <v>137380.67964013372</v>
      </c>
      <c r="CA117" s="1739">
        <f>BX117+2</f>
        <v>2033</v>
      </c>
      <c r="CB117" s="1742">
        <f>_xlfn.IFNA(INDEX($AR117:$AX117,MATCH(CA117,$AR$2:$AX$2,0))*12/365*[11]核心假设及结论!$C$70*$H117,0)</f>
        <v>0</v>
      </c>
    </row>
    <row r="118" spans="1:80" ht="30" customHeight="1">
      <c r="A118" s="1756" t="s">
        <v>1666</v>
      </c>
      <c r="B118" s="1757" t="s">
        <v>1921</v>
      </c>
      <c r="C118" s="1756" t="s">
        <v>1922</v>
      </c>
      <c r="D118" s="1756" t="s">
        <v>1698</v>
      </c>
      <c r="E118" s="1758" t="s">
        <v>1698</v>
      </c>
      <c r="F118" s="1759"/>
      <c r="G118" s="1760" t="s">
        <v>1661</v>
      </c>
      <c r="H118" s="1761">
        <v>296</v>
      </c>
      <c r="I118" s="1761" t="s">
        <v>1913</v>
      </c>
      <c r="J118" s="1773">
        <v>45256</v>
      </c>
      <c r="K118" s="1773">
        <v>46351</v>
      </c>
      <c r="L118" s="1764">
        <f t="shared" si="36"/>
        <v>36</v>
      </c>
      <c r="M118" s="1774">
        <f t="shared" si="47"/>
        <v>209014.48</v>
      </c>
      <c r="N118" s="1775">
        <f t="shared" si="48"/>
        <v>593.13</v>
      </c>
      <c r="O118" s="1760">
        <v>175566.48</v>
      </c>
      <c r="P118" s="1776">
        <v>0.14000000000000001</v>
      </c>
      <c r="Q118" s="1783">
        <f t="shared" si="37"/>
        <v>95</v>
      </c>
      <c r="R118" s="1784">
        <v>28120</v>
      </c>
      <c r="S118" s="1777">
        <f t="shared" si="38"/>
        <v>18</v>
      </c>
      <c r="T118" s="1784">
        <v>5328</v>
      </c>
      <c r="U118" s="1777"/>
      <c r="V118" s="1785">
        <v>953161.28749999998</v>
      </c>
      <c r="W118" s="1785">
        <f t="shared" si="39"/>
        <v>3220.1394847972974</v>
      </c>
      <c r="X118" s="1786">
        <f t="shared" si="61"/>
        <v>0.21369571201767887</v>
      </c>
      <c r="Y118" s="1789">
        <f>VLOOKUP(E118,[11]核心假设及结论!$C$25:$E$45,3,0)</f>
        <v>0.2</v>
      </c>
      <c r="Z118" s="1790">
        <f t="shared" si="60"/>
        <v>180065.68000000002</v>
      </c>
      <c r="AA118" s="1790">
        <f t="shared" si="60"/>
        <v>184567.84</v>
      </c>
      <c r="AB118" s="1790">
        <f t="shared" si="60"/>
        <v>0</v>
      </c>
      <c r="AC118" s="1790">
        <f t="shared" si="60"/>
        <v>0</v>
      </c>
      <c r="AD118" s="1790">
        <f t="shared" si="60"/>
        <v>0</v>
      </c>
      <c r="AE118" s="1790">
        <f t="shared" si="60"/>
        <v>0</v>
      </c>
      <c r="AF118" s="1790">
        <f t="shared" si="60"/>
        <v>0</v>
      </c>
      <c r="AG118" s="1794">
        <v>608.33000000000004</v>
      </c>
      <c r="AH118" s="1794">
        <v>623.54</v>
      </c>
      <c r="AI118" s="1794">
        <v>0</v>
      </c>
      <c r="AJ118" s="1794">
        <v>0</v>
      </c>
      <c r="AK118" s="1794">
        <v>0</v>
      </c>
      <c r="AL118" s="1794">
        <v>0</v>
      </c>
      <c r="AM118" s="1794">
        <v>0</v>
      </c>
      <c r="AN118" s="1797"/>
      <c r="AO118" s="1797"/>
      <c r="AP118" s="1808">
        <f t="shared" si="49"/>
        <v>1.0684785600883944</v>
      </c>
      <c r="AQ118" s="1812">
        <f>IF(AP118&gt;[11]核心假设及结论!$B$62,[11]核心假设及结论!$D$62,IF(AP118&lt;=[11]核心假设及结论!$B$61,[11]核心假设及结论!$D$60,[11]核心假设及结论!$D$61))</f>
        <v>1.0489999999999999</v>
      </c>
      <c r="AR118" s="1809">
        <f t="shared" si="50"/>
        <v>608.33000000000004</v>
      </c>
      <c r="AS118" s="1809">
        <f>AH118*(AS$2&lt;=YEAR($K118))+AR118*$AQ118*(AS$2=YEAR($K118)+1)+INDEX([11]核心假设及结论!$E$17:$E$21,MATCH($D118,[11]核心假设及结论!$B$17:$B$21,0))*(AS$2&gt;YEAR($K118)+1)*AR118</f>
        <v>623.54</v>
      </c>
      <c r="AT118" s="1811">
        <f>AI118*(AT$2&lt;=YEAR($K118))+AS118*$AQ118*(AT$2=YEAR($K118)+1)+INDEX([11]核心假设及结论!$E$17:$E$21,MATCH($D118,[11]核心假设及结论!$B$17:$B$21,0))*(AT$2&gt;YEAR($K118)+1)*AS118</f>
        <v>654.09345999999994</v>
      </c>
      <c r="AU118" s="1809">
        <f>AJ118*(AU$2&lt;=YEAR($K118))+AT118*$AQ118*(AU$2=YEAR($K118)+1)+INDEX([11]核心假设及结论!$E$17:$E$21,MATCH($D118,[11]核心假设及结论!$B$17:$B$21,0))*(AU$2&gt;YEAR($K118)+1)*AT118</f>
        <v>674.12010461083969</v>
      </c>
      <c r="AV118" s="1809">
        <f>AK118*(AV$2&lt;=YEAR($K118))+AU118*$AQ118*(AV$2=YEAR($K118)+1)+INDEX([11]核心假设及结论!$E$17:$E$21,MATCH($D118,[11]核心假设及结论!$B$17:$B$21,0))*(AV$2&gt;YEAR($K118)+1)*AU118</f>
        <v>694.75991311781274</v>
      </c>
      <c r="AW118" s="1809">
        <f>AL118*(AW$2&lt;=YEAR($K118))+AV118*$AQ118*(AW$2=YEAR($K118)+1)+INDEX([11]核心假设及结论!$E$17:$E$21,MATCH($D118,[11]核心假设及结论!$B$17:$B$21,0))*(AW$2&gt;YEAR($K118)+1)*AV118</f>
        <v>716.0316590084816</v>
      </c>
      <c r="AX118" s="1809">
        <f>AM118*(AX$2&lt;=YEAR($K118))+AW118*$AQ118*(AX$2=YEAR($K118)+1)+INDEX([11]核心假设及结论!$E$17:$E$21,MATCH($D118,[11]核心假设及结论!$B$17:$B$21,0))*(AX$2&gt;YEAR($K118)+1)*AW118</f>
        <v>737.95469056588763</v>
      </c>
      <c r="AZ118" s="1746">
        <f t="shared" si="40"/>
        <v>46351</v>
      </c>
      <c r="BA118" s="1817">
        <f t="shared" si="41"/>
        <v>45658</v>
      </c>
      <c r="BB118" s="1817">
        <f t="shared" si="42"/>
        <v>45986</v>
      </c>
      <c r="BC118" s="1817">
        <f t="shared" si="43"/>
        <v>46022</v>
      </c>
      <c r="BD118" s="1818">
        <f t="shared" si="44"/>
        <v>329</v>
      </c>
      <c r="BE118" s="1818">
        <f t="shared" si="45"/>
        <v>36</v>
      </c>
      <c r="BG118" s="1777">
        <f t="shared" si="58"/>
        <v>216.61167438904107</v>
      </c>
      <c r="BH118" s="1777">
        <f t="shared" si="56"/>
        <v>222.55180033893697</v>
      </c>
      <c r="BI118" s="1777">
        <f t="shared" si="56"/>
        <v>233.03559893711707</v>
      </c>
      <c r="BJ118" s="1777">
        <f t="shared" si="56"/>
        <v>240.17054433404525</v>
      </c>
      <c r="BK118" s="1777">
        <f t="shared" si="55"/>
        <v>247.52394324644203</v>
      </c>
      <c r="BL118" s="1777">
        <f t="shared" si="55"/>
        <v>255.10248415414384</v>
      </c>
      <c r="BM118" s="1777">
        <f t="shared" si="55"/>
        <v>236.26842603638931</v>
      </c>
      <c r="BO118" s="1739">
        <f t="shared" si="46"/>
        <v>2026</v>
      </c>
      <c r="BP118" s="1742">
        <f>_xlfn.IFNA(INDEX($AR118:$AX118,MATCH(BO118,$AR$2:$AX$2,0))*12/365*[11]核心假设及结论!$C$70*$H118,0)</f>
        <v>182039.51342465755</v>
      </c>
      <c r="BR118" s="1739">
        <f t="shared" si="51"/>
        <v>2029</v>
      </c>
      <c r="BS118" s="1742">
        <f>_xlfn.IFNA(INDEX($AR118:$AX118,MATCH(BR118,$AR$2:$AX$2,0))*12/365*[11]核心假设及结论!$C$70*$H118,0)</f>
        <v>202831.82559406612</v>
      </c>
      <c r="BU118" s="1739">
        <f t="shared" si="52"/>
        <v>2032</v>
      </c>
      <c r="BV118" s="1742">
        <f>_xlfn.IFNA(INDEX($AR118:$AX118,MATCH(BU118,$AR$2:$AX$2,0))*12/365*[11]核心假设及结论!$C$70*$H118,0)</f>
        <v>0</v>
      </c>
      <c r="BX118" s="1739">
        <f t="shared" si="53"/>
        <v>2035</v>
      </c>
      <c r="BY118" s="1742">
        <f>_xlfn.IFNA(INDEX($AR118:$AX118,MATCH(BX118,$AR$2:$AX$2,0))*12/365*[11]核心假设及结论!$C$70*$H118,0)</f>
        <v>0</v>
      </c>
      <c r="CA118" s="1739">
        <f t="shared" si="54"/>
        <v>2038</v>
      </c>
      <c r="CB118" s="1742">
        <f>_xlfn.IFNA(INDEX($AR118:$AX118,MATCH(CA118,$AR$2:$AX$2,0))*12/365*[11]核心假设及结论!$C$70*$H118,0)</f>
        <v>0</v>
      </c>
    </row>
    <row r="119" spans="1:80" ht="30" customHeight="1">
      <c r="A119" s="1756" t="s">
        <v>1662</v>
      </c>
      <c r="B119" s="1757" t="s">
        <v>1923</v>
      </c>
      <c r="C119" s="1756" t="s">
        <v>1924</v>
      </c>
      <c r="D119" s="1756" t="s">
        <v>1698</v>
      </c>
      <c r="E119" s="1758" t="s">
        <v>1698</v>
      </c>
      <c r="F119" s="1759"/>
      <c r="G119" s="1760" t="s">
        <v>1661</v>
      </c>
      <c r="H119" s="1761">
        <v>295</v>
      </c>
      <c r="I119" s="1761" t="s">
        <v>1913</v>
      </c>
      <c r="J119" s="1773">
        <v>45054</v>
      </c>
      <c r="K119" s="1773">
        <v>48098</v>
      </c>
      <c r="L119" s="1764">
        <f t="shared" si="36"/>
        <v>100</v>
      </c>
      <c r="M119" s="1774">
        <f t="shared" si="47"/>
        <v>130580.1275</v>
      </c>
      <c r="N119" s="1775">
        <f t="shared" si="48"/>
        <v>329.90999999999997</v>
      </c>
      <c r="O119" s="1760">
        <v>97323.45</v>
      </c>
      <c r="P119" s="1776">
        <v>0.08</v>
      </c>
      <c r="Q119" s="1783">
        <f t="shared" si="37"/>
        <v>95</v>
      </c>
      <c r="R119" s="1784">
        <v>28025</v>
      </c>
      <c r="S119" s="1777">
        <f t="shared" si="38"/>
        <v>17.734500000000001</v>
      </c>
      <c r="T119" s="1784">
        <v>5231.6774999999998</v>
      </c>
      <c r="U119" s="1777"/>
      <c r="V119" s="1785">
        <v>922651.370833333</v>
      </c>
      <c r="W119" s="1785">
        <f t="shared" si="39"/>
        <v>3127.631765536722</v>
      </c>
      <c r="X119" s="1786">
        <f t="shared" si="61"/>
        <v>0.13585678617350999</v>
      </c>
      <c r="Y119" s="1789">
        <f>VLOOKUP(E119,[11]核心假设及结论!$C$25:$E$45,3,0)</f>
        <v>0.2</v>
      </c>
      <c r="Z119" s="1790">
        <f t="shared" si="60"/>
        <v>97323.450000000012</v>
      </c>
      <c r="AA119" s="1790">
        <f t="shared" si="60"/>
        <v>101187.95</v>
      </c>
      <c r="AB119" s="1790">
        <f t="shared" si="60"/>
        <v>105332.7</v>
      </c>
      <c r="AC119" s="1790">
        <f t="shared" si="60"/>
        <v>110043.84999999999</v>
      </c>
      <c r="AD119" s="1790">
        <f t="shared" si="60"/>
        <v>115038.2</v>
      </c>
      <c r="AE119" s="1790">
        <f t="shared" si="60"/>
        <v>120690.4</v>
      </c>
      <c r="AF119" s="1790">
        <f t="shared" si="60"/>
        <v>126814.6</v>
      </c>
      <c r="AG119" s="1794">
        <v>329.91</v>
      </c>
      <c r="AH119" s="1794">
        <v>343.01</v>
      </c>
      <c r="AI119" s="1794">
        <v>357.06</v>
      </c>
      <c r="AJ119" s="1794">
        <v>373.03</v>
      </c>
      <c r="AK119" s="1794">
        <v>389.96</v>
      </c>
      <c r="AL119" s="1794">
        <v>409.12</v>
      </c>
      <c r="AM119" s="1794">
        <v>429.88</v>
      </c>
      <c r="AN119" s="1797"/>
      <c r="AO119" s="1797"/>
      <c r="AP119" s="1808">
        <f t="shared" si="49"/>
        <v>0.6792839308675499</v>
      </c>
      <c r="AQ119" s="1812">
        <f>IF(AP119&gt;[11]核心假设及结论!$B$62,[11]核心假设及结论!$D$62,IF(AP119&lt;=[11]核心假设及结论!$B$61,[11]核心假设及结论!$D$60,[11]核心假设及结论!$D$61))</f>
        <v>1.0811176582269599</v>
      </c>
      <c r="AR119" s="1809">
        <f t="shared" si="50"/>
        <v>329.91</v>
      </c>
      <c r="AS119" s="1809">
        <f>AH119*(AS$2&lt;=YEAR($K119))+AR119*$AQ119*(AS$2=YEAR($K119)+1)+INDEX([11]核心假设及结论!$E$17:$E$21,MATCH($D119,[11]核心假设及结论!$B$17:$B$21,0))*(AS$2&gt;YEAR($K119)+1)*AR119</f>
        <v>343.01</v>
      </c>
      <c r="AT119" s="1809">
        <f>AI119*(AT$2&lt;=YEAR($K119))+AS119*$AQ119*(AT$2=YEAR($K119)+1)+INDEX([11]核心假设及结论!$E$17:$E$21,MATCH($D119,[11]核心假设及结论!$B$17:$B$21,0))*(AT$2&gt;YEAR($K119)+1)*AS119</f>
        <v>357.06</v>
      </c>
      <c r="AU119" s="1809">
        <f>AJ119*(AU$2&lt;=YEAR($K119))+AT119*$AQ119*(AU$2=YEAR($K119)+1)+INDEX([11]核心假设及结论!$E$17:$E$21,MATCH($D119,[11]核心假设及结论!$B$17:$B$21,0))*(AU$2&gt;YEAR($K119)+1)*AT119</f>
        <v>373.03</v>
      </c>
      <c r="AV119" s="1809">
        <f>AK119*(AV$2&lt;=YEAR($K119))+AU119*$AQ119*(AV$2=YEAR($K119)+1)+INDEX([11]核心假设及结论!$E$17:$E$21,MATCH($D119,[11]核心假设及结论!$B$17:$B$21,0))*(AV$2&gt;YEAR($K119)+1)*AU119</f>
        <v>389.96</v>
      </c>
      <c r="AW119" s="1809">
        <f>AL119*(AW$2&lt;=YEAR($K119))+AV119*$AQ119*(AW$2=YEAR($K119)+1)+INDEX([11]核心假设及结论!$E$17:$E$21,MATCH($D119,[11]核心假设及结论!$B$17:$B$21,0))*(AW$2&gt;YEAR($K119)+1)*AV119</f>
        <v>409.12</v>
      </c>
      <c r="AX119" s="1809">
        <f>AM119*(AX$2&lt;=YEAR($K119))+AW119*$AQ119*(AX$2=YEAR($K119)+1)+INDEX([11]核心假设及结论!$E$17:$E$21,MATCH($D119,[11]核心假设及结论!$B$17:$B$21,0))*(AX$2&gt;YEAR($K119)+1)*AW119</f>
        <v>429.88</v>
      </c>
      <c r="AZ119" s="1746">
        <f t="shared" si="40"/>
        <v>48098</v>
      </c>
      <c r="BA119" s="1817">
        <f t="shared" si="41"/>
        <v>45658</v>
      </c>
      <c r="BB119" s="1817">
        <f t="shared" si="42"/>
        <v>45907</v>
      </c>
      <c r="BC119" s="1817">
        <f t="shared" si="43"/>
        <v>46022</v>
      </c>
      <c r="BD119" s="1818">
        <f t="shared" si="44"/>
        <v>250</v>
      </c>
      <c r="BE119" s="1818">
        <f t="shared" si="45"/>
        <v>115</v>
      </c>
      <c r="BG119" s="1777">
        <f t="shared" si="58"/>
        <v>118.24923863013699</v>
      </c>
      <c r="BH119" s="1777">
        <f t="shared" si="56"/>
        <v>122.99259616438356</v>
      </c>
      <c r="BI119" s="1777">
        <f t="shared" si="56"/>
        <v>128.18044191780822</v>
      </c>
      <c r="BJ119" s="1777">
        <f t="shared" si="56"/>
        <v>133.94089479452055</v>
      </c>
      <c r="BK119" s="1777">
        <f t="shared" si="55"/>
        <v>140.18283616438356</v>
      </c>
      <c r="BL119" s="1777">
        <f t="shared" si="55"/>
        <v>147.14393095890412</v>
      </c>
      <c r="BM119" s="1777">
        <f t="shared" si="55"/>
        <v>104.23117808219178</v>
      </c>
      <c r="BO119" s="1739">
        <f t="shared" si="46"/>
        <v>2031</v>
      </c>
      <c r="BP119" s="1742">
        <f>_xlfn.IFNA(INDEX($AR119:$AX119,MATCH(BO119,$AR$2:$AX$2,0))*12/365*[11]核心假设及结论!$C$70*$H119,0)</f>
        <v>125077.41369863012</v>
      </c>
      <c r="BR119" s="1739">
        <f t="shared" si="51"/>
        <v>2039</v>
      </c>
      <c r="BS119" s="1742">
        <f>_xlfn.IFNA(INDEX($AR119:$AX119,MATCH(BR119,$AR$2:$AX$2,0))*12/365*[11]核心假设及结论!$C$70*$H119,0)</f>
        <v>0</v>
      </c>
      <c r="BU119" s="1739">
        <f t="shared" si="52"/>
        <v>2047</v>
      </c>
      <c r="BV119" s="1742">
        <f>_xlfn.IFNA(INDEX($AR119:$AX119,MATCH(BU119,$AR$2:$AX$2,0))*12/365*[11]核心假设及结论!$C$70*$H119,0)</f>
        <v>0</v>
      </c>
      <c r="BX119" s="1739">
        <f t="shared" si="53"/>
        <v>2055</v>
      </c>
      <c r="BY119" s="1742">
        <f>_xlfn.IFNA(INDEX($AR119:$AX119,MATCH(BX119,$AR$2:$AX$2,0))*12/365*[11]核心假设及结论!$C$70*$H119,0)</f>
        <v>0</v>
      </c>
      <c r="CA119" s="1739">
        <f t="shared" si="54"/>
        <v>2063</v>
      </c>
      <c r="CB119" s="1742">
        <f>_xlfn.IFNA(INDEX($AR119:$AX119,MATCH(CA119,$AR$2:$AX$2,0))*12/365*[11]核心假设及结论!$C$70*$H119,0)</f>
        <v>0</v>
      </c>
    </row>
    <row r="120" spans="1:80" ht="30" customHeight="1">
      <c r="A120" s="1756" t="s">
        <v>1666</v>
      </c>
      <c r="B120" s="1757" t="s">
        <v>1925</v>
      </c>
      <c r="C120" s="1756" t="s">
        <v>1926</v>
      </c>
      <c r="D120" s="1756" t="s">
        <v>1698</v>
      </c>
      <c r="E120" s="1758" t="s">
        <v>1698</v>
      </c>
      <c r="F120" s="1759"/>
      <c r="G120" s="1760" t="s">
        <v>1661</v>
      </c>
      <c r="H120" s="1761">
        <v>289</v>
      </c>
      <c r="I120" s="1761" t="s">
        <v>1913</v>
      </c>
      <c r="J120" s="1773">
        <v>44774</v>
      </c>
      <c r="K120" s="1773">
        <v>47058</v>
      </c>
      <c r="L120" s="1764">
        <f t="shared" si="36"/>
        <v>76</v>
      </c>
      <c r="M120" s="1774">
        <f t="shared" si="47"/>
        <v>182272.3</v>
      </c>
      <c r="N120" s="1775">
        <f t="shared" si="48"/>
        <v>517.07999999999993</v>
      </c>
      <c r="O120" s="1760">
        <v>149436.12</v>
      </c>
      <c r="P120" s="1776">
        <v>0.12</v>
      </c>
      <c r="Q120" s="1783">
        <f t="shared" si="37"/>
        <v>95</v>
      </c>
      <c r="R120" s="1784">
        <v>27455</v>
      </c>
      <c r="S120" s="1777">
        <f t="shared" si="38"/>
        <v>18.62</v>
      </c>
      <c r="T120" s="1784">
        <v>5381.18</v>
      </c>
      <c r="U120" s="1777"/>
      <c r="V120" s="1785">
        <v>834991.17749999999</v>
      </c>
      <c r="W120" s="1785">
        <f t="shared" si="39"/>
        <v>2889.2428287197231</v>
      </c>
      <c r="X120" s="1786">
        <f t="shared" si="61"/>
        <v>0.21184789105151949</v>
      </c>
      <c r="Y120" s="1789">
        <f>VLOOKUP(E120,[11]核心假设及结论!$C$25:$E$45,3,0)</f>
        <v>0.2</v>
      </c>
      <c r="Z120" s="1790">
        <f t="shared" si="60"/>
        <v>162623.19</v>
      </c>
      <c r="AA120" s="1790">
        <f t="shared" si="60"/>
        <v>162623.19</v>
      </c>
      <c r="AB120" s="1790">
        <f t="shared" si="60"/>
        <v>167018.87999999998</v>
      </c>
      <c r="AC120" s="1790">
        <f t="shared" si="60"/>
        <v>167018.87999999998</v>
      </c>
      <c r="AD120" s="1790">
        <f t="shared" si="60"/>
        <v>0</v>
      </c>
      <c r="AE120" s="1790">
        <f t="shared" si="60"/>
        <v>0</v>
      </c>
      <c r="AF120" s="1790">
        <f t="shared" si="60"/>
        <v>0</v>
      </c>
      <c r="AG120" s="1794">
        <v>562.71</v>
      </c>
      <c r="AH120" s="1794">
        <v>562.71</v>
      </c>
      <c r="AI120" s="1794">
        <v>577.91999999999996</v>
      </c>
      <c r="AJ120" s="1794">
        <v>577.91999999999996</v>
      </c>
      <c r="AK120" s="1794">
        <v>0</v>
      </c>
      <c r="AL120" s="1794">
        <v>0</v>
      </c>
      <c r="AM120" s="1794">
        <v>0</v>
      </c>
      <c r="AN120" s="1797"/>
      <c r="AO120" s="1797"/>
      <c r="AP120" s="1808">
        <f t="shared" si="49"/>
        <v>1.0592394552575974</v>
      </c>
      <c r="AQ120" s="1812">
        <f>IF(AP120&gt;[11]核心假设及结论!$B$62,[11]核心假设及结论!$D$62,IF(AP120&lt;=[11]核心假设及结论!$B$61,[11]核心假设及结论!$D$60,[11]核心假设及结论!$D$61))</f>
        <v>1.0489999999999999</v>
      </c>
      <c r="AR120" s="1809">
        <f t="shared" si="50"/>
        <v>562.71</v>
      </c>
      <c r="AS120" s="1809">
        <f>AH120*(AS$2&lt;=YEAR($K120))+AR120*$AQ120*(AS$2=YEAR($K120)+1)+INDEX([11]核心假设及结论!$E$17:$E$21,MATCH($D120,[11]核心假设及结论!$B$17:$B$21,0))*(AS$2&gt;YEAR($K120)+1)*AR120</f>
        <v>562.71</v>
      </c>
      <c r="AT120" s="1809">
        <f>AI120*(AT$2&lt;=YEAR($K120))+AS120*$AQ120*(AT$2=YEAR($K120)+1)+INDEX([11]核心假设及结论!$E$17:$E$21,MATCH($D120,[11]核心假设及结论!$B$17:$B$21,0))*(AT$2&gt;YEAR($K120)+1)*AS120</f>
        <v>577.91999999999996</v>
      </c>
      <c r="AU120" s="1809">
        <f>AJ120*(AU$2&lt;=YEAR($K120))+AT120*$AQ120*(AU$2=YEAR($K120)+1)+INDEX([11]核心假设及结论!$E$17:$E$21,MATCH($D120,[11]核心假设及结论!$B$17:$B$21,0))*(AU$2&gt;YEAR($K120)+1)*AT120</f>
        <v>577.91999999999996</v>
      </c>
      <c r="AV120" s="1811">
        <f>AK120*(AV$2&lt;=YEAR($K120))+AU120*$AQ120*(AV$2=YEAR($K120)+1)+INDEX([11]核心假设及结论!$E$17:$E$21,MATCH($D120,[11]核心假设及结论!$B$17:$B$21,0))*(AV$2&gt;YEAR($K120)+1)*AU120</f>
        <v>606.23807999999997</v>
      </c>
      <c r="AW120" s="1809">
        <f>AL120*(AW$2&lt;=YEAR($K120))+AV120*$AQ120*(AW$2=YEAR($K120)+1)+INDEX([11]核心假设及结论!$E$17:$E$21,MATCH($D120,[11]核心假设及结论!$B$17:$B$21,0))*(AW$2&gt;YEAR($K120)+1)*AV120</f>
        <v>624.79951704252574</v>
      </c>
      <c r="AX120" s="1809">
        <f>AM120*(AX$2&lt;=YEAR($K120))+AW120*$AQ120*(AX$2=YEAR($K120)+1)+INDEX([11]核心假设及结论!$E$17:$E$21,MATCH($D120,[11]核心假设及结论!$B$17:$B$21,0))*(AX$2&gt;YEAR($K120)+1)*AW120</f>
        <v>643.92925712712315</v>
      </c>
      <c r="AZ120" s="1746">
        <f t="shared" si="40"/>
        <v>47058</v>
      </c>
      <c r="BA120" s="1817">
        <f t="shared" si="41"/>
        <v>45658</v>
      </c>
      <c r="BB120" s="1817">
        <f t="shared" si="42"/>
        <v>45962</v>
      </c>
      <c r="BC120" s="1817">
        <f t="shared" si="43"/>
        <v>46022</v>
      </c>
      <c r="BD120" s="1818">
        <f t="shared" si="44"/>
        <v>305</v>
      </c>
      <c r="BE120" s="1818">
        <f t="shared" si="45"/>
        <v>60</v>
      </c>
      <c r="BG120" s="1777">
        <f t="shared" si="58"/>
        <v>195.14782800000003</v>
      </c>
      <c r="BH120" s="1777">
        <f t="shared" si="56"/>
        <v>196.01492301369865</v>
      </c>
      <c r="BI120" s="1777">
        <f t="shared" si="56"/>
        <v>200.42265599999999</v>
      </c>
      <c r="BJ120" s="1777">
        <f t="shared" si="56"/>
        <v>202.03701931134245</v>
      </c>
      <c r="BK120" s="1777">
        <f t="shared" si="55"/>
        <v>211.30152061518049</v>
      </c>
      <c r="BL120" s="1777">
        <f t="shared" si="55"/>
        <v>217.77102492591041</v>
      </c>
      <c r="BM120" s="1777">
        <f t="shared" si="55"/>
        <v>186.60540614620362</v>
      </c>
      <c r="BO120" s="1739">
        <f t="shared" si="46"/>
        <v>2028</v>
      </c>
      <c r="BP120" s="1742">
        <f>_xlfn.IFNA(INDEX($AR120:$AX120,MATCH(BO120,$AR$2:$AX$2,0))*12/365*[11]核心假设及结论!$C$70*$H120,0)</f>
        <v>164730.95013698627</v>
      </c>
      <c r="BR120" s="1739">
        <f t="shared" si="51"/>
        <v>2034</v>
      </c>
      <c r="BS120" s="1742">
        <f>_xlfn.IFNA(INDEX($AR120:$AX120,MATCH(BR120,$AR$2:$AX$2,0))*12/365*[11]核心假设及结论!$C$70*$H120,0)</f>
        <v>0</v>
      </c>
      <c r="BU120" s="1739">
        <f t="shared" si="52"/>
        <v>2040</v>
      </c>
      <c r="BV120" s="1742">
        <f>_xlfn.IFNA(INDEX($AR120:$AX120,MATCH(BU120,$AR$2:$AX$2,0))*12/365*[11]核心假设及结论!$C$70*$H120,0)</f>
        <v>0</v>
      </c>
      <c r="BX120" s="1739">
        <f t="shared" si="53"/>
        <v>2046</v>
      </c>
      <c r="BY120" s="1742">
        <f>_xlfn.IFNA(INDEX($AR120:$AX120,MATCH(BX120,$AR$2:$AX$2,0))*12/365*[11]核心假设及结论!$C$70*$H120,0)</f>
        <v>0</v>
      </c>
      <c r="CA120" s="1739">
        <f t="shared" si="54"/>
        <v>2052</v>
      </c>
      <c r="CB120" s="1742">
        <f>_xlfn.IFNA(INDEX($AR120:$AX120,MATCH(CA120,$AR$2:$AX$2,0))*12/365*[11]核心假设及结论!$C$70*$H120,0)</f>
        <v>0</v>
      </c>
    </row>
    <row r="121" spans="1:80" ht="30" customHeight="1">
      <c r="A121" s="1756" t="s">
        <v>1687</v>
      </c>
      <c r="B121" s="1757" t="s">
        <v>1927</v>
      </c>
      <c r="C121" s="1756" t="s">
        <v>1928</v>
      </c>
      <c r="D121" s="1756" t="s">
        <v>1698</v>
      </c>
      <c r="E121" s="1758" t="s">
        <v>1698</v>
      </c>
      <c r="F121" s="1759"/>
      <c r="G121" s="1760" t="s">
        <v>1661</v>
      </c>
      <c r="H121" s="1761">
        <v>286</v>
      </c>
      <c r="I121" s="1761" t="s">
        <v>1913</v>
      </c>
      <c r="J121" s="1773">
        <v>45076</v>
      </c>
      <c r="K121" s="1773">
        <v>45806</v>
      </c>
      <c r="L121" s="1764">
        <f t="shared" si="36"/>
        <v>24</v>
      </c>
      <c r="M121" s="1774">
        <f t="shared" si="47"/>
        <v>162845.53999999998</v>
      </c>
      <c r="N121" s="1775">
        <f t="shared" si="48"/>
        <v>456.39</v>
      </c>
      <c r="O121" s="1760">
        <v>130527.54</v>
      </c>
      <c r="P121" s="1776">
        <v>0.11</v>
      </c>
      <c r="Q121" s="1783">
        <f t="shared" si="37"/>
        <v>95</v>
      </c>
      <c r="R121" s="1784">
        <v>27170</v>
      </c>
      <c r="S121" s="1777">
        <f t="shared" si="38"/>
        <v>18</v>
      </c>
      <c r="T121" s="1784">
        <v>5148</v>
      </c>
      <c r="U121" s="1777"/>
      <c r="V121" s="1785">
        <v>994740.90833333298</v>
      </c>
      <c r="W121" s="1785">
        <f t="shared" si="39"/>
        <v>3478.1150641025629</v>
      </c>
      <c r="X121" s="1786">
        <f t="shared" si="61"/>
        <v>0.15853127048350596</v>
      </c>
      <c r="Y121" s="1789">
        <f>VLOOKUP(E121,[11]核心假设及结论!$C$25:$E$45,3,0)</f>
        <v>0.2</v>
      </c>
      <c r="Z121" s="1790">
        <f t="shared" si="60"/>
        <v>130527.54</v>
      </c>
      <c r="AA121" s="1790">
        <f t="shared" si="60"/>
        <v>0</v>
      </c>
      <c r="AB121" s="1790">
        <f t="shared" si="60"/>
        <v>0</v>
      </c>
      <c r="AC121" s="1790">
        <f t="shared" si="60"/>
        <v>0</v>
      </c>
      <c r="AD121" s="1790">
        <f t="shared" si="60"/>
        <v>0</v>
      </c>
      <c r="AE121" s="1790">
        <f t="shared" si="60"/>
        <v>0</v>
      </c>
      <c r="AF121" s="1790">
        <f t="shared" si="60"/>
        <v>0</v>
      </c>
      <c r="AG121" s="1794">
        <v>456.39</v>
      </c>
      <c r="AH121" s="1794">
        <v>0</v>
      </c>
      <c r="AI121" s="1794">
        <v>0</v>
      </c>
      <c r="AJ121" s="1794">
        <v>0</v>
      </c>
      <c r="AK121" s="1794">
        <v>0</v>
      </c>
      <c r="AL121" s="1794">
        <v>0</v>
      </c>
      <c r="AM121" s="1794">
        <v>0</v>
      </c>
      <c r="AN121" s="1797"/>
      <c r="AO121" s="1797"/>
      <c r="AP121" s="1808">
        <f t="shared" si="49"/>
        <v>0.79265635241752974</v>
      </c>
      <c r="AQ121" s="1812">
        <f>IF(AP121&gt;[11]核心假设及结论!$B$62,[11]核心假设及结论!$D$62,IF(AP121&lt;=[11]核心假设及结论!$B$61,[11]核心假设及结论!$D$60,[11]核心假设及结论!$D$61))</f>
        <v>1.0811176582269599</v>
      </c>
      <c r="AR121" s="1809">
        <f t="shared" si="50"/>
        <v>456.39</v>
      </c>
      <c r="AS121" s="1811">
        <f>AH121*(AS$2&lt;=YEAR($K121))+AR121*$AQ121*(AS$2=YEAR($K121)+1)+INDEX([11]核心假设及结论!$E$17:$E$21,MATCH($D121,[11]核心假设及结论!$B$17:$B$21,0))*(AS$2&gt;YEAR($K121)+1)*AR121</f>
        <v>493.4112880382022</v>
      </c>
      <c r="AT121" s="1809">
        <f>AI121*(AT$2&lt;=YEAR($K121))+AS121*$AQ121*(AT$2=YEAR($K121)+1)+INDEX([11]核心假设及结论!$E$17:$E$21,MATCH($D121,[11]核心假设及结论!$B$17:$B$21,0))*(AT$2&gt;YEAR($K121)+1)*AS121</f>
        <v>508.51826145530038</v>
      </c>
      <c r="AU121" s="1809">
        <f>AJ121*(AU$2&lt;=YEAR($K121))+AT121*$AQ121*(AU$2=YEAR($K121)+1)+INDEX([11]核心假设及结论!$E$17:$E$21,MATCH($D121,[11]核心假设及结论!$B$17:$B$21,0))*(AU$2&gt;YEAR($K121)+1)*AT121</f>
        <v>524.08777120133482</v>
      </c>
      <c r="AV121" s="1809">
        <f>AK121*(AV$2&lt;=YEAR($K121))+AU121*$AQ121*(AV$2=YEAR($K121)+1)+INDEX([11]核心假设及结论!$E$17:$E$21,MATCH($D121,[11]核心假设及结论!$B$17:$B$21,0))*(AV$2&gt;YEAR($K121)+1)*AU121</f>
        <v>540.13397893858428</v>
      </c>
      <c r="AW121" s="1809">
        <f>AL121*(AW$2&lt;=YEAR($K121))+AV121*$AQ121*(AW$2=YEAR($K121)+1)+INDEX([11]核心假设及结论!$E$17:$E$21,MATCH($D121,[11]核心假设及结论!$B$17:$B$21,0))*(AW$2&gt;YEAR($K121)+1)*AV121</f>
        <v>556.6714799226819</v>
      </c>
      <c r="AX121" s="1809">
        <f>AM121*(AX$2&lt;=YEAR($K121))+AW121*$AQ121*(AX$2=YEAR($K121)+1)+INDEX([11]核心假设及结论!$E$17:$E$21,MATCH($D121,[11]核心假设及结论!$B$17:$B$21,0))*(AX$2&gt;YEAR($K121)+1)*AW121</f>
        <v>573.71531627811919</v>
      </c>
      <c r="AZ121" s="1746">
        <f t="shared" si="40"/>
        <v>45806</v>
      </c>
      <c r="BA121" s="1817">
        <f t="shared" si="41"/>
        <v>45658</v>
      </c>
      <c r="BB121" s="1817">
        <f t="shared" si="42"/>
        <v>45806</v>
      </c>
      <c r="BC121" s="1817">
        <f t="shared" si="43"/>
        <v>46022</v>
      </c>
      <c r="BD121" s="1818">
        <f t="shared" si="44"/>
        <v>149</v>
      </c>
      <c r="BE121" s="1818">
        <f t="shared" si="45"/>
        <v>216</v>
      </c>
      <c r="BG121" s="1777">
        <f t="shared" si="58"/>
        <v>164.15204117210294</v>
      </c>
      <c r="BH121" s="1777">
        <f t="shared" si="56"/>
        <v>172.40696793903314</v>
      </c>
      <c r="BI121" s="1777">
        <f t="shared" si="56"/>
        <v>177.68562196402135</v>
      </c>
      <c r="BJ121" s="1777">
        <f t="shared" si="56"/>
        <v>183.1258946790696</v>
      </c>
      <c r="BK121" s="1777">
        <f t="shared" si="55"/>
        <v>188.73273442912577</v>
      </c>
      <c r="BL121" s="1777">
        <f t="shared" si="55"/>
        <v>194.51124106462115</v>
      </c>
      <c r="BM121" s="1777">
        <f t="shared" si="55"/>
        <v>80.377987357399789</v>
      </c>
      <c r="BO121" s="1739">
        <f t="shared" si="46"/>
        <v>2025</v>
      </c>
      <c r="BP121" s="1742">
        <f>_xlfn.IFNA(INDEX($AR121:$AX121,MATCH(BO121,$AR$2:$AX$2,0))*12/365*[11]核心假设及结论!$C$70*$H121,0)</f>
        <v>128739.49150684931</v>
      </c>
      <c r="BR121" s="1739">
        <f t="shared" si="51"/>
        <v>2027</v>
      </c>
      <c r="BS121" s="1742">
        <f>_xlfn.IFNA(INDEX($AR121:$AX121,MATCH(BR121,$AR$2:$AX$2,0))*12/365*[11]核心假设及结论!$C$70*$H121,0)</f>
        <v>143443.94575188417</v>
      </c>
      <c r="BU121" s="1739">
        <f t="shared" si="52"/>
        <v>2029</v>
      </c>
      <c r="BV121" s="1742">
        <f>_xlfn.IFNA(INDEX($AR121:$AX121,MATCH(BU121,$AR$2:$AX$2,0))*12/365*[11]核心假设及结论!$C$70*$H121,0)</f>
        <v>152362.17663429215</v>
      </c>
      <c r="BX121" s="1739">
        <f t="shared" si="53"/>
        <v>2031</v>
      </c>
      <c r="BY121" s="1742">
        <f>_xlfn.IFNA(INDEX($AR121:$AX121,MATCH(BX121,$AR$2:$AX$2,0))*12/365*[11]核心假设及结论!$C$70*$H121,0)</f>
        <v>161834.8738739593</v>
      </c>
      <c r="CA121" s="1739">
        <f t="shared" si="54"/>
        <v>2033</v>
      </c>
      <c r="CB121" s="1742">
        <f>_xlfn.IFNA(INDEX($AR121:$AX121,MATCH(CA121,$AR$2:$AX$2,0))*12/365*[11]核心假设及结论!$C$70*$H121,0)</f>
        <v>0</v>
      </c>
    </row>
    <row r="122" spans="1:80" ht="30" customHeight="1">
      <c r="A122" s="1756" t="s">
        <v>1687</v>
      </c>
      <c r="B122" s="1757" t="s">
        <v>1929</v>
      </c>
      <c r="C122" s="1756" t="s">
        <v>1930</v>
      </c>
      <c r="D122" s="1756" t="s">
        <v>1698</v>
      </c>
      <c r="E122" s="1758" t="s">
        <v>1698</v>
      </c>
      <c r="F122" s="1759"/>
      <c r="G122" s="1760" t="s">
        <v>1661</v>
      </c>
      <c r="H122" s="1761">
        <v>286</v>
      </c>
      <c r="I122" s="1761" t="s">
        <v>1913</v>
      </c>
      <c r="J122" s="1773">
        <v>44158</v>
      </c>
      <c r="K122" s="1773">
        <v>46713</v>
      </c>
      <c r="L122" s="1764">
        <f t="shared" si="36"/>
        <v>84</v>
      </c>
      <c r="M122" s="1774">
        <f t="shared" si="47"/>
        <v>135455.32</v>
      </c>
      <c r="N122" s="1775">
        <f t="shared" si="48"/>
        <v>365</v>
      </c>
      <c r="O122" s="1760">
        <v>104390</v>
      </c>
      <c r="P122" s="1776">
        <v>0.11</v>
      </c>
      <c r="Q122" s="1783">
        <f t="shared" si="37"/>
        <v>90</v>
      </c>
      <c r="R122" s="1784">
        <v>25740</v>
      </c>
      <c r="S122" s="1777">
        <f t="shared" si="38"/>
        <v>18.619999999999997</v>
      </c>
      <c r="T122" s="1784">
        <v>5325.32</v>
      </c>
      <c r="U122" s="1777"/>
      <c r="V122" s="1785">
        <v>739729.84666666703</v>
      </c>
      <c r="W122" s="1785">
        <f t="shared" si="39"/>
        <v>2586.4679953379964</v>
      </c>
      <c r="X122" s="1786">
        <f t="shared" si="61"/>
        <v>0.17591557321417431</v>
      </c>
      <c r="Y122" s="1789">
        <f>VLOOKUP(E122,[11]核心假设及结论!$C$25:$E$45,3,0)</f>
        <v>0.2</v>
      </c>
      <c r="Z122" s="1790">
        <f t="shared" si="60"/>
        <v>113090.12000000001</v>
      </c>
      <c r="AA122" s="1790">
        <f t="shared" si="60"/>
        <v>116482.07999999999</v>
      </c>
      <c r="AB122" s="1790">
        <f t="shared" si="60"/>
        <v>119962.7</v>
      </c>
      <c r="AC122" s="1790">
        <f t="shared" si="60"/>
        <v>0</v>
      </c>
      <c r="AD122" s="1790">
        <f t="shared" si="60"/>
        <v>0</v>
      </c>
      <c r="AE122" s="1790">
        <f t="shared" si="60"/>
        <v>0</v>
      </c>
      <c r="AF122" s="1790">
        <f t="shared" si="60"/>
        <v>0</v>
      </c>
      <c r="AG122" s="1794">
        <v>395.42</v>
      </c>
      <c r="AH122" s="1794">
        <v>407.28</v>
      </c>
      <c r="AI122" s="1794">
        <v>419.45</v>
      </c>
      <c r="AJ122" s="1794">
        <v>0</v>
      </c>
      <c r="AK122" s="1794">
        <v>0</v>
      </c>
      <c r="AL122" s="1794">
        <v>0</v>
      </c>
      <c r="AM122" s="1794">
        <v>0</v>
      </c>
      <c r="AN122" s="1797"/>
      <c r="AO122" s="1797"/>
      <c r="AP122" s="1808">
        <f t="shared" si="49"/>
        <v>0.87957786607087152</v>
      </c>
      <c r="AQ122" s="1812">
        <f>IF(AP122&gt;[11]核心假设及结论!$B$62,[11]核心假设及结论!$D$62,IF(AP122&lt;=[11]核心假设及结论!$B$61,[11]核心假设及结论!$D$60,[11]核心假设及结论!$D$61))</f>
        <v>1.0811176582269599</v>
      </c>
      <c r="AR122" s="1809">
        <f t="shared" si="50"/>
        <v>395.42</v>
      </c>
      <c r="AS122" s="1809">
        <f>AH122*(AS$2&lt;=YEAR($K122))+AR122*$AQ122*(AS$2=YEAR($K122)+1)+INDEX([11]核心假设及结论!$E$17:$E$21,MATCH($D122,[11]核心假设及结论!$B$17:$B$21,0))*(AS$2&gt;YEAR($K122)+1)*AR122</f>
        <v>407.28</v>
      </c>
      <c r="AT122" s="1809">
        <f>AI122*(AT$2&lt;=YEAR($K122))+AS122*$AQ122*(AT$2=YEAR($K122)+1)+INDEX([11]核心假设及结论!$E$17:$E$21,MATCH($D122,[11]核心假设及结论!$B$17:$B$21,0))*(AT$2&gt;YEAR($K122)+1)*AS122</f>
        <v>419.45</v>
      </c>
      <c r="AU122" s="1811">
        <f>AJ122*(AU$2&lt;=YEAR($K122))+AT122*$AQ122*(AU$2=YEAR($K122)+1)+INDEX([11]核心假设及结论!$E$17:$E$21,MATCH($D122,[11]核心假设及结论!$B$17:$B$21,0))*(AU$2&gt;YEAR($K122)+1)*AT122</f>
        <v>453.47480174329831</v>
      </c>
      <c r="AV122" s="1809">
        <f>AK122*(AV$2&lt;=YEAR($K122))+AU122*$AQ122*(AV$2=YEAR($K122)+1)+INDEX([11]核心假设及结论!$E$17:$E$21,MATCH($D122,[11]核心假设及结论!$B$17:$B$21,0))*(AV$2&gt;YEAR($K122)+1)*AU122</f>
        <v>467.35902357068682</v>
      </c>
      <c r="AW122" s="1809">
        <f>AL122*(AW$2&lt;=YEAR($K122))+AV122*$AQ122*(AW$2=YEAR($K122)+1)+INDEX([11]核心假设及结论!$E$17:$E$21,MATCH($D122,[11]核心假设及结论!$B$17:$B$21,0))*(AW$2&gt;YEAR($K122)+1)*AV122</f>
        <v>481.6683442459298</v>
      </c>
      <c r="AX122" s="1809">
        <f>AM122*(AX$2&lt;=YEAR($K122))+AW122*$AQ122*(AX$2=YEAR($K122)+1)+INDEX([11]核心假设及结论!$E$17:$E$21,MATCH($D122,[11]核心假设及结论!$B$17:$B$21,0))*(AX$2&gt;YEAR($K122)+1)*AW122</f>
        <v>496.41577919277188</v>
      </c>
      <c r="AZ122" s="1746">
        <f t="shared" si="40"/>
        <v>46713</v>
      </c>
      <c r="BA122" s="1817">
        <f t="shared" si="41"/>
        <v>45658</v>
      </c>
      <c r="BB122" s="1817">
        <f t="shared" si="42"/>
        <v>45983</v>
      </c>
      <c r="BC122" s="1817">
        <f t="shared" si="43"/>
        <v>46022</v>
      </c>
      <c r="BD122" s="1818">
        <f t="shared" si="44"/>
        <v>326</v>
      </c>
      <c r="BE122" s="1818">
        <f t="shared" si="45"/>
        <v>39</v>
      </c>
      <c r="BG122" s="1777">
        <f t="shared" si="58"/>
        <v>136.14305832328765</v>
      </c>
      <c r="BH122" s="1777">
        <f t="shared" si="56"/>
        <v>140.22477823561644</v>
      </c>
      <c r="BI122" s="1777">
        <f t="shared" si="56"/>
        <v>145.20295278458548</v>
      </c>
      <c r="BJ122" s="1777">
        <f t="shared" si="56"/>
        <v>156.1416958824513</v>
      </c>
      <c r="BK122" s="1777">
        <f t="shared" si="55"/>
        <v>160.92234947952548</v>
      </c>
      <c r="BL122" s="1777">
        <f t="shared" si="55"/>
        <v>165.84937428568662</v>
      </c>
      <c r="BM122" s="1777">
        <f t="shared" si="55"/>
        <v>152.16598878515271</v>
      </c>
      <c r="BO122" s="1739">
        <f t="shared" si="46"/>
        <v>2027</v>
      </c>
      <c r="BP122" s="1742">
        <f>_xlfn.IFNA(INDEX($AR122:$AX122,MATCH(BO122,$AR$2:$AX$2,0))*12/365*[11]核心假设及结论!$C$70*$H122,0)</f>
        <v>118319.37534246573</v>
      </c>
      <c r="BR122" s="1739">
        <f t="shared" si="51"/>
        <v>2034</v>
      </c>
      <c r="BS122" s="1742">
        <f>_xlfn.IFNA(INDEX($AR122:$AX122,MATCH(BR122,$AR$2:$AX$2,0))*12/365*[11]核心假设及结论!$C$70*$H122,0)</f>
        <v>0</v>
      </c>
      <c r="BU122" s="1739">
        <f t="shared" si="52"/>
        <v>2041</v>
      </c>
      <c r="BV122" s="1742">
        <f>_xlfn.IFNA(INDEX($AR122:$AX122,MATCH(BU122,$AR$2:$AX$2,0))*12/365*[11]核心假设及结论!$C$70*$H122,0)</f>
        <v>0</v>
      </c>
      <c r="BX122" s="1739">
        <f t="shared" si="53"/>
        <v>2048</v>
      </c>
      <c r="BY122" s="1742">
        <f>_xlfn.IFNA(INDEX($AR122:$AX122,MATCH(BX122,$AR$2:$AX$2,0))*12/365*[11]核心假设及结论!$C$70*$H122,0)</f>
        <v>0</v>
      </c>
      <c r="CA122" s="1739">
        <f t="shared" si="54"/>
        <v>2055</v>
      </c>
      <c r="CB122" s="1742">
        <f>_xlfn.IFNA(INDEX($AR122:$AX122,MATCH(CA122,$AR$2:$AX$2,0))*12/365*[11]核心假设及结论!$C$70*$H122,0)</f>
        <v>0</v>
      </c>
    </row>
    <row r="123" spans="1:80" ht="30" customHeight="1">
      <c r="A123" s="1756" t="s">
        <v>1687</v>
      </c>
      <c r="B123" s="1757" t="s">
        <v>1931</v>
      </c>
      <c r="C123" s="1756" t="s">
        <v>1932</v>
      </c>
      <c r="D123" s="1756" t="s">
        <v>1685</v>
      </c>
      <c r="E123" s="1758" t="s">
        <v>1692</v>
      </c>
      <c r="F123" s="1759"/>
      <c r="G123" s="1760" t="s">
        <v>1661</v>
      </c>
      <c r="H123" s="1761">
        <v>280</v>
      </c>
      <c r="I123" s="1761" t="s">
        <v>1913</v>
      </c>
      <c r="J123" s="1773">
        <v>44781</v>
      </c>
      <c r="K123" s="1773">
        <v>45876</v>
      </c>
      <c r="L123" s="1764">
        <f t="shared" si="36"/>
        <v>36</v>
      </c>
      <c r="M123" s="1774">
        <f t="shared" si="47"/>
        <v>206371.20000000001</v>
      </c>
      <c r="N123" s="1775">
        <f t="shared" si="48"/>
        <v>623.42000000000007</v>
      </c>
      <c r="O123" s="1760">
        <v>174557.6</v>
      </c>
      <c r="P123" s="1776">
        <v>0.18</v>
      </c>
      <c r="Q123" s="1783">
        <f t="shared" si="37"/>
        <v>95</v>
      </c>
      <c r="R123" s="1784">
        <v>26600</v>
      </c>
      <c r="S123" s="1777">
        <f t="shared" si="38"/>
        <v>18.62</v>
      </c>
      <c r="T123" s="1777">
        <v>5213.6000000000004</v>
      </c>
      <c r="U123" s="1777"/>
      <c r="V123" s="1785">
        <v>483978.34</v>
      </c>
      <c r="W123" s="1785">
        <f t="shared" si="39"/>
        <v>1728.4940714285715</v>
      </c>
      <c r="X123" s="1786">
        <f t="shared" si="61"/>
        <v>0.4156334764898777</v>
      </c>
      <c r="Y123" s="1789">
        <f>VLOOKUP(E123,[11]核心假设及结论!$C$25:$E$45,3,0)</f>
        <v>0.2</v>
      </c>
      <c r="Z123" s="1790">
        <f t="shared" si="60"/>
        <v>178850</v>
      </c>
      <c r="AA123" s="1790">
        <f t="shared" si="60"/>
        <v>0</v>
      </c>
      <c r="AB123" s="1790">
        <f t="shared" si="60"/>
        <v>0</v>
      </c>
      <c r="AC123" s="1790">
        <f t="shared" si="60"/>
        <v>0</v>
      </c>
      <c r="AD123" s="1790">
        <f t="shared" si="60"/>
        <v>0</v>
      </c>
      <c r="AE123" s="1790">
        <f t="shared" si="60"/>
        <v>0</v>
      </c>
      <c r="AF123" s="1790">
        <f t="shared" si="60"/>
        <v>0</v>
      </c>
      <c r="AG123" s="1794">
        <v>638.75</v>
      </c>
      <c r="AH123" s="1794">
        <v>0</v>
      </c>
      <c r="AI123" s="1794">
        <v>0</v>
      </c>
      <c r="AJ123" s="1794">
        <v>0</v>
      </c>
      <c r="AK123" s="1794">
        <v>0</v>
      </c>
      <c r="AL123" s="1794">
        <v>0</v>
      </c>
      <c r="AM123" s="1794">
        <v>0</v>
      </c>
      <c r="AN123" s="1795"/>
      <c r="AO123" s="1795"/>
      <c r="AP123" s="1808">
        <f t="shared" si="49"/>
        <v>2.0781673824493883</v>
      </c>
      <c r="AQ123" s="1810">
        <f>IF(AP123&gt;[11]核心假设及结论!$B$59,[11]核心假设及结论!$D$59,IF(AP123&lt;=[11]核心假设及结论!$B$58,[11]核心假设及结论!$D$57,[11]核心假设及结论!$D$58))</f>
        <v>1</v>
      </c>
      <c r="AR123" s="1809">
        <f t="shared" si="50"/>
        <v>638.75</v>
      </c>
      <c r="AS123" s="1811">
        <f>AH123*(AS$2&lt;=YEAR($K123))+AR123*$AQ123*(AS$2=YEAR($K123)+1)+INDEX([11]核心假设及结论!$E$17:$E$21,MATCH($D123,[11]核心假设及结论!$B$17:$B$21,0))*(AS$2&gt;YEAR($K123)+1)*AR123</f>
        <v>638.75</v>
      </c>
      <c r="AT123" s="1809">
        <f>AI123*(AT$2&lt;=YEAR($K123))+AS123*$AQ123*(AT$2=YEAR($K123)+1)+INDEX([11]核心假设及结论!$E$17:$E$21,MATCH($D123,[11]核心假设及结论!$B$17:$B$21,0))*(AT$2&gt;YEAR($K123)+1)*AS123</f>
        <v>656.04383113086817</v>
      </c>
      <c r="AU123" s="1809">
        <f>AJ123*(AU$2&lt;=YEAR($K123))+AT123*$AQ123*(AU$2=YEAR($K123)+1)+INDEX([11]核心假设及结论!$E$17:$E$21,MATCH($D123,[11]核心假设及结论!$B$17:$B$21,0))*(AU$2&gt;YEAR($K123)+1)*AT123</f>
        <v>673.8058839371696</v>
      </c>
      <c r="AV123" s="1809">
        <f>AK123*(AV$2&lt;=YEAR($K123))+AU123*$AQ123*(AV$2=YEAR($K123)+1)+INDEX([11]核心假设及结论!$E$17:$E$21,MATCH($D123,[11]核心假设及结论!$B$17:$B$21,0))*(AV$2&gt;YEAR($K123)+1)*AU123</f>
        <v>692.04883528244522</v>
      </c>
      <c r="AW123" s="1809">
        <f>AL123*(AW$2&lt;=YEAR($K123))+AV123*$AQ123*(AW$2=YEAR($K123)+1)+INDEX([11]核心假设及结论!$E$17:$E$21,MATCH($D123,[11]核心假设及结论!$B$17:$B$21,0))*(AW$2&gt;YEAR($K123)+1)*AV123</f>
        <v>710.78570524986378</v>
      </c>
      <c r="AX123" s="1809">
        <f>AM123*(AX$2&lt;=YEAR($K123))+AW123*$AQ123*(AX$2=YEAR($K123)+1)+INDEX([11]核心假设及结论!$E$17:$E$21,MATCH($D123,[11]核心假设及结论!$B$17:$B$21,0))*(AX$2&gt;YEAR($K123)+1)*AW123</f>
        <v>730.02986643471888</v>
      </c>
      <c r="AZ123" s="1746">
        <f t="shared" si="40"/>
        <v>45876</v>
      </c>
      <c r="BA123" s="1817">
        <f t="shared" si="41"/>
        <v>45658</v>
      </c>
      <c r="BB123" s="1817">
        <f t="shared" si="42"/>
        <v>45876</v>
      </c>
      <c r="BC123" s="1817">
        <f t="shared" si="43"/>
        <v>46022</v>
      </c>
      <c r="BD123" s="1818">
        <f t="shared" si="44"/>
        <v>219</v>
      </c>
      <c r="BE123" s="1818">
        <f t="shared" si="45"/>
        <v>146</v>
      </c>
      <c r="BG123" s="1777">
        <f t="shared" si="58"/>
        <v>214.62</v>
      </c>
      <c r="BH123" s="1777">
        <f t="shared" si="56"/>
        <v>216.94429090398867</v>
      </c>
      <c r="BI123" s="1777">
        <f t="shared" si="56"/>
        <v>222.81794715713863</v>
      </c>
      <c r="BJ123" s="1777">
        <f t="shared" si="56"/>
        <v>228.85062966369404</v>
      </c>
      <c r="BK123" s="1777">
        <f t="shared" si="55"/>
        <v>235.04664397852267</v>
      </c>
      <c r="BL123" s="1777">
        <f t="shared" si="55"/>
        <v>241.41041222719875</v>
      </c>
      <c r="BM123" s="1777">
        <f t="shared" si="55"/>
        <v>147.17402107323935</v>
      </c>
      <c r="BO123" s="1739">
        <f t="shared" si="46"/>
        <v>2025</v>
      </c>
      <c r="BP123" s="1742">
        <f>_xlfn.IFNA(INDEX($AR123:$AX123,MATCH(BO123,$AR$2:$AX$2,0))*12/365*[11]核心假设及结论!$C$70*$H123,0)</f>
        <v>176400</v>
      </c>
      <c r="BR123" s="1739">
        <f t="shared" si="51"/>
        <v>2028</v>
      </c>
      <c r="BS123" s="1742">
        <f>_xlfn.IFNA(INDEX($AR123:$AX123,MATCH(BR123,$AR$2:$AX$2,0))*12/365*[11]核心假设及结论!$C$70*$H123,0)</f>
        <v>186081.18657771696</v>
      </c>
      <c r="BU123" s="1739">
        <f t="shared" si="52"/>
        <v>2031</v>
      </c>
      <c r="BV123" s="1742">
        <f>_xlfn.IFNA(INDEX($AR123:$AX123,MATCH(BU123,$AR$2:$AX$2,0))*12/365*[11]核心假设及结论!$C$70*$H123,0)</f>
        <v>201608.24804553331</v>
      </c>
      <c r="BX123" s="1739">
        <f t="shared" si="53"/>
        <v>2034</v>
      </c>
      <c r="BY123" s="1742">
        <f>_xlfn.IFNA(INDEX($AR123:$AX123,MATCH(BX123,$AR$2:$AX$2,0))*12/365*[11]核心假设及结论!$C$70*$H123,0)</f>
        <v>0</v>
      </c>
      <c r="CA123" s="1739">
        <f t="shared" si="54"/>
        <v>2037</v>
      </c>
      <c r="CB123" s="1742">
        <f>_xlfn.IFNA(INDEX($AR123:$AX123,MATCH(CA123,$AR$2:$AX$2,0))*12/365*[11]核心假设及结论!$C$70*$H123,0)</f>
        <v>0</v>
      </c>
    </row>
    <row r="124" spans="1:80" ht="30" customHeight="1">
      <c r="A124" s="1756" t="s">
        <v>1666</v>
      </c>
      <c r="B124" s="1757" t="s">
        <v>1933</v>
      </c>
      <c r="C124" s="1756" t="s">
        <v>1934</v>
      </c>
      <c r="D124" s="1756" t="s">
        <v>1698</v>
      </c>
      <c r="E124" s="1758" t="s">
        <v>1698</v>
      </c>
      <c r="F124" s="1759"/>
      <c r="G124" s="1760" t="s">
        <v>1661</v>
      </c>
      <c r="H124" s="1761">
        <v>277</v>
      </c>
      <c r="I124" s="1761" t="s">
        <v>1913</v>
      </c>
      <c r="J124" s="1773">
        <v>45036</v>
      </c>
      <c r="K124" s="1773">
        <v>46862</v>
      </c>
      <c r="L124" s="1764">
        <f t="shared" si="36"/>
        <v>60</v>
      </c>
      <c r="M124" s="1774">
        <f t="shared" si="47"/>
        <v>132419.85</v>
      </c>
      <c r="N124" s="1775">
        <f t="shared" si="48"/>
        <v>365.05</v>
      </c>
      <c r="O124" s="1760">
        <v>101118.85</v>
      </c>
      <c r="P124" s="1776">
        <v>0.09</v>
      </c>
      <c r="Q124" s="1783">
        <f t="shared" si="37"/>
        <v>95</v>
      </c>
      <c r="R124" s="1784">
        <v>26315</v>
      </c>
      <c r="S124" s="1777">
        <f t="shared" si="38"/>
        <v>18</v>
      </c>
      <c r="T124" s="1777">
        <v>4986</v>
      </c>
      <c r="U124" s="1777"/>
      <c r="V124" s="1785">
        <v>1851101.37583333</v>
      </c>
      <c r="W124" s="1785">
        <f t="shared" si="39"/>
        <v>6682.6764470517328</v>
      </c>
      <c r="X124" s="1786">
        <f t="shared" si="61"/>
        <v>6.8842177777881972E-2</v>
      </c>
      <c r="Y124" s="1789">
        <f>VLOOKUP(E124,[11]核心假设及结论!$C$25:$E$45,3,0)</f>
        <v>0.2</v>
      </c>
      <c r="Z124" s="1790">
        <f t="shared" si="60"/>
        <v>101118.85</v>
      </c>
      <c r="AA124" s="1790">
        <f t="shared" si="60"/>
        <v>105276.62</v>
      </c>
      <c r="AB124" s="1790">
        <f t="shared" si="60"/>
        <v>105276.62</v>
      </c>
      <c r="AC124" s="1790">
        <f t="shared" si="60"/>
        <v>109523.03</v>
      </c>
      <c r="AD124" s="1790">
        <f t="shared" si="60"/>
        <v>0</v>
      </c>
      <c r="AE124" s="1790">
        <f t="shared" si="60"/>
        <v>0</v>
      </c>
      <c r="AF124" s="1790">
        <f t="shared" si="60"/>
        <v>0</v>
      </c>
      <c r="AG124" s="1794">
        <v>365.05</v>
      </c>
      <c r="AH124" s="1794">
        <v>380.06</v>
      </c>
      <c r="AI124" s="1794">
        <v>380.06</v>
      </c>
      <c r="AJ124" s="1794">
        <v>395.39</v>
      </c>
      <c r="AK124" s="1794">
        <v>0</v>
      </c>
      <c r="AL124" s="1794">
        <v>0</v>
      </c>
      <c r="AM124" s="1794">
        <v>0</v>
      </c>
      <c r="AN124" s="1795"/>
      <c r="AO124" s="1795"/>
      <c r="AP124" s="1808">
        <f t="shared" si="49"/>
        <v>0.34421088888940982</v>
      </c>
      <c r="AQ124" s="1812">
        <f>IF(AP124&gt;[11]核心假设及结论!$B$62,[11]核心假设及结论!$D$62,IF(AP124&lt;=[11]核心假设及结论!$B$61,[11]核心假设及结论!$D$60,[11]核心假设及结论!$D$61))</f>
        <v>1.0811176582269599</v>
      </c>
      <c r="AR124" s="1809">
        <f t="shared" si="50"/>
        <v>365.05</v>
      </c>
      <c r="AS124" s="1809">
        <f>AH124*(AS$2&lt;=YEAR($K124))+AR124*$AQ124*(AS$2=YEAR($K124)+1)+INDEX([11]核心假设及结论!$E$17:$E$21,MATCH($D124,[11]核心假设及结论!$B$17:$B$21,0))*(AS$2&gt;YEAR($K124)+1)*AR124</f>
        <v>380.06</v>
      </c>
      <c r="AT124" s="1809">
        <f>AI124*(AT$2&lt;=YEAR($K124))+AS124*$AQ124*(AT$2=YEAR($K124)+1)+INDEX([11]核心假设及结论!$E$17:$E$21,MATCH($D124,[11]核心假设及结论!$B$17:$B$21,0))*(AT$2&gt;YEAR($K124)+1)*AS124</f>
        <v>380.06</v>
      </c>
      <c r="AU124" s="1809">
        <f>AJ124*(AU$2&lt;=YEAR($K124))+AT124*$AQ124*(AU$2=YEAR($K124)+1)+INDEX([11]核心假设及结论!$E$17:$E$21,MATCH($D124,[11]核心假设及结论!$B$17:$B$21,0))*(AU$2&gt;YEAR($K124)+1)*AT124</f>
        <v>395.39</v>
      </c>
      <c r="AV124" s="1811">
        <f>AK124*(AV$2&lt;=YEAR($K124))+AU124*$AQ124*(AV$2=YEAR($K124)+1)+INDEX([11]核心假设及结论!$E$17:$E$21,MATCH($D124,[11]核心假设及结论!$B$17:$B$21,0))*(AV$2&gt;YEAR($K124)+1)*AU124</f>
        <v>427.4631108863577</v>
      </c>
      <c r="AW124" s="1809">
        <f>AL124*(AW$2&lt;=YEAR($K124))+AV124*$AQ124*(AW$2=YEAR($K124)+1)+INDEX([11]核心假设及结论!$E$17:$E$21,MATCH($D124,[11]核心假设及结论!$B$17:$B$21,0))*(AW$2&gt;YEAR($K124)+1)*AV124</f>
        <v>440.55092223057306</v>
      </c>
      <c r="AX124" s="1809">
        <f>AM124*(AX$2&lt;=YEAR($K124))+AW124*$AQ124*(AX$2=YEAR($K124)+1)+INDEX([11]核心假设及结论!$E$17:$E$21,MATCH($D124,[11]核心假设及结论!$B$17:$B$21,0))*(AX$2&gt;YEAR($K124)+1)*AW124</f>
        <v>454.0394484000434</v>
      </c>
      <c r="AZ124" s="1746">
        <f t="shared" si="40"/>
        <v>46862</v>
      </c>
      <c r="BA124" s="1817">
        <f t="shared" si="41"/>
        <v>45658</v>
      </c>
      <c r="BB124" s="1817">
        <f t="shared" si="42"/>
        <v>45766</v>
      </c>
      <c r="BC124" s="1817">
        <f t="shared" si="43"/>
        <v>46022</v>
      </c>
      <c r="BD124" s="1818">
        <f t="shared" si="44"/>
        <v>109</v>
      </c>
      <c r="BE124" s="1818">
        <f t="shared" si="45"/>
        <v>256</v>
      </c>
      <c r="BG124" s="1777">
        <f t="shared" si="58"/>
        <v>124.84198149041096</v>
      </c>
      <c r="BH124" s="1777">
        <f t="shared" si="56"/>
        <v>126.33194399999999</v>
      </c>
      <c r="BI124" s="1777">
        <f t="shared" si="56"/>
        <v>129.90590879999999</v>
      </c>
      <c r="BJ124" s="1777">
        <f t="shared" si="56"/>
        <v>138.9050116904331</v>
      </c>
      <c r="BK124" s="1777">
        <f t="shared" si="55"/>
        <v>145.13996943848613</v>
      </c>
      <c r="BL124" s="1777">
        <f t="shared" si="55"/>
        <v>149.58377871732023</v>
      </c>
      <c r="BM124" s="1777">
        <f t="shared" si="55"/>
        <v>45.070070352468527</v>
      </c>
      <c r="BO124" s="1739">
        <f t="shared" si="46"/>
        <v>2028</v>
      </c>
      <c r="BP124" s="1742">
        <f>_xlfn.IFNA(INDEX($AR124:$AX124,MATCH(BO124,$AR$2:$AX$2,0))*12/365*[11]核心假设及结论!$C$70*$H124,0)</f>
        <v>108022.71452054795</v>
      </c>
      <c r="BR124" s="1739">
        <f t="shared" si="51"/>
        <v>2033</v>
      </c>
      <c r="BS124" s="1742">
        <f>_xlfn.IFNA(INDEX($AR124:$AX124,MATCH(BR124,$AR$2:$AX$2,0))*12/365*[11]核心假设及结论!$C$70*$H124,0)</f>
        <v>0</v>
      </c>
      <c r="BU124" s="1739">
        <f t="shared" si="52"/>
        <v>2038</v>
      </c>
      <c r="BV124" s="1742">
        <f>_xlfn.IFNA(INDEX($AR124:$AX124,MATCH(BU124,$AR$2:$AX$2,0))*12/365*[11]核心假设及结论!$C$70*$H124,0)</f>
        <v>0</v>
      </c>
      <c r="BX124" s="1739">
        <f t="shared" si="53"/>
        <v>2043</v>
      </c>
      <c r="BY124" s="1742">
        <f>_xlfn.IFNA(INDEX($AR124:$AX124,MATCH(BX124,$AR$2:$AX$2,0))*12/365*[11]核心假设及结论!$C$70*$H124,0)</f>
        <v>0</v>
      </c>
      <c r="CA124" s="1739">
        <f t="shared" si="54"/>
        <v>2048</v>
      </c>
      <c r="CB124" s="1742">
        <f>_xlfn.IFNA(INDEX($AR124:$AX124,MATCH(CA124,$AR$2:$AX$2,0))*12/365*[11]核心假设及结论!$C$70*$H124,0)</f>
        <v>0</v>
      </c>
    </row>
    <row r="125" spans="1:80" ht="30" customHeight="1">
      <c r="A125" s="1756" t="s">
        <v>1662</v>
      </c>
      <c r="B125" s="1757" t="s">
        <v>1935</v>
      </c>
      <c r="C125" s="1756" t="s">
        <v>1936</v>
      </c>
      <c r="D125" s="1756" t="s">
        <v>1685</v>
      </c>
      <c r="E125" s="1758" t="s">
        <v>1871</v>
      </c>
      <c r="F125" s="1759"/>
      <c r="G125" s="1760" t="s">
        <v>1661</v>
      </c>
      <c r="H125" s="1761">
        <v>276</v>
      </c>
      <c r="I125" s="1761" t="s">
        <v>1913</v>
      </c>
      <c r="J125" s="1773">
        <v>44750</v>
      </c>
      <c r="K125" s="1773">
        <v>45845</v>
      </c>
      <c r="L125" s="1764">
        <f t="shared" si="36"/>
        <v>36</v>
      </c>
      <c r="M125" s="1774">
        <f t="shared" si="47"/>
        <v>215856.84</v>
      </c>
      <c r="N125" s="1775">
        <f t="shared" si="48"/>
        <v>669.09</v>
      </c>
      <c r="O125" s="1760">
        <v>184668.84</v>
      </c>
      <c r="P125" s="1776" t="s">
        <v>1937</v>
      </c>
      <c r="Q125" s="1783">
        <f t="shared" si="37"/>
        <v>95</v>
      </c>
      <c r="R125" s="1784">
        <v>26220</v>
      </c>
      <c r="S125" s="1777">
        <f t="shared" si="38"/>
        <v>18</v>
      </c>
      <c r="T125" s="1784">
        <v>4968</v>
      </c>
      <c r="U125" s="1777"/>
      <c r="V125" s="1785">
        <v>3646308.2666666699</v>
      </c>
      <c r="W125" s="1785">
        <f t="shared" si="39"/>
        <v>13211.261835748805</v>
      </c>
      <c r="X125" s="1786">
        <f>(N125+Q125+S125)*H125/V125</f>
        <v>5.9198735875759877E-2</v>
      </c>
      <c r="Y125" s="1789">
        <f>VLOOKUP(E125,[11]核心假设及结论!$C$25:$E$45,3,0)</f>
        <v>0.2</v>
      </c>
      <c r="Z125" s="1790">
        <f t="shared" si="60"/>
        <v>184668.84</v>
      </c>
      <c r="AA125" s="1790">
        <f t="shared" si="60"/>
        <v>0</v>
      </c>
      <c r="AB125" s="1790">
        <f t="shared" si="60"/>
        <v>0</v>
      </c>
      <c r="AC125" s="1790">
        <f t="shared" si="60"/>
        <v>0</v>
      </c>
      <c r="AD125" s="1790">
        <f t="shared" si="60"/>
        <v>0</v>
      </c>
      <c r="AE125" s="1790">
        <f t="shared" si="60"/>
        <v>0</v>
      </c>
      <c r="AF125" s="1790">
        <f t="shared" si="60"/>
        <v>0</v>
      </c>
      <c r="AG125" s="1794">
        <v>669.09</v>
      </c>
      <c r="AH125" s="1794">
        <v>0</v>
      </c>
      <c r="AI125" s="1794">
        <v>0</v>
      </c>
      <c r="AJ125" s="1794">
        <v>0</v>
      </c>
      <c r="AK125" s="1794">
        <v>0</v>
      </c>
      <c r="AL125" s="1794">
        <v>0</v>
      </c>
      <c r="AM125" s="1794">
        <v>0</v>
      </c>
      <c r="AN125" s="1797"/>
      <c r="AO125" s="1797"/>
      <c r="AP125" s="1808">
        <f t="shared" si="49"/>
        <v>0.29599367937879939</v>
      </c>
      <c r="AQ125" s="1810">
        <f>IF(AP125&gt;[11]核心假设及结论!$B$59,[11]核心假设及结论!$D$59,IF(AP125&lt;=[11]核心假设及结论!$B$58,[11]核心假设及结论!$D$57,[11]核心假设及结论!$D$58))</f>
        <v>1.0342640124442799</v>
      </c>
      <c r="AR125" s="1809">
        <f t="shared" si="50"/>
        <v>669.09</v>
      </c>
      <c r="AS125" s="1811">
        <f>AH125*(AS$2&lt;=YEAR($K125))+AR125*$AQ125*(AS$2=YEAR($K125)+1)+INDEX([11]核心假设及结论!$E$17:$E$21,MATCH($D125,[11]核心假设及结论!$B$17:$B$21,0))*(AS$2&gt;YEAR($K125)+1)*AR125</f>
        <v>692.01570808634324</v>
      </c>
      <c r="AT125" s="1809">
        <f>AI125*(AT$2&lt;=YEAR($K125))+AS125*$AQ125*(AT$2=YEAR($K125)+1)+INDEX([11]核心假设及结论!$E$17:$E$21,MATCH($D125,[11]核心假设及结论!$B$17:$B$21,0))*(AT$2&gt;YEAR($K125)+1)*AS125</f>
        <v>710.75168115178883</v>
      </c>
      <c r="AU125" s="1809">
        <f>AJ125*(AU$2&lt;=YEAR($K125))+AT125*$AQ125*(AU$2=YEAR($K125)+1)+INDEX([11]核心假设及结论!$E$17:$E$21,MATCH($D125,[11]核心假设及结论!$B$17:$B$21,0))*(AU$2&gt;YEAR($K125)+1)*AT125</f>
        <v>729.99492115150656</v>
      </c>
      <c r="AV125" s="1809">
        <f>AK125*(AV$2&lt;=YEAR($K125))+AU125*$AQ125*(AV$2=YEAR($K125)+1)+INDEX([11]核心假设及结论!$E$17:$E$21,MATCH($D125,[11]核心假设及结论!$B$17:$B$21,0))*(AV$2&gt;YEAR($K125)+1)*AU125</f>
        <v>749.75916207954663</v>
      </c>
      <c r="AW125" s="1809">
        <f>AL125*(AW$2&lt;=YEAR($K125))+AV125*$AQ125*(AW$2=YEAR($K125)+1)+INDEX([11]核心假设及结论!$E$17:$E$21,MATCH($D125,[11]核心假设及结论!$B$17:$B$21,0))*(AW$2&gt;YEAR($K125)+1)*AV125</f>
        <v>770.05850977085765</v>
      </c>
      <c r="AX125" s="1809">
        <f>AM125*(AX$2&lt;=YEAR($K125))+AW125*$AQ125*(AX$2=YEAR($K125)+1)+INDEX([11]核心假设及结论!$E$17:$E$21,MATCH($D125,[11]核心假设及结论!$B$17:$B$21,0))*(AX$2&gt;YEAR($K125)+1)*AW125</f>
        <v>790.90745196868966</v>
      </c>
      <c r="AZ125" s="1746">
        <f t="shared" si="40"/>
        <v>45845</v>
      </c>
      <c r="BA125" s="1817">
        <f t="shared" si="41"/>
        <v>45658</v>
      </c>
      <c r="BB125" s="1817">
        <f t="shared" si="42"/>
        <v>45845</v>
      </c>
      <c r="BC125" s="1817">
        <f t="shared" si="43"/>
        <v>46022</v>
      </c>
      <c r="BD125" s="1818">
        <f t="shared" si="44"/>
        <v>188</v>
      </c>
      <c r="BE125" s="1818">
        <f t="shared" si="45"/>
        <v>177</v>
      </c>
      <c r="BG125" s="1777">
        <f t="shared" si="58"/>
        <v>225.28469027320779</v>
      </c>
      <c r="BH125" s="1777">
        <f t="shared" si="56"/>
        <v>232.20477431937982</v>
      </c>
      <c r="BI125" s="1777">
        <f t="shared" si="56"/>
        <v>238.49160039352574</v>
      </c>
      <c r="BJ125" s="1777">
        <f t="shared" si="56"/>
        <v>244.94863908368015</v>
      </c>
      <c r="BK125" s="1777">
        <f t="shared" si="55"/>
        <v>251.58049880978447</v>
      </c>
      <c r="BL125" s="1777">
        <f t="shared" si="55"/>
        <v>258.39191276240444</v>
      </c>
      <c r="BM125" s="1777">
        <f t="shared" si="55"/>
        <v>134.92144394877161</v>
      </c>
      <c r="BO125" s="1739">
        <f t="shared" si="46"/>
        <v>2025</v>
      </c>
      <c r="BP125" s="1742">
        <f>_xlfn.IFNA(INDEX($AR125:$AX125,MATCH(BO125,$AR$2:$AX$2,0))*12/365*[11]核心假设及结论!$C$70*$H125,0)</f>
        <v>182139.12986301369</v>
      </c>
      <c r="BR125" s="1739">
        <f t="shared" si="51"/>
        <v>2028</v>
      </c>
      <c r="BS125" s="1742">
        <f>_xlfn.IFNA(INDEX($AR125:$AX125,MATCH(BR125,$AR$2:$AX$2,0))*12/365*[11]核心假设及结论!$C$70*$H125,0)</f>
        <v>198718.61744003749</v>
      </c>
      <c r="BU125" s="1739">
        <f t="shared" si="52"/>
        <v>2031</v>
      </c>
      <c r="BV125" s="1742">
        <f>_xlfn.IFNA(INDEX($AR125:$AX125,MATCH(BU125,$AR$2:$AX$2,0))*12/365*[11]核心假设及结论!$C$70*$H125,0)</f>
        <v>215300.17651399726</v>
      </c>
      <c r="BX125" s="1739">
        <f t="shared" si="53"/>
        <v>2034</v>
      </c>
      <c r="BY125" s="1742">
        <f>_xlfn.IFNA(INDEX($AR125:$AX125,MATCH(BX125,$AR$2:$AX$2,0))*12/365*[11]核心假设及结论!$C$70*$H125,0)</f>
        <v>0</v>
      </c>
      <c r="CA125" s="1739">
        <f t="shared" si="54"/>
        <v>2037</v>
      </c>
      <c r="CB125" s="1742">
        <f>_xlfn.IFNA(INDEX($AR125:$AX125,MATCH(CA125,$AR$2:$AX$2,0))*12/365*[11]核心假设及结论!$C$70*$H125,0)</f>
        <v>0</v>
      </c>
    </row>
    <row r="126" spans="1:80" ht="30" customHeight="1">
      <c r="A126" s="1756" t="s">
        <v>1662</v>
      </c>
      <c r="B126" s="1757" t="s">
        <v>1938</v>
      </c>
      <c r="C126" s="1756" t="s">
        <v>1939</v>
      </c>
      <c r="D126" s="1756" t="s">
        <v>1685</v>
      </c>
      <c r="E126" s="1758" t="s">
        <v>1709</v>
      </c>
      <c r="F126" s="1759"/>
      <c r="G126" s="1760" t="s">
        <v>1661</v>
      </c>
      <c r="H126" s="1761">
        <v>274</v>
      </c>
      <c r="I126" s="1761" t="s">
        <v>1913</v>
      </c>
      <c r="J126" s="1773">
        <v>45026</v>
      </c>
      <c r="K126" s="1773">
        <v>45756</v>
      </c>
      <c r="L126" s="1764">
        <f t="shared" si="36"/>
        <v>24</v>
      </c>
      <c r="M126" s="1774">
        <f t="shared" si="47"/>
        <v>228483.12</v>
      </c>
      <c r="N126" s="1775">
        <f t="shared" si="48"/>
        <v>720.88</v>
      </c>
      <c r="O126" s="1760">
        <v>197521.12</v>
      </c>
      <c r="P126" s="1776">
        <v>0.12</v>
      </c>
      <c r="Q126" s="1783">
        <f t="shared" si="37"/>
        <v>95</v>
      </c>
      <c r="R126" s="1784">
        <v>26030</v>
      </c>
      <c r="S126" s="1777">
        <f t="shared" si="38"/>
        <v>18</v>
      </c>
      <c r="T126" s="1784">
        <v>4932</v>
      </c>
      <c r="U126" s="1777"/>
      <c r="V126" s="1785">
        <v>1986136.9833333299</v>
      </c>
      <c r="W126" s="1785">
        <f t="shared" si="39"/>
        <v>7248.675121654489</v>
      </c>
      <c r="X126" s="1786">
        <f>(N126+Q126+S126)*H126/V126</f>
        <v>0.115038953464598</v>
      </c>
      <c r="Y126" s="1789">
        <f>VLOOKUP(E126,[11]核心假设及结论!$C$25:$E$45,3,0)</f>
        <v>0.2</v>
      </c>
      <c r="Z126" s="1790">
        <f t="shared" si="60"/>
        <v>197521.12</v>
      </c>
      <c r="AA126" s="1790">
        <f t="shared" si="60"/>
        <v>0</v>
      </c>
      <c r="AB126" s="1790">
        <f t="shared" si="60"/>
        <v>0</v>
      </c>
      <c r="AC126" s="1790">
        <f t="shared" si="60"/>
        <v>0</v>
      </c>
      <c r="AD126" s="1790">
        <f t="shared" si="60"/>
        <v>0</v>
      </c>
      <c r="AE126" s="1790">
        <f t="shared" si="60"/>
        <v>0</v>
      </c>
      <c r="AF126" s="1790">
        <f t="shared" si="60"/>
        <v>0</v>
      </c>
      <c r="AG126" s="1794">
        <v>720.88</v>
      </c>
      <c r="AH126" s="1794">
        <v>0</v>
      </c>
      <c r="AI126" s="1794">
        <v>0</v>
      </c>
      <c r="AJ126" s="1794">
        <v>0</v>
      </c>
      <c r="AK126" s="1794">
        <v>0</v>
      </c>
      <c r="AL126" s="1794">
        <v>0</v>
      </c>
      <c r="AM126" s="1794">
        <v>0</v>
      </c>
      <c r="AN126" s="1797"/>
      <c r="AO126" s="1797"/>
      <c r="AP126" s="1808">
        <f t="shared" si="49"/>
        <v>0.57519476732298991</v>
      </c>
      <c r="AQ126" s="1810">
        <f>IF(AP126&gt;[11]核心假设及结论!$B$59,[11]核心假设及结论!$D$59,IF(AP126&lt;=[11]核心假设及结论!$B$58,[11]核心假设及结论!$D$57,[11]核心假设及结论!$D$58))</f>
        <v>1.0342640124442799</v>
      </c>
      <c r="AR126" s="1809">
        <f t="shared" si="50"/>
        <v>720.88</v>
      </c>
      <c r="AS126" s="1811">
        <f>AH126*(AS$2&lt;=YEAR($K126))+AR126*$AQ126*(AS$2=YEAR($K126)+1)+INDEX([11]核心假设及结论!$E$17:$E$21,MATCH($D126,[11]核心假设及结论!$B$17:$B$21,0))*(AS$2&gt;YEAR($K126)+1)*AR126</f>
        <v>745.58024129083253</v>
      </c>
      <c r="AT126" s="1809">
        <f>AI126*(AT$2&lt;=YEAR($K126))+AS126*$AQ126*(AT$2=YEAR($K126)+1)+INDEX([11]核心假设及结论!$E$17:$E$21,MATCH($D126,[11]核心假设及结论!$B$17:$B$21,0))*(AT$2&gt;YEAR($K126)+1)*AS126</f>
        <v>765.76644682882954</v>
      </c>
      <c r="AU126" s="1809">
        <f>AJ126*(AU$2&lt;=YEAR($K126))+AT126*$AQ126*(AU$2=YEAR($K126)+1)+INDEX([11]核心假设及结论!$E$17:$E$21,MATCH($D126,[11]核心假设及结论!$B$17:$B$21,0))*(AU$2&gt;YEAR($K126)+1)*AT126</f>
        <v>786.49918360713514</v>
      </c>
      <c r="AV126" s="1809">
        <f>AK126*(AV$2&lt;=YEAR($K126))+AU126*$AQ126*(AV$2=YEAR($K126)+1)+INDEX([11]核心假设及结论!$E$17:$E$21,MATCH($D126,[11]核心假设及结论!$B$17:$B$21,0))*(AV$2&gt;YEAR($K126)+1)*AU126</f>
        <v>807.79324868090032</v>
      </c>
      <c r="AW126" s="1809">
        <f>AL126*(AW$2&lt;=YEAR($K126))+AV126*$AQ126*(AW$2=YEAR($K126)+1)+INDEX([11]核心假设及结论!$E$17:$E$21,MATCH($D126,[11]核心假设及结论!$B$17:$B$21,0))*(AW$2&gt;YEAR($K126)+1)*AV126</f>
        <v>829.66383972801248</v>
      </c>
      <c r="AX126" s="1809">
        <f>AM126*(AX$2&lt;=YEAR($K126))+AW126*$AQ126*(AX$2=YEAR($K126)+1)+INDEX([11]核心假设及结论!$E$17:$E$21,MATCH($D126,[11]核心假设及结论!$B$17:$B$21,0))*(AX$2&gt;YEAR($K126)+1)*AW126</f>
        <v>852.12656589575249</v>
      </c>
      <c r="AZ126" s="1746">
        <f t="shared" si="40"/>
        <v>45756</v>
      </c>
      <c r="BA126" s="1817">
        <f t="shared" si="41"/>
        <v>45658</v>
      </c>
      <c r="BB126" s="1817">
        <f t="shared" si="42"/>
        <v>45756</v>
      </c>
      <c r="BC126" s="1817">
        <f t="shared" si="43"/>
        <v>46022</v>
      </c>
      <c r="BD126" s="1818">
        <f t="shared" si="44"/>
        <v>99</v>
      </c>
      <c r="BE126" s="1818">
        <f t="shared" si="45"/>
        <v>266</v>
      </c>
      <c r="BG126" s="1777">
        <f t="shared" si="58"/>
        <v>242.94398198216231</v>
      </c>
      <c r="BH126" s="1777">
        <f t="shared" si="56"/>
        <v>249.98377425510427</v>
      </c>
      <c r="BI126" s="1777">
        <f t="shared" si="56"/>
        <v>256.75195770312746</v>
      </c>
      <c r="BJ126" s="1777">
        <f t="shared" si="56"/>
        <v>263.70338627304949</v>
      </c>
      <c r="BK126" s="1777">
        <f t="shared" si="55"/>
        <v>270.84302123327524</v>
      </c>
      <c r="BL126" s="1777">
        <f t="shared" si="55"/>
        <v>278.1759581760266</v>
      </c>
      <c r="BM126" s="1777">
        <f t="shared" si="55"/>
        <v>75.993814443248823</v>
      </c>
      <c r="BO126" s="1739">
        <f t="shared" si="46"/>
        <v>2025</v>
      </c>
      <c r="BP126" s="1742">
        <f>_xlfn.IFNA(INDEX($AR126:$AX126,MATCH(BO126,$AR$2:$AX$2,0))*12/365*[11]核心假设及结论!$C$70*$H126,0)</f>
        <v>194815.35123287671</v>
      </c>
      <c r="BR126" s="1739">
        <f t="shared" si="51"/>
        <v>2027</v>
      </c>
      <c r="BS126" s="1742">
        <f>_xlfn.IFNA(INDEX($AR126:$AX126,MATCH(BR126,$AR$2:$AX$2,0))*12/365*[11]核心假设及结论!$C$70*$H126,0)</f>
        <v>206945.75976765959</v>
      </c>
      <c r="BU126" s="1739">
        <f t="shared" si="52"/>
        <v>2029</v>
      </c>
      <c r="BV126" s="1742">
        <f>_xlfn.IFNA(INDEX($AR126:$AX126,MATCH(BU126,$AR$2:$AX$2,0))*12/365*[11]核心假设及结论!$C$70*$H126,0)</f>
        <v>218303.3590407781</v>
      </c>
      <c r="BX126" s="1739">
        <f t="shared" si="53"/>
        <v>2031</v>
      </c>
      <c r="BY126" s="1742">
        <f>_xlfn.IFNA(INDEX($AR126:$AX126,MATCH(BX126,$AR$2:$AX$2,0))*12/365*[11]核心假设及结论!$C$70*$H126,0)</f>
        <v>230284.28619166306</v>
      </c>
      <c r="CA126" s="1739">
        <f t="shared" si="54"/>
        <v>2033</v>
      </c>
      <c r="CB126" s="1742">
        <f>_xlfn.IFNA(INDEX($AR126:$AX126,MATCH(CA126,$AR$2:$AX$2,0))*12/365*[11]核心假设及结论!$C$70*$H126,0)</f>
        <v>0</v>
      </c>
    </row>
    <row r="127" spans="1:80" ht="30" customHeight="1">
      <c r="A127" s="1756" t="s">
        <v>1666</v>
      </c>
      <c r="B127" s="1757" t="s">
        <v>1940</v>
      </c>
      <c r="C127" s="1756" t="s">
        <v>1941</v>
      </c>
      <c r="D127" s="1756" t="s">
        <v>1698</v>
      </c>
      <c r="E127" s="1758" t="s">
        <v>1698</v>
      </c>
      <c r="F127" s="1759"/>
      <c r="G127" s="1760" t="s">
        <v>1661</v>
      </c>
      <c r="H127" s="1761">
        <v>271</v>
      </c>
      <c r="I127" s="1761" t="s">
        <v>1913</v>
      </c>
      <c r="J127" s="1773">
        <v>44880</v>
      </c>
      <c r="K127" s="1773">
        <v>46797</v>
      </c>
      <c r="L127" s="1764">
        <f t="shared" si="36"/>
        <v>63</v>
      </c>
      <c r="M127" s="1774">
        <f t="shared" si="47"/>
        <v>142275</v>
      </c>
      <c r="N127" s="1775">
        <f t="shared" si="48"/>
        <v>412</v>
      </c>
      <c r="O127" s="1760">
        <v>111652</v>
      </c>
      <c r="P127" s="1776">
        <v>0.08</v>
      </c>
      <c r="Q127" s="1783">
        <f t="shared" si="37"/>
        <v>95</v>
      </c>
      <c r="R127" s="1784">
        <v>25745</v>
      </c>
      <c r="S127" s="1777">
        <f t="shared" si="38"/>
        <v>18</v>
      </c>
      <c r="T127" s="1784">
        <v>4878</v>
      </c>
      <c r="U127" s="1777"/>
      <c r="V127" s="1785">
        <v>831568.12250000006</v>
      </c>
      <c r="W127" s="1785">
        <f t="shared" si="39"/>
        <v>3068.5170571955723</v>
      </c>
      <c r="X127" s="1786">
        <f>(N127+Q127)*H127/V127</f>
        <v>0.16522639129904837</v>
      </c>
      <c r="Y127" s="1789">
        <f>VLOOKUP(E127,[11]核心假设及结论!$C$25:$E$45,3,0)</f>
        <v>0.2</v>
      </c>
      <c r="Z127" s="1790">
        <f t="shared" si="60"/>
        <v>115001.56</v>
      </c>
      <c r="AA127" s="1790">
        <f t="shared" si="60"/>
        <v>118451.39</v>
      </c>
      <c r="AB127" s="1790">
        <f t="shared" si="60"/>
        <v>122004.2</v>
      </c>
      <c r="AC127" s="1790">
        <f t="shared" si="60"/>
        <v>122004.2</v>
      </c>
      <c r="AD127" s="1790">
        <f t="shared" si="60"/>
        <v>0</v>
      </c>
      <c r="AE127" s="1790">
        <f t="shared" si="60"/>
        <v>0</v>
      </c>
      <c r="AF127" s="1790">
        <f t="shared" si="60"/>
        <v>0</v>
      </c>
      <c r="AG127" s="1794">
        <v>424.36</v>
      </c>
      <c r="AH127" s="1794">
        <v>437.09</v>
      </c>
      <c r="AI127" s="1794">
        <v>450.2</v>
      </c>
      <c r="AJ127" s="1794">
        <v>450.2</v>
      </c>
      <c r="AK127" s="1794">
        <v>0</v>
      </c>
      <c r="AL127" s="1794">
        <v>0</v>
      </c>
      <c r="AM127" s="1794">
        <v>0</v>
      </c>
      <c r="AN127" s="1797"/>
      <c r="AO127" s="1797"/>
      <c r="AP127" s="1808">
        <f t="shared" si="49"/>
        <v>0.82613195649524185</v>
      </c>
      <c r="AQ127" s="1812">
        <f>IF(AP127&gt;[11]核心假设及结论!$B$62,[11]核心假设及结论!$D$62,IF(AP127&lt;=[11]核心假设及结论!$B$61,[11]核心假设及结论!$D$60,[11]核心假设及结论!$D$61))</f>
        <v>1.0811176582269599</v>
      </c>
      <c r="AR127" s="1809">
        <f t="shared" si="50"/>
        <v>424.36</v>
      </c>
      <c r="AS127" s="1809">
        <f>AH127*(AS$2&lt;=YEAR($K127))+AR127*$AQ127*(AS$2=YEAR($K127)+1)+INDEX([11]核心假设及结论!$E$17:$E$21,MATCH($D127,[11]核心假设及结论!$B$17:$B$21,0))*(AS$2&gt;YEAR($K127)+1)*AR127</f>
        <v>437.09</v>
      </c>
      <c r="AT127" s="1809">
        <f>AI127*(AT$2&lt;=YEAR($K127))+AS127*$AQ127*(AT$2=YEAR($K127)+1)+INDEX([11]核心假设及结论!$E$17:$E$21,MATCH($D127,[11]核心假设及结论!$B$17:$B$21,0))*(AT$2&gt;YEAR($K127)+1)*AS127</f>
        <v>450.2</v>
      </c>
      <c r="AU127" s="1809">
        <f>AJ127*(AU$2&lt;=YEAR($K127))+AT127*$AQ127*(AU$2=YEAR($K127)+1)+INDEX([11]核心假设及结论!$E$17:$E$21,MATCH($D127,[11]核心假设及结论!$B$17:$B$21,0))*(AU$2&gt;YEAR($K127)+1)*AT127</f>
        <v>450.2</v>
      </c>
      <c r="AV127" s="1811">
        <f>AK127*(AV$2&lt;=YEAR($K127))+AU127*$AQ127*(AV$2=YEAR($K127)+1)+INDEX([11]核心假设及结论!$E$17:$E$21,MATCH($D127,[11]核心假设及结论!$B$17:$B$21,0))*(AV$2&gt;YEAR($K127)+1)*AU127</f>
        <v>486.71916973377733</v>
      </c>
      <c r="AW127" s="1809">
        <f>AL127*(AW$2&lt;=YEAR($K127))+AV127*$AQ127*(AW$2=YEAR($K127)+1)+INDEX([11]核心假设及结论!$E$17:$E$21,MATCH($D127,[11]核心假设及结论!$B$17:$B$21,0))*(AW$2&gt;YEAR($K127)+1)*AV127</f>
        <v>501.62124785200427</v>
      </c>
      <c r="AX127" s="1809">
        <f>AM127*(AX$2&lt;=YEAR($K127))+AW127*$AQ127*(AX$2=YEAR($K127)+1)+INDEX([11]核心假设及结论!$E$17:$E$21,MATCH($D127,[11]核心假设及结论!$B$17:$B$21,0))*(AX$2&gt;YEAR($K127)+1)*AW127</f>
        <v>516.97958893674479</v>
      </c>
      <c r="AZ127" s="1746">
        <f t="shared" si="40"/>
        <v>46797</v>
      </c>
      <c r="BA127" s="1817">
        <f t="shared" si="41"/>
        <v>45658</v>
      </c>
      <c r="BB127" s="1817">
        <f t="shared" si="42"/>
        <v>45702</v>
      </c>
      <c r="BC127" s="1817">
        <f t="shared" si="43"/>
        <v>46022</v>
      </c>
      <c r="BD127" s="1818">
        <f t="shared" si="44"/>
        <v>45</v>
      </c>
      <c r="BE127" s="1818">
        <f t="shared" si="45"/>
        <v>320</v>
      </c>
      <c r="BG127" s="1777">
        <f t="shared" si="58"/>
        <v>141.63128219178083</v>
      </c>
      <c r="BH127" s="1777">
        <f t="shared" si="56"/>
        <v>145.87941879452055</v>
      </c>
      <c r="BI127" s="1777">
        <f t="shared" si="56"/>
        <v>146.40503999999999</v>
      </c>
      <c r="BJ127" s="1777">
        <f t="shared" si="56"/>
        <v>156.81690542239949</v>
      </c>
      <c r="BK127" s="1777">
        <f t="shared" si="55"/>
        <v>162.52975853795911</v>
      </c>
      <c r="BL127" s="1777">
        <f t="shared" si="55"/>
        <v>167.50599803884828</v>
      </c>
      <c r="BM127" s="1777">
        <f t="shared" si="55"/>
        <v>20.727340560274861</v>
      </c>
      <c r="BO127" s="1739">
        <f t="shared" si="46"/>
        <v>2028</v>
      </c>
      <c r="BP127" s="1742">
        <f>_xlfn.IFNA(INDEX($AR127:$AX127,MATCH(BO127,$AR$2:$AX$2,0))*12/365*[11]核心假设及结论!$C$70*$H127,0)</f>
        <v>120332.90958904108</v>
      </c>
      <c r="BR127" s="1739">
        <f t="shared" si="51"/>
        <v>2033</v>
      </c>
      <c r="BS127" s="1742">
        <f>_xlfn.IFNA(INDEX($AR127:$AX127,MATCH(BR127,$AR$2:$AX$2,0))*12/365*[11]核心假设及结论!$C$70*$H127,0)</f>
        <v>0</v>
      </c>
      <c r="BU127" s="1739">
        <f t="shared" si="52"/>
        <v>2038</v>
      </c>
      <c r="BV127" s="1742">
        <f>_xlfn.IFNA(INDEX($AR127:$AX127,MATCH(BU127,$AR$2:$AX$2,0))*12/365*[11]核心假设及结论!$C$70*$H127,0)</f>
        <v>0</v>
      </c>
      <c r="BX127" s="1739">
        <f t="shared" si="53"/>
        <v>2043</v>
      </c>
      <c r="BY127" s="1742">
        <f>_xlfn.IFNA(INDEX($AR127:$AX127,MATCH(BX127,$AR$2:$AX$2,0))*12/365*[11]核心假设及结论!$C$70*$H127,0)</f>
        <v>0</v>
      </c>
      <c r="CA127" s="1739">
        <f t="shared" si="54"/>
        <v>2048</v>
      </c>
      <c r="CB127" s="1742">
        <f>_xlfn.IFNA(INDEX($AR127:$AX127,MATCH(CA127,$AR$2:$AX$2,0))*12/365*[11]核心假设及结论!$C$70*$H127,0)</f>
        <v>0</v>
      </c>
    </row>
    <row r="128" spans="1:80" ht="30" customHeight="1">
      <c r="A128" s="1756" t="s">
        <v>1662</v>
      </c>
      <c r="B128" s="1757" t="s">
        <v>1942</v>
      </c>
      <c r="C128" s="1756" t="s">
        <v>1943</v>
      </c>
      <c r="D128" s="1756" t="s">
        <v>1685</v>
      </c>
      <c r="E128" s="1758" t="s">
        <v>1718</v>
      </c>
      <c r="F128" s="1759"/>
      <c r="G128" s="1760" t="s">
        <v>1661</v>
      </c>
      <c r="H128" s="1761">
        <v>269</v>
      </c>
      <c r="I128" s="1761" t="s">
        <v>1913</v>
      </c>
      <c r="J128" s="1773">
        <v>45421</v>
      </c>
      <c r="K128" s="1773">
        <v>46150</v>
      </c>
      <c r="L128" s="1764">
        <f t="shared" si="36"/>
        <v>24</v>
      </c>
      <c r="M128" s="1774">
        <f t="shared" si="47"/>
        <v>169491.52</v>
      </c>
      <c r="N128" s="1775">
        <f t="shared" si="48"/>
        <v>517.07999999999993</v>
      </c>
      <c r="O128" s="1760">
        <v>139094.51999999999</v>
      </c>
      <c r="P128" s="1776">
        <v>0.12</v>
      </c>
      <c r="Q128" s="1783">
        <f t="shared" si="37"/>
        <v>95</v>
      </c>
      <c r="R128" s="1784">
        <v>25555</v>
      </c>
      <c r="S128" s="1777">
        <f t="shared" si="38"/>
        <v>18</v>
      </c>
      <c r="T128" s="1784">
        <v>4842</v>
      </c>
      <c r="U128" s="1777"/>
      <c r="V128" s="1785">
        <v>602228.41666666698</v>
      </c>
      <c r="W128" s="1785">
        <f t="shared" si="39"/>
        <v>2238.7673482032228</v>
      </c>
      <c r="X128" s="1786">
        <f>(N128+Q128)*H128/V128</f>
        <v>0.27340044980164624</v>
      </c>
      <c r="Y128" s="1789">
        <f>VLOOKUP(E128,[11]核心假设及结论!$C$25:$E$45,3,0)</f>
        <v>0.2</v>
      </c>
      <c r="Z128" s="1790">
        <f t="shared" si="60"/>
        <v>139094.52000000002</v>
      </c>
      <c r="AA128" s="1790">
        <f t="shared" si="60"/>
        <v>143269.4</v>
      </c>
      <c r="AB128" s="1790">
        <f t="shared" si="60"/>
        <v>0</v>
      </c>
      <c r="AC128" s="1790">
        <f t="shared" si="60"/>
        <v>0</v>
      </c>
      <c r="AD128" s="1790">
        <f t="shared" si="60"/>
        <v>0</v>
      </c>
      <c r="AE128" s="1790">
        <f t="shared" si="60"/>
        <v>0</v>
      </c>
      <c r="AF128" s="1790">
        <f t="shared" si="60"/>
        <v>0</v>
      </c>
      <c r="AG128" s="1794">
        <v>517.08000000000004</v>
      </c>
      <c r="AH128" s="1794">
        <v>532.6</v>
      </c>
      <c r="AI128" s="1794">
        <v>0</v>
      </c>
      <c r="AJ128" s="1794">
        <v>0</v>
      </c>
      <c r="AK128" s="1794">
        <v>0</v>
      </c>
      <c r="AL128" s="1794">
        <v>0</v>
      </c>
      <c r="AM128" s="1794">
        <v>0</v>
      </c>
      <c r="AN128" s="1797"/>
      <c r="AO128" s="1797"/>
      <c r="AP128" s="1808">
        <f t="shared" si="49"/>
        <v>1.3670022490082312</v>
      </c>
      <c r="AQ128" s="1810">
        <f>IF(AP128&gt;[11]核心假设及结论!$B$59,[11]核心假设及结论!$D$59,IF(AP128&lt;=[11]核心假设及结论!$B$58,[11]核心假设及结论!$D$57,[11]核心假设及结论!$D$58))</f>
        <v>1.0069999999999999</v>
      </c>
      <c r="AR128" s="1809">
        <f t="shared" si="50"/>
        <v>517.08000000000004</v>
      </c>
      <c r="AS128" s="1809">
        <f>AH128*(AS$2&lt;=YEAR($K128))+AR128*$AQ128*(AS$2=YEAR($K128)+1)+INDEX([11]核心假设及结论!$E$17:$E$21,MATCH($D128,[11]核心假设及结论!$B$17:$B$21,0))*(AS$2&gt;YEAR($K128)+1)*AR128</f>
        <v>532.6</v>
      </c>
      <c r="AT128" s="1811">
        <f>AI128*(AT$2&lt;=YEAR($K128))+AS128*$AQ128*(AT$2=YEAR($K128)+1)+INDEX([11]核心假设及结论!$E$17:$E$21,MATCH($D128,[11]核心假设及结论!$B$17:$B$21,0))*(AT$2&gt;YEAR($K128)+1)*AS128</f>
        <v>536.32819999999992</v>
      </c>
      <c r="AU128" s="1809">
        <f>AJ128*(AU$2&lt;=YEAR($K128))+AT128*$AQ128*(AU$2=YEAR($K128)+1)+INDEX([11]核心假设及结论!$E$17:$E$21,MATCH($D128,[11]核心假设及结论!$B$17:$B$21,0))*(AU$2&gt;YEAR($K128)+1)*AT128</f>
        <v>550.84901302782384</v>
      </c>
      <c r="AV128" s="1809">
        <f>AK128*(AV$2&lt;=YEAR($K128))+AU128*$AQ128*(AV$2=YEAR($K128)+1)+INDEX([11]核心假设及结论!$E$17:$E$21,MATCH($D128,[11]核心假设及结论!$B$17:$B$21,0))*(AV$2&gt;YEAR($K128)+1)*AU128</f>
        <v>565.76296967738722</v>
      </c>
      <c r="AW128" s="1809">
        <f>AL128*(AW$2&lt;=YEAR($K128))+AV128*$AQ128*(AW$2=YEAR($K128)+1)+INDEX([11]核心假设及结论!$E$17:$E$21,MATCH($D128,[11]核心假设及结论!$B$17:$B$21,0))*(AW$2&gt;YEAR($K128)+1)*AV128</f>
        <v>581.08071411214144</v>
      </c>
      <c r="AX128" s="1809">
        <f>AM128*(AX$2&lt;=YEAR($K128))+AW128*$AQ128*(AX$2=YEAR($K128)+1)+INDEX([11]核心假设及结论!$E$17:$E$21,MATCH($D128,[11]核心假设及结论!$B$17:$B$21,0))*(AX$2&gt;YEAR($K128)+1)*AW128</f>
        <v>596.81317868084545</v>
      </c>
      <c r="AZ128" s="1746">
        <f t="shared" si="40"/>
        <v>46150</v>
      </c>
      <c r="BA128" s="1817">
        <f t="shared" si="41"/>
        <v>45658</v>
      </c>
      <c r="BB128" s="1817">
        <f t="shared" si="42"/>
        <v>45785</v>
      </c>
      <c r="BC128" s="1817">
        <f t="shared" si="43"/>
        <v>46022</v>
      </c>
      <c r="BD128" s="1818">
        <f t="shared" si="44"/>
        <v>128</v>
      </c>
      <c r="BE128" s="1818">
        <f t="shared" si="45"/>
        <v>237</v>
      </c>
      <c r="BG128" s="1777">
        <f t="shared" si="58"/>
        <v>170.16639899178085</v>
      </c>
      <c r="BH128" s="1777">
        <f t="shared" si="56"/>
        <v>172.70470663430135</v>
      </c>
      <c r="BI128" s="1777">
        <f t="shared" si="56"/>
        <v>176.17028945741211</v>
      </c>
      <c r="BJ128" s="1777">
        <f t="shared" si="56"/>
        <v>180.94001037506797</v>
      </c>
      <c r="BK128" s="1777">
        <f t="shared" si="55"/>
        <v>185.83886905881585</v>
      </c>
      <c r="BL128" s="1777">
        <f t="shared" si="55"/>
        <v>190.87036184794255</v>
      </c>
      <c r="BM128" s="1777">
        <f t="shared" si="55"/>
        <v>67.559905868511365</v>
      </c>
      <c r="BO128" s="1739">
        <f t="shared" si="46"/>
        <v>2026</v>
      </c>
      <c r="BP128" s="1742">
        <f>_xlfn.IFNA(INDEX($AR128:$AX128,MATCH(BO128,$AR$2:$AX$2,0))*12/365*[11]核心假设及结论!$C$70*$H128,0)</f>
        <v>141306.8054794521</v>
      </c>
      <c r="BR128" s="1739">
        <f t="shared" si="51"/>
        <v>2028</v>
      </c>
      <c r="BS128" s="1742">
        <f>_xlfn.IFNA(INDEX($AR128:$AX128,MATCH(BR128,$AR$2:$AX$2,0))*12/365*[11]核心假设及结论!$C$70*$H128,0)</f>
        <v>146148.54362086154</v>
      </c>
      <c r="BU128" s="1739">
        <f t="shared" si="52"/>
        <v>2030</v>
      </c>
      <c r="BV128" s="1742">
        <f>_xlfn.IFNA(INDEX($AR128:$AX128,MATCH(BU128,$AR$2:$AX$2,0))*12/365*[11]核心假设及结论!$C$70*$H128,0)</f>
        <v>154169.46946471173</v>
      </c>
      <c r="BX128" s="1739">
        <f t="shared" si="53"/>
        <v>2032</v>
      </c>
      <c r="BY128" s="1742">
        <f>_xlfn.IFNA(INDEX($AR128:$AX128,MATCH(BX128,$AR$2:$AX$2,0))*12/365*[11]核心假设及结论!$C$70*$H128,0)</f>
        <v>0</v>
      </c>
      <c r="CA128" s="1739">
        <f t="shared" si="54"/>
        <v>2034</v>
      </c>
      <c r="CB128" s="1742">
        <f>_xlfn.IFNA(INDEX($AR128:$AX128,MATCH(CA128,$AR$2:$AX$2,0))*12/365*[11]核心假设及结论!$C$70*$H128,0)</f>
        <v>0</v>
      </c>
    </row>
    <row r="129" spans="1:80" ht="30" customHeight="1">
      <c r="A129" s="1756" t="s">
        <v>1666</v>
      </c>
      <c r="B129" s="1757" t="s">
        <v>1944</v>
      </c>
      <c r="C129" s="1756" t="s">
        <v>1945</v>
      </c>
      <c r="D129" s="1756" t="s">
        <v>1698</v>
      </c>
      <c r="E129" s="1758" t="s">
        <v>1698</v>
      </c>
      <c r="F129" s="1759"/>
      <c r="G129" s="1760" t="s">
        <v>1661</v>
      </c>
      <c r="H129" s="1761">
        <v>267</v>
      </c>
      <c r="I129" s="1761" t="s">
        <v>1913</v>
      </c>
      <c r="J129" s="1773">
        <v>44186</v>
      </c>
      <c r="K129" s="1773">
        <v>46011</v>
      </c>
      <c r="L129" s="1764">
        <f t="shared" si="36"/>
        <v>60</v>
      </c>
      <c r="M129" s="1774">
        <f t="shared" si="47"/>
        <v>160277.43000000002</v>
      </c>
      <c r="N129" s="1775">
        <f t="shared" si="48"/>
        <v>486.67</v>
      </c>
      <c r="O129" s="1760">
        <v>129940.89</v>
      </c>
      <c r="P129" s="1776">
        <v>0.11</v>
      </c>
      <c r="Q129" s="1783">
        <f t="shared" si="37"/>
        <v>95</v>
      </c>
      <c r="R129" s="1784">
        <v>25365</v>
      </c>
      <c r="S129" s="1777">
        <f t="shared" si="38"/>
        <v>18.62</v>
      </c>
      <c r="T129" s="1784">
        <v>4971.54</v>
      </c>
      <c r="U129" s="1777"/>
      <c r="V129" s="1785">
        <v>982952.41666666698</v>
      </c>
      <c r="W129" s="1785">
        <f t="shared" si="39"/>
        <v>3681.4697253433219</v>
      </c>
      <c r="X129" s="1786">
        <f>(N129+Q129)*H129/V129</f>
        <v>0.1579993979023569</v>
      </c>
      <c r="Y129" s="1789">
        <f>VLOOKUP(E129,[11]核心假设及结论!$C$25:$E$45,3,0)</f>
        <v>0.2</v>
      </c>
      <c r="Z129" s="1790">
        <f t="shared" si="60"/>
        <v>146182.5</v>
      </c>
      <c r="AA129" s="1790">
        <f t="shared" si="60"/>
        <v>0</v>
      </c>
      <c r="AB129" s="1790">
        <f t="shared" si="60"/>
        <v>0</v>
      </c>
      <c r="AC129" s="1790">
        <f t="shared" si="60"/>
        <v>0</v>
      </c>
      <c r="AD129" s="1790">
        <f t="shared" si="60"/>
        <v>0</v>
      </c>
      <c r="AE129" s="1790">
        <f t="shared" si="60"/>
        <v>0</v>
      </c>
      <c r="AF129" s="1790">
        <f t="shared" si="60"/>
        <v>0</v>
      </c>
      <c r="AG129" s="1794">
        <v>547.5</v>
      </c>
      <c r="AH129" s="1794">
        <v>0</v>
      </c>
      <c r="AI129" s="1794">
        <v>0</v>
      </c>
      <c r="AJ129" s="1794">
        <v>0</v>
      </c>
      <c r="AK129" s="1794">
        <v>0</v>
      </c>
      <c r="AL129" s="1794">
        <v>0</v>
      </c>
      <c r="AM129" s="1794">
        <v>0</v>
      </c>
      <c r="AN129" s="1797"/>
      <c r="AO129" s="1797"/>
      <c r="AP129" s="1808">
        <f t="shared" si="49"/>
        <v>0.78999698951178443</v>
      </c>
      <c r="AQ129" s="1812">
        <f>IF(AP129&gt;[11]核心假设及结论!$B$62,[11]核心假设及结论!$D$62,IF(AP129&lt;=[11]核心假设及结论!$B$61,[11]核心假设及结论!$D$60,[11]核心假设及结论!$D$61))</f>
        <v>1.0811176582269599</v>
      </c>
      <c r="AR129" s="1809">
        <f t="shared" si="50"/>
        <v>547.5</v>
      </c>
      <c r="AS129" s="1811">
        <f>AH129*(AS$2&lt;=YEAR($K129))+AR129*$AQ129*(AS$2=YEAR($K129)+1)+INDEX([11]核心假设及结论!$E$17:$E$21,MATCH($D129,[11]核心假设及结论!$B$17:$B$21,0))*(AS$2&gt;YEAR($K129)+1)*AR129</f>
        <v>591.91191787926061</v>
      </c>
      <c r="AT129" s="1809">
        <f>AI129*(AT$2&lt;=YEAR($K129))+AS129*$AQ129*(AT$2=YEAR($K129)+1)+INDEX([11]核心假设及结论!$E$17:$E$21,MATCH($D129,[11]核心假设及结论!$B$17:$B$21,0))*(AT$2&gt;YEAR($K129)+1)*AS129</f>
        <v>610.03472500882356</v>
      </c>
      <c r="AU129" s="1809">
        <f>AJ129*(AU$2&lt;=YEAR($K129))+AT129*$AQ129*(AU$2=YEAR($K129)+1)+INDEX([11]核心假设及结论!$E$17:$E$21,MATCH($D129,[11]核心假设及结论!$B$17:$B$21,0))*(AU$2&gt;YEAR($K129)+1)*AT129</f>
        <v>628.71240547060813</v>
      </c>
      <c r="AV129" s="1809">
        <f>AK129*(AV$2&lt;=YEAR($K129))+AU129*$AQ129*(AV$2=YEAR($K129)+1)+INDEX([11]核心假设及结论!$E$17:$E$21,MATCH($D129,[11]核心假设及结论!$B$17:$B$21,0))*(AV$2&gt;YEAR($K129)+1)*AU129</f>
        <v>647.96194804635263</v>
      </c>
      <c r="AW129" s="1809">
        <f>AL129*(AW$2&lt;=YEAR($K129))+AV129*$AQ129*(AW$2=YEAR($K129)+1)+INDEX([11]核心假设及结论!$E$17:$E$21,MATCH($D129,[11]核心假设及结论!$B$17:$B$21,0))*(AW$2&gt;YEAR($K129)+1)*AV129</f>
        <v>667.80086167021261</v>
      </c>
      <c r="AX129" s="1809">
        <f>AM129*(AX$2&lt;=YEAR($K129))+AW129*$AQ129*(AX$2=YEAR($K129)+1)+INDEX([11]核心假设及结论!$E$17:$E$21,MATCH($D129,[11]核心假设及结论!$B$17:$B$21,0))*(AX$2&gt;YEAR($K129)+1)*AW129</f>
        <v>688.2471913544781</v>
      </c>
      <c r="AZ129" s="1746">
        <f t="shared" si="40"/>
        <v>46011</v>
      </c>
      <c r="BA129" s="1817">
        <f t="shared" si="41"/>
        <v>45658</v>
      </c>
      <c r="BB129" s="1817">
        <f t="shared" si="42"/>
        <v>46011</v>
      </c>
      <c r="BC129" s="1817">
        <f t="shared" si="43"/>
        <v>46022</v>
      </c>
      <c r="BD129" s="1818">
        <f t="shared" si="44"/>
        <v>354</v>
      </c>
      <c r="BE129" s="1818">
        <f t="shared" si="45"/>
        <v>11</v>
      </c>
      <c r="BG129" s="1777">
        <f t="shared" si="58"/>
        <v>175.84783661198264</v>
      </c>
      <c r="BH129" s="1777">
        <f t="shared" si="56"/>
        <v>189.82357032809713</v>
      </c>
      <c r="BI129" s="1777">
        <f t="shared" si="56"/>
        <v>195.63547552849698</v>
      </c>
      <c r="BJ129" s="1777">
        <f t="shared" si="56"/>
        <v>201.6253261863553</v>
      </c>
      <c r="BK129" s="1777">
        <f t="shared" si="55"/>
        <v>207.79857052987586</v>
      </c>
      <c r="BL129" s="1777">
        <f t="shared" si="55"/>
        <v>214.1608235978737</v>
      </c>
      <c r="BM129" s="1777">
        <f t="shared" si="55"/>
        <v>213.86876065460569</v>
      </c>
      <c r="BO129" s="1826">
        <f t="shared" si="46"/>
        <v>2025</v>
      </c>
      <c r="BP129" s="1742">
        <f>_xlfn.IFNA(INDEX($AR129:$AX129,MATCH(BO129,$AR$2:$AX$2,0))*12/365*[11]核心假设及结论!$C$70*$H129,0)</f>
        <v>144180</v>
      </c>
      <c r="BR129" s="1739">
        <f t="shared" si="51"/>
        <v>2030</v>
      </c>
      <c r="BS129" s="1742">
        <f>_xlfn.IFNA(INDEX($AR129:$AX129,MATCH(BR129,$AR$2:$AX$2,0))*12/365*[11]核心假设及结论!$C$70*$H129,0)</f>
        <v>175860.32554449543</v>
      </c>
      <c r="BU129" s="1739">
        <f t="shared" si="52"/>
        <v>2035</v>
      </c>
      <c r="BV129" s="1742">
        <f>_xlfn.IFNA(INDEX($AR129:$AX129,MATCH(BU129,$AR$2:$AX$2,0))*12/365*[11]核心假设及结论!$C$70*$H129,0)</f>
        <v>0</v>
      </c>
      <c r="BX129" s="1739">
        <f t="shared" si="53"/>
        <v>2040</v>
      </c>
      <c r="BY129" s="1742">
        <f>_xlfn.IFNA(INDEX($AR129:$AX129,MATCH(BX129,$AR$2:$AX$2,0))*12/365*[11]核心假设及结论!$C$70*$H129,0)</f>
        <v>0</v>
      </c>
      <c r="CA129" s="1739">
        <f t="shared" si="54"/>
        <v>2045</v>
      </c>
      <c r="CB129" s="1742">
        <f>_xlfn.IFNA(INDEX($AR129:$AX129,MATCH(CA129,$AR$2:$AX$2,0))*12/365*[11]核心假设及结论!$C$70*$H129,0)</f>
        <v>0</v>
      </c>
    </row>
    <row r="130" spans="1:80" ht="30" customHeight="1">
      <c r="A130" s="1756" t="s">
        <v>1687</v>
      </c>
      <c r="B130" s="1757" t="s">
        <v>1946</v>
      </c>
      <c r="C130" s="1756" t="s">
        <v>1947</v>
      </c>
      <c r="D130" s="1756" t="s">
        <v>1676</v>
      </c>
      <c r="E130" s="1758" t="s">
        <v>1677</v>
      </c>
      <c r="F130" s="1759"/>
      <c r="G130" s="1760" t="s">
        <v>1661</v>
      </c>
      <c r="H130" s="1761">
        <v>267</v>
      </c>
      <c r="I130" s="1761" t="s">
        <v>1913</v>
      </c>
      <c r="J130" s="1773">
        <v>45505</v>
      </c>
      <c r="K130" s="1773">
        <v>46965</v>
      </c>
      <c r="L130" s="1764">
        <f t="shared" si="36"/>
        <v>48</v>
      </c>
      <c r="M130" s="1774">
        <f t="shared" si="47"/>
        <v>151989.75</v>
      </c>
      <c r="N130" s="1775">
        <f t="shared" si="48"/>
        <v>456.25</v>
      </c>
      <c r="O130" s="1760">
        <v>121818.75</v>
      </c>
      <c r="P130" s="1776">
        <v>0.09</v>
      </c>
      <c r="Q130" s="1783">
        <f t="shared" si="37"/>
        <v>95</v>
      </c>
      <c r="R130" s="1784">
        <v>25365</v>
      </c>
      <c r="S130" s="1777">
        <f t="shared" si="38"/>
        <v>18</v>
      </c>
      <c r="T130" s="1784">
        <v>4806</v>
      </c>
      <c r="U130" s="1777"/>
      <c r="V130" s="1785">
        <v>469884.212727273</v>
      </c>
      <c r="W130" s="1785">
        <f t="shared" si="39"/>
        <v>1759.8659652706854</v>
      </c>
      <c r="X130" s="1786">
        <f>(N130+Q130)*H130/V130</f>
        <v>0.31323408195760644</v>
      </c>
      <c r="Y130" s="1789">
        <f>VLOOKUP(E130,[11]核心假设及结论!$C$25:$E$45,3,0)</f>
        <v>0.25</v>
      </c>
      <c r="Z130" s="1790">
        <f t="shared" si="60"/>
        <v>121818.75</v>
      </c>
      <c r="AA130" s="1790">
        <f t="shared" si="60"/>
        <v>125473.98</v>
      </c>
      <c r="AB130" s="1790">
        <f t="shared" si="60"/>
        <v>129238.68000000001</v>
      </c>
      <c r="AC130" s="1790">
        <f t="shared" si="60"/>
        <v>133115.51999999999</v>
      </c>
      <c r="AD130" s="1790">
        <f t="shared" si="60"/>
        <v>0</v>
      </c>
      <c r="AE130" s="1790">
        <f t="shared" si="60"/>
        <v>0</v>
      </c>
      <c r="AF130" s="1790">
        <f t="shared" si="60"/>
        <v>0</v>
      </c>
      <c r="AG130" s="1794">
        <v>456.25</v>
      </c>
      <c r="AH130" s="1794">
        <v>469.94</v>
      </c>
      <c r="AI130" s="1794">
        <v>484.04</v>
      </c>
      <c r="AJ130" s="1794">
        <v>498.56</v>
      </c>
      <c r="AK130" s="1794">
        <v>0</v>
      </c>
      <c r="AL130" s="1794">
        <v>0</v>
      </c>
      <c r="AM130" s="1794">
        <v>0</v>
      </c>
      <c r="AN130" s="1797"/>
      <c r="AO130" s="1797"/>
      <c r="AP130" s="1808">
        <f t="shared" si="49"/>
        <v>1.2529363278304257</v>
      </c>
      <c r="AQ130" s="1808">
        <f>IF(AP130&gt;[11]核心假设及结论!$B$65,[11]核心假设及结论!$D$65,IF(AP130&lt;=[11]核心假设及结论!$B$64,[11]核心假设及结论!$D$63,[11]核心假设及结论!$D$64))</f>
        <v>0.754</v>
      </c>
      <c r="AR130" s="1809">
        <f t="shared" si="50"/>
        <v>456.25</v>
      </c>
      <c r="AS130" s="1809">
        <f>AH130*(AS$2&lt;=YEAR($K130))+AR130*$AQ130*(AS$2=YEAR($K130)+1)+INDEX([11]核心假设及结论!$E$17:$E$21,MATCH($D130,[11]核心假设及结论!$B$17:$B$21,0))*(AS$2&gt;YEAR($K130)+1)*AR130</f>
        <v>469.94</v>
      </c>
      <c r="AT130" s="1809">
        <f>AI130*(AT$2&lt;=YEAR($K130))+AS130*$AQ130*(AT$2=YEAR($K130)+1)+INDEX([11]核心假设及结论!$E$17:$E$21,MATCH($D130,[11]核心假设及结论!$B$17:$B$21,0))*(AT$2&gt;YEAR($K130)+1)*AS130</f>
        <v>484.04</v>
      </c>
      <c r="AU130" s="1809">
        <f>AJ130*(AU$2&lt;=YEAR($K130))+AT130*$AQ130*(AU$2=YEAR($K130)+1)+INDEX([11]核心假设及结论!$E$17:$E$21,MATCH($D130,[11]核心假设及结论!$B$17:$B$21,0))*(AU$2&gt;YEAR($K130)+1)*AT130</f>
        <v>498.56</v>
      </c>
      <c r="AV130" s="1811">
        <f>AK130*(AV$2&lt;=YEAR($K130))+AU130*$AQ130*(AV$2=YEAR($K130)+1)+INDEX([11]核心假设及结论!$E$17:$E$21,MATCH($D130,[11]核心假设及结论!$B$17:$B$21,0))*(AV$2&gt;YEAR($K130)+1)*AU130</f>
        <v>375.91424000000001</v>
      </c>
      <c r="AW130" s="1809">
        <f>AL130*(AW$2&lt;=YEAR($K130))+AV130*$AQ130*(AW$2=YEAR($K130)+1)+INDEX([11]核心假设及结论!$E$17:$E$21,MATCH($D130,[11]核心假设及结论!$B$17:$B$21,0))*(AW$2&gt;YEAR($K130)+1)*AV130</f>
        <v>388.91150773955621</v>
      </c>
      <c r="AX130" s="1809">
        <f>AM130*(AX$2&lt;=YEAR($K130))+AW130*$AQ130*(AX$2=YEAR($K130)+1)+INDEX([11]核心假设及结论!$E$17:$E$21,MATCH($D130,[11]核心假设及结论!$B$17:$B$21,0))*(AX$2&gt;YEAR($K130)+1)*AW130</f>
        <v>402.35815714843602</v>
      </c>
      <c r="AZ130" s="1746">
        <f t="shared" si="40"/>
        <v>46965</v>
      </c>
      <c r="BA130" s="1817">
        <f t="shared" si="41"/>
        <v>45658</v>
      </c>
      <c r="BB130" s="1817">
        <f t="shared" si="42"/>
        <v>45869</v>
      </c>
      <c r="BC130" s="1817">
        <f t="shared" si="43"/>
        <v>46022</v>
      </c>
      <c r="BD130" s="1818">
        <f t="shared" si="44"/>
        <v>212</v>
      </c>
      <c r="BE130" s="1818">
        <f t="shared" si="45"/>
        <v>153</v>
      </c>
      <c r="BG130" s="1777">
        <f t="shared" si="58"/>
        <v>148.02113076164383</v>
      </c>
      <c r="BH130" s="1777">
        <f t="shared" si="56"/>
        <v>152.46247167123289</v>
      </c>
      <c r="BI130" s="1777">
        <f t="shared" si="56"/>
        <v>157.03651962739727</v>
      </c>
      <c r="BJ130" s="1777">
        <f t="shared" si="56"/>
        <v>143.2667272051726</v>
      </c>
      <c r="BK130" s="1777">
        <f t="shared" si="55"/>
        <v>122.18851608864199</v>
      </c>
      <c r="BL130" s="1777">
        <f t="shared" si="55"/>
        <v>126.41319472359652</v>
      </c>
      <c r="BM130" s="1777">
        <f t="shared" si="55"/>
        <v>74.876979048427643</v>
      </c>
      <c r="BO130" s="1739">
        <f t="shared" si="46"/>
        <v>2028</v>
      </c>
      <c r="BP130" s="1742">
        <f>_xlfn.IFNA(INDEX($AR130:$AX130,MATCH(BO130,$AR$2:$AX$2,0))*12/365*[11]核心假设及结论!$C$70*$H130,0)</f>
        <v>131292.01972602739</v>
      </c>
      <c r="BR130" s="1739">
        <f t="shared" si="51"/>
        <v>2032</v>
      </c>
      <c r="BS130" s="1742">
        <f>_xlfn.IFNA(INDEX($AR130:$AX130,MATCH(BR130,$AR$2:$AX$2,0))*12/365*[11]核心假设及结论!$C$70*$H130,0)</f>
        <v>0</v>
      </c>
      <c r="BU130" s="1739">
        <f t="shared" si="52"/>
        <v>2036</v>
      </c>
      <c r="BV130" s="1742">
        <f>_xlfn.IFNA(INDEX($AR130:$AX130,MATCH(BU130,$AR$2:$AX$2,0))*12/365*[11]核心假设及结论!$C$70*$H130,0)</f>
        <v>0</v>
      </c>
      <c r="BX130" s="1739">
        <f t="shared" si="53"/>
        <v>2040</v>
      </c>
      <c r="BY130" s="1742">
        <f>_xlfn.IFNA(INDEX($AR130:$AX130,MATCH(BX130,$AR$2:$AX$2,0))*12/365*[11]核心假设及结论!$C$70*$H130,0)</f>
        <v>0</v>
      </c>
      <c r="CA130" s="1739">
        <f t="shared" si="54"/>
        <v>2044</v>
      </c>
      <c r="CB130" s="1742">
        <f>_xlfn.IFNA(INDEX($AR130:$AX130,MATCH(CA130,$AR$2:$AX$2,0))*12/365*[11]核心假设及结论!$C$70*$H130,0)</f>
        <v>0</v>
      </c>
    </row>
    <row r="131" spans="1:80" ht="30" customHeight="1">
      <c r="A131" s="1756" t="s">
        <v>1662</v>
      </c>
      <c r="B131" s="1757" t="s">
        <v>1948</v>
      </c>
      <c r="C131" s="1756" t="s">
        <v>1949</v>
      </c>
      <c r="D131" s="1756" t="s">
        <v>1698</v>
      </c>
      <c r="E131" s="1758" t="s">
        <v>1698</v>
      </c>
      <c r="F131" s="1759"/>
      <c r="G131" s="1760" t="s">
        <v>1661</v>
      </c>
      <c r="H131" s="1761">
        <v>266</v>
      </c>
      <c r="I131" s="1761" t="s">
        <v>1913</v>
      </c>
      <c r="J131" s="1773">
        <v>44458</v>
      </c>
      <c r="K131" s="1773">
        <v>45918</v>
      </c>
      <c r="L131" s="1764">
        <f t="shared" si="36"/>
        <v>48</v>
      </c>
      <c r="M131" s="1774">
        <f t="shared" si="47"/>
        <v>179792.1398</v>
      </c>
      <c r="N131" s="1775">
        <f t="shared" si="48"/>
        <v>564.02</v>
      </c>
      <c r="O131" s="1760">
        <v>150029.32</v>
      </c>
      <c r="P131" s="1776">
        <v>0.1</v>
      </c>
      <c r="Q131" s="1783">
        <f t="shared" si="37"/>
        <v>95</v>
      </c>
      <c r="R131" s="1784">
        <v>25270</v>
      </c>
      <c r="S131" s="1777">
        <f t="shared" si="38"/>
        <v>16.8903</v>
      </c>
      <c r="T131" s="1777">
        <v>4492.8198000000002</v>
      </c>
      <c r="U131" s="1777"/>
      <c r="V131" s="1785">
        <v>1186054.8149999999</v>
      </c>
      <c r="W131" s="1785">
        <f t="shared" si="39"/>
        <v>4458.8526879699248</v>
      </c>
      <c r="X131" s="1786">
        <f>(N131+Q131)*H131/V131</f>
        <v>0.1478003527180993</v>
      </c>
      <c r="Y131" s="1789">
        <f>VLOOKUP(E131,[11]核心假设及结论!$C$25:$E$45,3,0)</f>
        <v>0.2</v>
      </c>
      <c r="Z131" s="1790">
        <f t="shared" si="60"/>
        <v>159033.42000000001</v>
      </c>
      <c r="AA131" s="1790">
        <f t="shared" si="60"/>
        <v>0</v>
      </c>
      <c r="AB131" s="1790">
        <f t="shared" si="60"/>
        <v>0</v>
      </c>
      <c r="AC131" s="1790">
        <f t="shared" si="60"/>
        <v>0</v>
      </c>
      <c r="AD131" s="1790">
        <f t="shared" si="60"/>
        <v>0</v>
      </c>
      <c r="AE131" s="1790">
        <f t="shared" si="60"/>
        <v>0</v>
      </c>
      <c r="AF131" s="1790">
        <f t="shared" si="60"/>
        <v>0</v>
      </c>
      <c r="AG131" s="1794">
        <v>597.87</v>
      </c>
      <c r="AH131" s="1794">
        <v>0</v>
      </c>
      <c r="AI131" s="1794">
        <v>0</v>
      </c>
      <c r="AJ131" s="1794">
        <v>0</v>
      </c>
      <c r="AK131" s="1794">
        <v>0</v>
      </c>
      <c r="AL131" s="1794">
        <v>0</v>
      </c>
      <c r="AM131" s="1794">
        <v>0</v>
      </c>
      <c r="AN131" s="1795"/>
      <c r="AO131" s="1795"/>
      <c r="AP131" s="1808">
        <f t="shared" si="49"/>
        <v>0.73900176359049641</v>
      </c>
      <c r="AQ131" s="1812">
        <f>IF(AP131&gt;[11]核心假设及结论!$B$62,[11]核心假设及结论!$D$62,IF(AP131&lt;=[11]核心假设及结论!$B$61,[11]核心假设及结论!$D$60,[11]核心假设及结论!$D$61))</f>
        <v>1.0811176582269599</v>
      </c>
      <c r="AR131" s="1809">
        <f t="shared" si="50"/>
        <v>597.87</v>
      </c>
      <c r="AS131" s="1811">
        <f>AH131*(AS$2&lt;=YEAR($K131))+AR131*$AQ131*(AS$2=YEAR($K131)+1)+INDEX([11]核心假设及结论!$E$17:$E$21,MATCH($D131,[11]核心假设及结论!$B$17:$B$21,0))*(AS$2&gt;YEAR($K131)+1)*AR131</f>
        <v>646.3678143241525</v>
      </c>
      <c r="AT131" s="1809">
        <f>AI131*(AT$2&lt;=YEAR($K131))+AS131*$AQ131*(AT$2=YEAR($K131)+1)+INDEX([11]核心假设及结论!$E$17:$E$21,MATCH($D131,[11]核心假设及结论!$B$17:$B$21,0))*(AT$2&gt;YEAR($K131)+1)*AS131</f>
        <v>666.15791970963528</v>
      </c>
      <c r="AU131" s="1809">
        <f>AJ131*(AU$2&lt;=YEAR($K131))+AT131*$AQ131*(AU$2=YEAR($K131)+1)+INDEX([11]核心假设及结论!$E$17:$E$21,MATCH($D131,[11]核心假设及结论!$B$17:$B$21,0))*(AU$2&gt;YEAR($K131)+1)*AT131</f>
        <v>686.55394677390404</v>
      </c>
      <c r="AV131" s="1809">
        <f>AK131*(AV$2&lt;=YEAR($K131))+AU131*$AQ131*(AV$2=YEAR($K131)+1)+INDEX([11]核心假设及结论!$E$17:$E$21,MATCH($D131,[11]核心假设及结论!$B$17:$B$21,0))*(AV$2&gt;YEAR($K131)+1)*AU131</f>
        <v>707.57444726661709</v>
      </c>
      <c r="AW131" s="1809">
        <f>AL131*(AW$2&lt;=YEAR($K131))+AV131*$AQ131*(AW$2=YEAR($K131)+1)+INDEX([11]核心假设及结论!$E$17:$E$21,MATCH($D131,[11]核心假设及结论!$B$17:$B$21,0))*(AW$2&gt;YEAR($K131)+1)*AV131</f>
        <v>729.23854094387218</v>
      </c>
      <c r="AX131" s="1809">
        <f>AM131*(AX$2&lt;=YEAR($K131))+AW131*$AQ131*(AX$2=YEAR($K131)+1)+INDEX([11]核心假设及结论!$E$17:$E$21,MATCH($D131,[11]核心假设及结论!$B$17:$B$21,0))*(AX$2&gt;YEAR($K131)+1)*AW131</f>
        <v>751.56593295909011</v>
      </c>
      <c r="AZ131" s="1746">
        <f t="shared" si="40"/>
        <v>45918</v>
      </c>
      <c r="BA131" s="1817">
        <f t="shared" si="41"/>
        <v>45658</v>
      </c>
      <c r="BB131" s="1817">
        <f t="shared" si="42"/>
        <v>45918</v>
      </c>
      <c r="BC131" s="1817">
        <f t="shared" si="43"/>
        <v>46022</v>
      </c>
      <c r="BD131" s="1818">
        <f t="shared" si="44"/>
        <v>261</v>
      </c>
      <c r="BE131" s="1818">
        <f t="shared" si="45"/>
        <v>104</v>
      </c>
      <c r="BG131" s="1777">
        <f t="shared" si="58"/>
        <v>195.25098685631789</v>
      </c>
      <c r="BH131" s="1777">
        <f t="shared" si="56"/>
        <v>208.12051912805245</v>
      </c>
      <c r="BI131" s="1777">
        <f t="shared" si="56"/>
        <v>214.49262942678715</v>
      </c>
      <c r="BJ131" s="1777">
        <f t="shared" si="56"/>
        <v>221.05983720956306</v>
      </c>
      <c r="BK131" s="1777">
        <f t="shared" si="55"/>
        <v>227.82811585513466</v>
      </c>
      <c r="BL131" s="1777">
        <f t="shared" si="55"/>
        <v>234.8036216316149</v>
      </c>
      <c r="BM131" s="1777">
        <f t="shared" si="55"/>
        <v>171.5448212436749</v>
      </c>
      <c r="BO131" s="1739">
        <f t="shared" si="46"/>
        <v>2025</v>
      </c>
      <c r="BP131" s="1742">
        <f>_xlfn.IFNA(INDEX($AR131:$AX131,MATCH(BO131,$AR$2:$AX$2,0))*12/365*[11]核心假设及结论!$C$70*$H131,0)</f>
        <v>156854.88</v>
      </c>
      <c r="BR131" s="1739">
        <f t="shared" si="51"/>
        <v>2029</v>
      </c>
      <c r="BS131" s="1742">
        <f>_xlfn.IFNA(INDEX($AR131:$AX131,MATCH(BR131,$AR$2:$AX$2,0))*12/365*[11]核心假设及结论!$C$70*$H131,0)</f>
        <v>185636.51800068837</v>
      </c>
      <c r="BU131" s="1739">
        <f t="shared" si="52"/>
        <v>2033</v>
      </c>
      <c r="BV131" s="1742">
        <f>_xlfn.IFNA(INDEX($AR131:$AX131,MATCH(BU131,$AR$2:$AX$2,0))*12/365*[11]核心假设及结论!$C$70*$H131,0)</f>
        <v>0</v>
      </c>
      <c r="BX131" s="1739">
        <f t="shared" si="53"/>
        <v>2037</v>
      </c>
      <c r="BY131" s="1742">
        <f>_xlfn.IFNA(INDEX($AR131:$AX131,MATCH(BX131,$AR$2:$AX$2,0))*12/365*[11]核心假设及结论!$C$70*$H131,0)</f>
        <v>0</v>
      </c>
      <c r="CA131" s="1739">
        <f t="shared" si="54"/>
        <v>2041</v>
      </c>
      <c r="CB131" s="1742">
        <f>_xlfn.IFNA(INDEX($AR131:$AX131,MATCH(CA131,$AR$2:$AX$2,0))*12/365*[11]核心假设及结论!$C$70*$H131,0)</f>
        <v>0</v>
      </c>
    </row>
    <row r="132" spans="1:80" ht="30" customHeight="1">
      <c r="A132" s="1756" t="s">
        <v>1662</v>
      </c>
      <c r="B132" s="1757" t="s">
        <v>1950</v>
      </c>
      <c r="C132" s="1756" t="s">
        <v>1951</v>
      </c>
      <c r="D132" s="1756" t="s">
        <v>1685</v>
      </c>
      <c r="E132" s="1758" t="s">
        <v>1718</v>
      </c>
      <c r="F132" s="1759"/>
      <c r="G132" s="1760" t="s">
        <v>1661</v>
      </c>
      <c r="H132" s="1761">
        <v>265</v>
      </c>
      <c r="I132" s="1761" t="s">
        <v>1913</v>
      </c>
      <c r="J132" s="1773">
        <v>45056</v>
      </c>
      <c r="K132" s="1773">
        <v>46151</v>
      </c>
      <c r="L132" s="1764">
        <f t="shared" ref="L132:L195" si="62">DATEDIF(J132,K132,"M")+1</f>
        <v>36</v>
      </c>
      <c r="M132" s="1774">
        <f t="shared" si="47"/>
        <v>229198.5</v>
      </c>
      <c r="N132" s="1775">
        <f t="shared" si="48"/>
        <v>751.9</v>
      </c>
      <c r="O132" s="1760">
        <v>199253.5</v>
      </c>
      <c r="P132" s="1776">
        <v>0.18</v>
      </c>
      <c r="Q132" s="1783">
        <f t="shared" ref="Q132:Q195" si="63">R132/H132</f>
        <v>95</v>
      </c>
      <c r="R132" s="1784">
        <v>25175</v>
      </c>
      <c r="S132" s="1777">
        <f t="shared" ref="S132:S195" si="64">T132/H132</f>
        <v>18</v>
      </c>
      <c r="T132" s="1777">
        <v>4770</v>
      </c>
      <c r="U132" s="1777"/>
      <c r="V132" s="1785">
        <v>857839.98750000005</v>
      </c>
      <c r="W132" s="1785">
        <f t="shared" ref="W132:W195" si="65">V132/H132</f>
        <v>3237.1320283018867</v>
      </c>
      <c r="X132" s="1786">
        <f>(N132+Q132+S132)*H132/V132</f>
        <v>0.26718094672638465</v>
      </c>
      <c r="Y132" s="1789">
        <f>VLOOKUP(E132,[11]核心假设及结论!$C$25:$E$45,3,0)</f>
        <v>0.2</v>
      </c>
      <c r="Z132" s="1790">
        <f t="shared" si="60"/>
        <v>199253.5</v>
      </c>
      <c r="AA132" s="1790">
        <f t="shared" si="60"/>
        <v>205231.90000000002</v>
      </c>
      <c r="AB132" s="1790">
        <f t="shared" si="60"/>
        <v>0</v>
      </c>
      <c r="AC132" s="1790">
        <f t="shared" si="60"/>
        <v>0</v>
      </c>
      <c r="AD132" s="1790">
        <f t="shared" si="60"/>
        <v>0</v>
      </c>
      <c r="AE132" s="1790">
        <f t="shared" si="60"/>
        <v>0</v>
      </c>
      <c r="AF132" s="1790">
        <f t="shared" si="60"/>
        <v>0</v>
      </c>
      <c r="AG132" s="1794">
        <v>751.9</v>
      </c>
      <c r="AH132" s="1794">
        <v>774.46</v>
      </c>
      <c r="AI132" s="1794">
        <v>0</v>
      </c>
      <c r="AJ132" s="1794">
        <v>0</v>
      </c>
      <c r="AK132" s="1794">
        <v>0</v>
      </c>
      <c r="AL132" s="1794">
        <v>0</v>
      </c>
      <c r="AM132" s="1794">
        <v>0</v>
      </c>
      <c r="AN132" s="1795"/>
      <c r="AO132" s="1795"/>
      <c r="AP132" s="1808">
        <f t="shared" si="49"/>
        <v>1.3359047336319232</v>
      </c>
      <c r="AQ132" s="1810">
        <f>IF(AP132&gt;[11]核心假设及结论!$B$59,[11]核心假设及结论!$D$59,IF(AP132&lt;=[11]核心假设及结论!$B$58,[11]核心假设及结论!$D$57,[11]核心假设及结论!$D$58))</f>
        <v>1.0069999999999999</v>
      </c>
      <c r="AR132" s="1809">
        <f t="shared" si="50"/>
        <v>751.9</v>
      </c>
      <c r="AS132" s="1809">
        <f>AH132*(AS$2&lt;=YEAR($K132))+AR132*$AQ132*(AS$2=YEAR($K132)+1)+INDEX([11]核心假设及结论!$E$17:$E$21,MATCH($D132,[11]核心假设及结论!$B$17:$B$21,0))*(AS$2&gt;YEAR($K132)+1)*AR132</f>
        <v>774.46</v>
      </c>
      <c r="AT132" s="1811">
        <f>AI132*(AT$2&lt;=YEAR($K132))+AS132*$AQ132*(AT$2=YEAR($K132)+1)+INDEX([11]核心假设及结论!$E$17:$E$21,MATCH($D132,[11]核心假设及结论!$B$17:$B$21,0))*(AT$2&gt;YEAR($K132)+1)*AS132</f>
        <v>779.88121999999998</v>
      </c>
      <c r="AU132" s="1809">
        <f>AJ132*(AU$2&lt;=YEAR($K132))+AT132*$AQ132*(AU$2=YEAR($K132)+1)+INDEX([11]核心假设及结论!$E$17:$E$21,MATCH($D132,[11]核心假设及结论!$B$17:$B$21,0))*(AU$2&gt;YEAR($K132)+1)*AT132</f>
        <v>800.99610707759757</v>
      </c>
      <c r="AV132" s="1809">
        <f>AK132*(AV$2&lt;=YEAR($K132))+AU132*$AQ132*(AV$2=YEAR($K132)+1)+INDEX([11]核心假设及结论!$E$17:$E$21,MATCH($D132,[11]核心假设及结论!$B$17:$B$21,0))*(AV$2&gt;YEAR($K132)+1)*AU132</f>
        <v>822.6826689754962</v>
      </c>
      <c r="AW132" s="1809">
        <f>AL132*(AW$2&lt;=YEAR($K132))+AV132*$AQ132*(AW$2=YEAR($K132)+1)+INDEX([11]核心假设及结论!$E$17:$E$21,MATCH($D132,[11]核心假设及结论!$B$17:$B$21,0))*(AW$2&gt;YEAR($K132)+1)*AV132</f>
        <v>844.95638349847729</v>
      </c>
      <c r="AX132" s="1809">
        <f>AM132*(AX$2&lt;=YEAR($K132))+AW132*$AQ132*(AX$2=YEAR($K132)+1)+INDEX([11]核心假设及结论!$E$17:$E$21,MATCH($D132,[11]核心假设及结论!$B$17:$B$21,0))*(AX$2&gt;YEAR($K132)+1)*AW132</f>
        <v>867.83314750500847</v>
      </c>
      <c r="AZ132" s="1746">
        <f t="shared" ref="AZ132:AZ195" si="66">K132</f>
        <v>46151</v>
      </c>
      <c r="BA132" s="1817">
        <f t="shared" ref="BA132:BA195" si="67">$BA$2</f>
        <v>45658</v>
      </c>
      <c r="BB132" s="1817">
        <f t="shared" ref="BB132:BB195" si="68">DATE(YEAR(BA132),MONTH(AZ132),DAY(AZ132))</f>
        <v>45786</v>
      </c>
      <c r="BC132" s="1817">
        <f t="shared" ref="BC132:BC195" si="69">$BB$2</f>
        <v>46022</v>
      </c>
      <c r="BD132" s="1818">
        <f t="shared" ref="BD132:BD195" si="70">BB132-BA132+1</f>
        <v>129</v>
      </c>
      <c r="BE132" s="1818">
        <f t="shared" ref="BE132:BE195" si="71">365-BD132</f>
        <v>236</v>
      </c>
      <c r="BG132" s="1777">
        <f t="shared" si="58"/>
        <v>243.74278323287672</v>
      </c>
      <c r="BH132" s="1777">
        <f t="shared" si="56"/>
        <v>247.39294224263014</v>
      </c>
      <c r="BI132" s="1777">
        <f t="shared" si="56"/>
        <v>252.34368013917683</v>
      </c>
      <c r="BJ132" s="1777">
        <f t="shared" si="56"/>
        <v>259.17575683783633</v>
      </c>
      <c r="BK132" s="1777">
        <f t="shared" si="55"/>
        <v>266.19280853563436</v>
      </c>
      <c r="BL132" s="1777">
        <f t="shared" si="55"/>
        <v>273.39984333652166</v>
      </c>
      <c r="BM132" s="1777">
        <f t="shared" si="55"/>
        <v>97.534935279316315</v>
      </c>
      <c r="BO132" s="1739">
        <f t="shared" ref="BO132:BO195" si="72">YEAR(K132)</f>
        <v>2026</v>
      </c>
      <c r="BP132" s="1742">
        <f>_xlfn.IFNA(INDEX($AR132:$AX132,MATCH(BO132,$AR$2:$AX$2,0))*12/365*[11]核心假设及结论!$C$70*$H132,0)</f>
        <v>202420.50410958903</v>
      </c>
      <c r="BR132" s="1739">
        <f t="shared" si="51"/>
        <v>2029</v>
      </c>
      <c r="BS132" s="1742">
        <f>_xlfn.IFNA(INDEX($AR132:$AX132,MATCH(BR132,$AR$2:$AX$2,0))*12/365*[11]核心假设及结论!$C$70*$H132,0)</f>
        <v>215024.45649386942</v>
      </c>
      <c r="BU132" s="1739">
        <f t="shared" si="52"/>
        <v>2032</v>
      </c>
      <c r="BV132" s="1742">
        <f>_xlfn.IFNA(INDEX($AR132:$AX132,MATCH(BU132,$AR$2:$AX$2,0))*12/365*[11]核心假设及结论!$C$70*$H132,0)</f>
        <v>0</v>
      </c>
      <c r="BX132" s="1739">
        <f t="shared" si="53"/>
        <v>2035</v>
      </c>
      <c r="BY132" s="1742">
        <f>_xlfn.IFNA(INDEX($AR132:$AX132,MATCH(BX132,$AR$2:$AX$2,0))*12/365*[11]核心假设及结论!$C$70*$H132,0)</f>
        <v>0</v>
      </c>
      <c r="CA132" s="1739">
        <f t="shared" si="54"/>
        <v>2038</v>
      </c>
      <c r="CB132" s="1742">
        <f>_xlfn.IFNA(INDEX($AR132:$AX132,MATCH(CA132,$AR$2:$AX$2,0))*12/365*[11]核心假设及结论!$C$70*$H132,0)</f>
        <v>0</v>
      </c>
    </row>
    <row r="133" spans="1:80" ht="30" customHeight="1">
      <c r="A133" s="1756" t="s">
        <v>1662</v>
      </c>
      <c r="B133" s="1757" t="s">
        <v>1952</v>
      </c>
      <c r="C133" s="1756" t="s">
        <v>1953</v>
      </c>
      <c r="D133" s="1756" t="s">
        <v>1685</v>
      </c>
      <c r="E133" s="1758" t="s">
        <v>1692</v>
      </c>
      <c r="F133" s="1759"/>
      <c r="G133" s="1760" t="s">
        <v>1661</v>
      </c>
      <c r="H133" s="1761">
        <v>265</v>
      </c>
      <c r="I133" s="1761" t="s">
        <v>1913</v>
      </c>
      <c r="J133" s="1773">
        <v>45374</v>
      </c>
      <c r="K133" s="1773">
        <v>46468</v>
      </c>
      <c r="L133" s="1764">
        <f t="shared" si="62"/>
        <v>36</v>
      </c>
      <c r="M133" s="1774">
        <f t="shared" ref="M133:M196" si="73">O133+R133+T133</f>
        <v>223395</v>
      </c>
      <c r="N133" s="1775">
        <f t="shared" ref="N133:N196" si="74">O133/H133</f>
        <v>730</v>
      </c>
      <c r="O133" s="1760">
        <v>193450</v>
      </c>
      <c r="P133" s="1776">
        <v>0.14000000000000001</v>
      </c>
      <c r="Q133" s="1783">
        <f t="shared" si="63"/>
        <v>95</v>
      </c>
      <c r="R133" s="1784">
        <v>25175</v>
      </c>
      <c r="S133" s="1777">
        <f t="shared" si="64"/>
        <v>18</v>
      </c>
      <c r="T133" s="1777">
        <v>4770</v>
      </c>
      <c r="U133" s="1777"/>
      <c r="V133" s="1785">
        <v>1263653.6174999999</v>
      </c>
      <c r="W133" s="1785">
        <f t="shared" si="65"/>
        <v>4768.5042169811322</v>
      </c>
      <c r="X133" s="1786">
        <f>(N133+Q133)*H133/V133</f>
        <v>0.17301022762276072</v>
      </c>
      <c r="Y133" s="1789">
        <f>VLOOKUP(E133,[11]核心假设及结论!$C$25:$E$45,3,0)</f>
        <v>0.2</v>
      </c>
      <c r="Z133" s="1790">
        <f t="shared" si="60"/>
        <v>193450</v>
      </c>
      <c r="AA133" s="1790">
        <f t="shared" si="60"/>
        <v>201511.3</v>
      </c>
      <c r="AB133" s="1790">
        <f t="shared" si="60"/>
        <v>209569.95</v>
      </c>
      <c r="AC133" s="1790">
        <f t="shared" si="60"/>
        <v>0</v>
      </c>
      <c r="AD133" s="1790">
        <f t="shared" si="60"/>
        <v>0</v>
      </c>
      <c r="AE133" s="1790">
        <f t="shared" si="60"/>
        <v>0</v>
      </c>
      <c r="AF133" s="1790">
        <f t="shared" si="60"/>
        <v>0</v>
      </c>
      <c r="AG133" s="1794">
        <v>730</v>
      </c>
      <c r="AH133" s="1794">
        <v>760.42</v>
      </c>
      <c r="AI133" s="1794">
        <v>790.83</v>
      </c>
      <c r="AJ133" s="1794">
        <v>0</v>
      </c>
      <c r="AK133" s="1794">
        <v>0</v>
      </c>
      <c r="AL133" s="1794">
        <v>0</v>
      </c>
      <c r="AM133" s="1794">
        <v>0</v>
      </c>
      <c r="AN133" s="1795"/>
      <c r="AO133" s="1795"/>
      <c r="AP133" s="1808">
        <f t="shared" ref="AP133:AP196" si="75">IFERROR(X133/Y133,1.25)</f>
        <v>0.86505113811380352</v>
      </c>
      <c r="AQ133" s="1810">
        <f>IF(AP133&gt;[11]核心假设及结论!$B$59,[11]核心假设及结论!$D$59,IF(AP133&lt;=[11]核心假设及结论!$B$58,[11]核心假设及结论!$D$57,[11]核心假设及结论!$D$58))</f>
        <v>1.0342640124442799</v>
      </c>
      <c r="AR133" s="1809">
        <f t="shared" ref="AR133:AR196" si="76">IF(K133&lt;=BA133,AQ133*AG133,AG133)</f>
        <v>730</v>
      </c>
      <c r="AS133" s="1809">
        <f>AH133*(AS$2&lt;=YEAR($K133))+AR133*$AQ133*(AS$2=YEAR($K133)+1)+INDEX([11]核心假设及结论!$E$17:$E$21,MATCH($D133,[11]核心假设及结论!$B$17:$B$21,0))*(AS$2&gt;YEAR($K133)+1)*AR133</f>
        <v>760.42</v>
      </c>
      <c r="AT133" s="1809">
        <f>AI133*(AT$2&lt;=YEAR($K133))+AS133*$AQ133*(AT$2=YEAR($K133)+1)+INDEX([11]核心假设及结论!$E$17:$E$21,MATCH($D133,[11]核心假设及结论!$B$17:$B$21,0))*(AT$2&gt;YEAR($K133)+1)*AS133</f>
        <v>790.83</v>
      </c>
      <c r="AU133" s="1811">
        <f>AJ133*(AU$2&lt;=YEAR($K133))+AT133*$AQ133*(AU$2=YEAR($K133)+1)+INDEX([11]核心假设及结论!$E$17:$E$21,MATCH($D133,[11]核心假设及结论!$B$17:$B$21,0))*(AU$2&gt;YEAR($K133)+1)*AT133</f>
        <v>817.92700896130987</v>
      </c>
      <c r="AV133" s="1809">
        <f>AK133*(AV$2&lt;=YEAR($K133))+AU133*$AQ133*(AV$2=YEAR($K133)+1)+INDEX([11]核心假设及结论!$E$17:$E$21,MATCH($D133,[11]核心假设及结论!$B$17:$B$21,0))*(AV$2&gt;YEAR($K133)+1)*AU133</f>
        <v>840.07196641000337</v>
      </c>
      <c r="AW133" s="1809">
        <f>AL133*(AW$2&lt;=YEAR($K133))+AV133*$AQ133*(AW$2=YEAR($K133)+1)+INDEX([11]核心假设及结论!$E$17:$E$21,MATCH($D133,[11]核心假设及结论!$B$17:$B$21,0))*(AW$2&gt;YEAR($K133)+1)*AV133</f>
        <v>862.816487309997</v>
      </c>
      <c r="AX133" s="1809">
        <f>AM133*(AX$2&lt;=YEAR($K133))+AW133*$AQ133*(AX$2=YEAR($K133)+1)+INDEX([11]核心假设及结论!$E$17:$E$21,MATCH($D133,[11]核心假设及结论!$B$17:$B$21,0))*(AX$2&gt;YEAR($K133)+1)*AW133</f>
        <v>886.17680453656135</v>
      </c>
      <c r="AZ133" s="1746">
        <f t="shared" si="66"/>
        <v>46468</v>
      </c>
      <c r="BA133" s="1817">
        <f t="shared" si="67"/>
        <v>45658</v>
      </c>
      <c r="BB133" s="1817">
        <f t="shared" si="68"/>
        <v>45738</v>
      </c>
      <c r="BC133" s="1817">
        <f t="shared" si="69"/>
        <v>46022</v>
      </c>
      <c r="BD133" s="1818">
        <f t="shared" si="70"/>
        <v>81</v>
      </c>
      <c r="BE133" s="1818">
        <f t="shared" si="71"/>
        <v>284</v>
      </c>
      <c r="BG133" s="1777">
        <f t="shared" si="58"/>
        <v>239.6668247671233</v>
      </c>
      <c r="BH133" s="1777">
        <f t="shared" si="56"/>
        <v>249.3379104657534</v>
      </c>
      <c r="BI133" s="1777">
        <f t="shared" si="56"/>
        <v>258.1885566392159</v>
      </c>
      <c r="BJ133" s="1777">
        <f t="shared" si="56"/>
        <v>265.58011870478259</v>
      </c>
      <c r="BK133" s="1777">
        <f t="shared" si="55"/>
        <v>272.7705652403543</v>
      </c>
      <c r="BL133" s="1777">
        <f t="shared" si="55"/>
        <v>280.15568945599131</v>
      </c>
      <c r="BM133" s="1777">
        <f t="shared" si="55"/>
        <v>62.53737570206232</v>
      </c>
      <c r="BO133" s="1739">
        <f t="shared" si="72"/>
        <v>2027</v>
      </c>
      <c r="BP133" s="1742">
        <f>_xlfn.IFNA(INDEX($AR133:$AX133,MATCH(BO133,$AR$2:$AX$2,0))*12/365*[11]核心假设及结论!$C$70*$H133,0)</f>
        <v>206699.1287671233</v>
      </c>
      <c r="BR133" s="1739">
        <f t="shared" ref="BR133:BR196" si="77">BO133+ROUND($L133/12,0)</f>
        <v>2030</v>
      </c>
      <c r="BS133" s="1742">
        <f>_xlfn.IFNA(INDEX($AR133:$AX133,MATCH(BR133,$AR$2:$AX$2,0))*12/365*[11]核心假设及结论!$C$70*$H133,0)</f>
        <v>225514.2270941746</v>
      </c>
      <c r="BU133" s="1739">
        <f t="shared" ref="BU133:BU196" si="78">BR133+ROUND($L133/12,0)</f>
        <v>2033</v>
      </c>
      <c r="BV133" s="1742">
        <f>_xlfn.IFNA(INDEX($AR133:$AX133,MATCH(BU133,$AR$2:$AX$2,0))*12/365*[11]核心假设及结论!$C$70*$H133,0)</f>
        <v>0</v>
      </c>
      <c r="BX133" s="1739">
        <f t="shared" ref="BX133:BX196" si="79">BU133+ROUND($L133/12,0)</f>
        <v>2036</v>
      </c>
      <c r="BY133" s="1742">
        <f>_xlfn.IFNA(INDEX($AR133:$AX133,MATCH(BX133,$AR$2:$AX$2,0))*12/365*[11]核心假设及结论!$C$70*$H133,0)</f>
        <v>0</v>
      </c>
      <c r="CA133" s="1739">
        <f t="shared" ref="CA133:CA196" si="80">BX133+ROUND($L133/12,0)</f>
        <v>2039</v>
      </c>
      <c r="CB133" s="1742">
        <f>_xlfn.IFNA(INDEX($AR133:$AX133,MATCH(CA133,$AR$2:$AX$2,0))*12/365*[11]核心假设及结论!$C$70*$H133,0)</f>
        <v>0</v>
      </c>
    </row>
    <row r="134" spans="1:80" ht="30" customHeight="1">
      <c r="A134" s="1756" t="s">
        <v>1687</v>
      </c>
      <c r="B134" s="1757" t="s">
        <v>1954</v>
      </c>
      <c r="C134" s="1756" t="s">
        <v>1955</v>
      </c>
      <c r="D134" s="1756" t="s">
        <v>1676</v>
      </c>
      <c r="E134" s="1758" t="s">
        <v>1677</v>
      </c>
      <c r="F134" s="1759"/>
      <c r="G134" s="1760" t="s">
        <v>1661</v>
      </c>
      <c r="H134" s="1761">
        <v>263</v>
      </c>
      <c r="I134" s="1761" t="s">
        <v>1913</v>
      </c>
      <c r="J134" s="1773">
        <v>45317</v>
      </c>
      <c r="K134" s="1773">
        <v>46777</v>
      </c>
      <c r="L134" s="1764">
        <f t="shared" si="62"/>
        <v>48</v>
      </c>
      <c r="M134" s="1774">
        <f t="shared" si="73"/>
        <v>60403.21</v>
      </c>
      <c r="N134" s="1775">
        <f t="shared" si="74"/>
        <v>121.67</v>
      </c>
      <c r="O134" s="1760">
        <v>31999.21</v>
      </c>
      <c r="P134" s="1776">
        <v>0.09</v>
      </c>
      <c r="Q134" s="1783">
        <f t="shared" si="63"/>
        <v>90</v>
      </c>
      <c r="R134" s="1784">
        <v>23670</v>
      </c>
      <c r="S134" s="1777">
        <f t="shared" si="64"/>
        <v>18</v>
      </c>
      <c r="T134" s="1784">
        <v>4734</v>
      </c>
      <c r="U134" s="1777"/>
      <c r="V134" s="1785">
        <v>143112.25</v>
      </c>
      <c r="W134" s="1785">
        <f t="shared" si="65"/>
        <v>544.1530418250951</v>
      </c>
      <c r="X134" s="1786">
        <f>(N134+Q134)*H134/V134</f>
        <v>0.38898983140856219</v>
      </c>
      <c r="Y134" s="1789">
        <f>VLOOKUP(E134,[11]核心假设及结论!$C$25:$E$45,3,0)</f>
        <v>0.25</v>
      </c>
      <c r="Z134" s="1790">
        <f t="shared" si="60"/>
        <v>31999.21</v>
      </c>
      <c r="AA134" s="1790">
        <f t="shared" si="60"/>
        <v>33598.25</v>
      </c>
      <c r="AB134" s="1790">
        <f t="shared" si="60"/>
        <v>35278.82</v>
      </c>
      <c r="AC134" s="1790">
        <f t="shared" si="60"/>
        <v>37038.29</v>
      </c>
      <c r="AD134" s="1790">
        <f t="shared" si="60"/>
        <v>0</v>
      </c>
      <c r="AE134" s="1790">
        <f t="shared" si="60"/>
        <v>0</v>
      </c>
      <c r="AF134" s="1790">
        <f t="shared" si="60"/>
        <v>0</v>
      </c>
      <c r="AG134" s="1794">
        <v>121.67</v>
      </c>
      <c r="AH134" s="1794">
        <v>127.75</v>
      </c>
      <c r="AI134" s="1794">
        <v>134.13999999999999</v>
      </c>
      <c r="AJ134" s="1794">
        <v>140.83000000000001</v>
      </c>
      <c r="AK134" s="1794">
        <v>0</v>
      </c>
      <c r="AL134" s="1794">
        <v>0</v>
      </c>
      <c r="AM134" s="1794">
        <v>0</v>
      </c>
      <c r="AN134" s="1797"/>
      <c r="AO134" s="1797"/>
      <c r="AP134" s="1808">
        <f t="shared" si="75"/>
        <v>1.5559593256342488</v>
      </c>
      <c r="AQ134" s="1808">
        <f>IF(AP134&gt;[11]核心假设及结论!$B$65,[11]核心假设及结论!$D$65,IF(AP134&lt;=[11]核心假设及结论!$B$64,[11]核心假设及结论!$D$63,[11]核心假设及结论!$D$64))</f>
        <v>0.72793038402688603</v>
      </c>
      <c r="AR134" s="1809">
        <f t="shared" si="76"/>
        <v>121.67</v>
      </c>
      <c r="AS134" s="1809">
        <f>AH134*(AS$2&lt;=YEAR($K134))+AR134*$AQ134*(AS$2=YEAR($K134)+1)+INDEX([11]核心假设及结论!$E$17:$E$21,MATCH($D134,[11]核心假设及结论!$B$17:$B$21,0))*(AS$2&gt;YEAR($K134)+1)*AR134</f>
        <v>127.75</v>
      </c>
      <c r="AT134" s="1809">
        <f>AI134*(AT$2&lt;=YEAR($K134))+AS134*$AQ134*(AT$2=YEAR($K134)+1)+INDEX([11]核心假设及结论!$E$17:$E$21,MATCH($D134,[11]核心假设及结论!$B$17:$B$21,0))*(AT$2&gt;YEAR($K134)+1)*AS134</f>
        <v>134.13999999999999</v>
      </c>
      <c r="AU134" s="1809">
        <f>AJ134*(AU$2&lt;=YEAR($K134))+AT134*$AQ134*(AU$2=YEAR($K134)+1)+INDEX([11]核心假设及结论!$E$17:$E$21,MATCH($D134,[11]核心假设及结论!$B$17:$B$21,0))*(AU$2&gt;YEAR($K134)+1)*AT134</f>
        <v>140.83000000000001</v>
      </c>
      <c r="AV134" s="1811">
        <f>AK134*(AV$2&lt;=YEAR($K134))+AU134*$AQ134*(AV$2=YEAR($K134)+1)+INDEX([11]核心假设及结论!$E$17:$E$21,MATCH($D134,[11]核心假设及结论!$B$17:$B$21,0))*(AV$2&gt;YEAR($K134)+1)*AU134</f>
        <v>102.51443598250637</v>
      </c>
      <c r="AW134" s="1809">
        <f>AL134*(AW$2&lt;=YEAR($K134))+AV134*$AQ134*(AW$2=YEAR($K134)+1)+INDEX([11]核心假设及结论!$E$17:$E$21,MATCH($D134,[11]核心假设及结论!$B$17:$B$21,0))*(AW$2&gt;YEAR($K134)+1)*AV134</f>
        <v>106.05888157635839</v>
      </c>
      <c r="AX134" s="1809">
        <f>AM134*(AX$2&lt;=YEAR($K134))+AW134*$AQ134*(AX$2=YEAR($K134)+1)+INDEX([11]核心假设及结论!$E$17:$E$21,MATCH($D134,[11]核心假设及结论!$B$17:$B$21,0))*(AX$2&gt;YEAR($K134)+1)*AW134</f>
        <v>109.72587668674797</v>
      </c>
      <c r="AZ134" s="1746">
        <f t="shared" si="66"/>
        <v>46777</v>
      </c>
      <c r="BA134" s="1817">
        <f t="shared" si="67"/>
        <v>45658</v>
      </c>
      <c r="BB134" s="1817">
        <f t="shared" si="68"/>
        <v>45682</v>
      </c>
      <c r="BC134" s="1817">
        <f t="shared" si="69"/>
        <v>46022</v>
      </c>
      <c r="BD134" s="1818">
        <f t="shared" si="70"/>
        <v>25</v>
      </c>
      <c r="BE134" s="1818">
        <f t="shared" si="71"/>
        <v>340</v>
      </c>
      <c r="BG134" s="1777">
        <f t="shared" si="58"/>
        <v>40.186472054794521</v>
      </c>
      <c r="BH134" s="1777">
        <f t="shared" si="56"/>
        <v>42.196454958904113</v>
      </c>
      <c r="BI134" s="1777">
        <f t="shared" si="56"/>
        <v>44.30133402739726</v>
      </c>
      <c r="BJ134" s="1777">
        <f t="shared" si="56"/>
        <v>33.181802023744829</v>
      </c>
      <c r="BK134" s="1777">
        <f t="shared" si="55"/>
        <v>33.395564735812428</v>
      </c>
      <c r="BL134" s="1777">
        <f t="shared" si="55"/>
        <v>34.550219308581568</v>
      </c>
      <c r="BM134" s="1777">
        <f t="shared" si="55"/>
        <v>2.3718826494751819</v>
      </c>
      <c r="BO134" s="1739">
        <f t="shared" si="72"/>
        <v>2028</v>
      </c>
      <c r="BP134" s="1742">
        <f>_xlfn.IFNA(INDEX($AR134:$AX134,MATCH(BO134,$AR$2:$AX$2,0))*12/365*[11]核心假设及结论!$C$70*$H134,0)</f>
        <v>36530.916164383554</v>
      </c>
      <c r="BR134" s="1739">
        <f t="shared" si="77"/>
        <v>2032</v>
      </c>
      <c r="BS134" s="1742">
        <f>_xlfn.IFNA(INDEX($AR134:$AX134,MATCH(BR134,$AR$2:$AX$2,0))*12/365*[11]核心假设及结论!$C$70*$H134,0)</f>
        <v>0</v>
      </c>
      <c r="BU134" s="1739">
        <f t="shared" si="78"/>
        <v>2036</v>
      </c>
      <c r="BV134" s="1742">
        <f>_xlfn.IFNA(INDEX($AR134:$AX134,MATCH(BU134,$AR$2:$AX$2,0))*12/365*[11]核心假设及结论!$C$70*$H134,0)</f>
        <v>0</v>
      </c>
      <c r="BX134" s="1739">
        <f t="shared" si="79"/>
        <v>2040</v>
      </c>
      <c r="BY134" s="1742">
        <f>_xlfn.IFNA(INDEX($AR134:$AX134,MATCH(BX134,$AR$2:$AX$2,0))*12/365*[11]核心假设及结论!$C$70*$H134,0)</f>
        <v>0</v>
      </c>
      <c r="CA134" s="1739">
        <f t="shared" si="80"/>
        <v>2044</v>
      </c>
      <c r="CB134" s="1742">
        <f>_xlfn.IFNA(INDEX($AR134:$AX134,MATCH(CA134,$AR$2:$AX$2,0))*12/365*[11]核心假设及结论!$C$70*$H134,0)</f>
        <v>0</v>
      </c>
    </row>
    <row r="135" spans="1:80" ht="30" customHeight="1">
      <c r="A135" s="1756" t="s">
        <v>1666</v>
      </c>
      <c r="B135" s="1757" t="s">
        <v>1956</v>
      </c>
      <c r="C135" s="1756" t="s">
        <v>1957</v>
      </c>
      <c r="D135" s="1756" t="s">
        <v>1698</v>
      </c>
      <c r="E135" s="1758" t="s">
        <v>1698</v>
      </c>
      <c r="F135" s="1759"/>
      <c r="G135" s="1760" t="s">
        <v>1661</v>
      </c>
      <c r="H135" s="1761">
        <v>259</v>
      </c>
      <c r="I135" s="1761" t="s">
        <v>1913</v>
      </c>
      <c r="J135" s="1773">
        <v>44140</v>
      </c>
      <c r="K135" s="1773">
        <v>46695</v>
      </c>
      <c r="L135" s="1764">
        <f t="shared" si="62"/>
        <v>84</v>
      </c>
      <c r="M135" s="1774">
        <f t="shared" si="73"/>
        <v>127901.97</v>
      </c>
      <c r="N135" s="1775">
        <f t="shared" si="74"/>
        <v>380.21</v>
      </c>
      <c r="O135" s="1760">
        <v>98474.39</v>
      </c>
      <c r="P135" s="1776">
        <v>0.08</v>
      </c>
      <c r="Q135" s="1783">
        <f t="shared" si="63"/>
        <v>95</v>
      </c>
      <c r="R135" s="1784">
        <v>24605</v>
      </c>
      <c r="S135" s="1777">
        <f t="shared" si="64"/>
        <v>18.62</v>
      </c>
      <c r="T135" s="1777">
        <v>4822.58</v>
      </c>
      <c r="U135" s="1777"/>
      <c r="V135" s="1785">
        <v>1062864.7625</v>
      </c>
      <c r="W135" s="1785">
        <f t="shared" si="65"/>
        <v>4103.7249517374512</v>
      </c>
      <c r="X135" s="1786">
        <f>(N135+Q135)*H135/V135</f>
        <v>0.11579967117406435</v>
      </c>
      <c r="Y135" s="1789">
        <f>VLOOKUP(E135,[11]核心假设及结论!$C$25:$E$45,3,0)</f>
        <v>0.2</v>
      </c>
      <c r="Z135" s="1790">
        <f t="shared" si="60"/>
        <v>122108.14</v>
      </c>
      <c r="AA135" s="1790">
        <f t="shared" si="60"/>
        <v>126047.53</v>
      </c>
      <c r="AB135" s="1790">
        <f t="shared" si="60"/>
        <v>129986.92</v>
      </c>
      <c r="AC135" s="1790">
        <f t="shared" si="60"/>
        <v>0</v>
      </c>
      <c r="AD135" s="1790">
        <f t="shared" si="60"/>
        <v>0</v>
      </c>
      <c r="AE135" s="1790">
        <f t="shared" si="60"/>
        <v>0</v>
      </c>
      <c r="AF135" s="1790">
        <f t="shared" si="60"/>
        <v>0</v>
      </c>
      <c r="AG135" s="1794">
        <v>471.46</v>
      </c>
      <c r="AH135" s="1794">
        <v>486.67</v>
      </c>
      <c r="AI135" s="1794">
        <v>501.88</v>
      </c>
      <c r="AJ135" s="1794">
        <v>0</v>
      </c>
      <c r="AK135" s="1794">
        <v>0</v>
      </c>
      <c r="AL135" s="1794">
        <v>0</v>
      </c>
      <c r="AM135" s="1794">
        <v>0</v>
      </c>
      <c r="AN135" s="1795"/>
      <c r="AO135" s="1795"/>
      <c r="AP135" s="1808">
        <f t="shared" si="75"/>
        <v>0.57899835587032178</v>
      </c>
      <c r="AQ135" s="1812">
        <f>IF(AP135&gt;[11]核心假设及结论!$B$62,[11]核心假设及结论!$D$62,IF(AP135&lt;=[11]核心假设及结论!$B$61,[11]核心假设及结论!$D$60,[11]核心假设及结论!$D$61))</f>
        <v>1.0811176582269599</v>
      </c>
      <c r="AR135" s="1809">
        <f t="shared" si="76"/>
        <v>471.46</v>
      </c>
      <c r="AS135" s="1809">
        <f>AH135*(AS$2&lt;=YEAR($K135))+AR135*$AQ135*(AS$2=YEAR($K135)+1)+INDEX([11]核心假设及结论!$E$17:$E$21,MATCH($D135,[11]核心假设及结论!$B$17:$B$21,0))*(AS$2&gt;YEAR($K135)+1)*AR135</f>
        <v>486.67</v>
      </c>
      <c r="AT135" s="1809">
        <f>AI135*(AT$2&lt;=YEAR($K135))+AS135*$AQ135*(AT$2=YEAR($K135)+1)+INDEX([11]核心假设及结论!$E$17:$E$21,MATCH($D135,[11]核心假设及结论!$B$17:$B$21,0))*(AT$2&gt;YEAR($K135)+1)*AS135</f>
        <v>501.88</v>
      </c>
      <c r="AU135" s="1811">
        <f>AJ135*(AU$2&lt;=YEAR($K135))+AT135*$AQ135*(AU$2=YEAR($K135)+1)+INDEX([11]核心假设及结论!$E$17:$E$21,MATCH($D135,[11]核心假设及结论!$B$17:$B$21,0))*(AU$2&gt;YEAR($K135)+1)*AT135</f>
        <v>542.59133031094666</v>
      </c>
      <c r="AV135" s="1809">
        <f>AK135*(AV$2&lt;=YEAR($K135))+AU135*$AQ135*(AV$2=YEAR($K135)+1)+INDEX([11]核心假设及结论!$E$17:$E$21,MATCH($D135,[11]核心假设及结论!$B$17:$B$21,0))*(AV$2&gt;YEAR($K135)+1)*AU135</f>
        <v>559.20406901813396</v>
      </c>
      <c r="AW135" s="1809">
        <f>AL135*(AW$2&lt;=YEAR($K135))+AV135*$AQ135*(AW$2=YEAR($K135)+1)+INDEX([11]核心假设及结论!$E$17:$E$21,MATCH($D135,[11]核心假设及结论!$B$17:$B$21,0))*(AW$2&gt;YEAR($K135)+1)*AV135</f>
        <v>576.32544668052753</v>
      </c>
      <c r="AX135" s="1809">
        <f>AM135*(AX$2&lt;=YEAR($K135))+AW135*$AQ135*(AX$2=YEAR($K135)+1)+INDEX([11]核心假设及结论!$E$17:$E$21,MATCH($D135,[11]核心假设及结论!$B$17:$B$21,0))*(AX$2&gt;YEAR($K135)+1)*AW135</f>
        <v>593.97103650320275</v>
      </c>
      <c r="AZ135" s="1746">
        <f t="shared" si="66"/>
        <v>46695</v>
      </c>
      <c r="BA135" s="1817">
        <f t="shared" si="67"/>
        <v>45658</v>
      </c>
      <c r="BB135" s="1817">
        <f t="shared" si="68"/>
        <v>45965</v>
      </c>
      <c r="BC135" s="1817">
        <f t="shared" si="69"/>
        <v>46022</v>
      </c>
      <c r="BD135" s="1818">
        <f t="shared" si="70"/>
        <v>308</v>
      </c>
      <c r="BE135" s="1818">
        <f t="shared" si="71"/>
        <v>57</v>
      </c>
      <c r="BG135" s="1777">
        <f t="shared" si="58"/>
        <v>147.26799889315066</v>
      </c>
      <c r="BH135" s="1777">
        <f t="shared" si="56"/>
        <v>151.99526689315067</v>
      </c>
      <c r="BI135" s="1777">
        <f t="shared" si="56"/>
        <v>157.96026466645645</v>
      </c>
      <c r="BJ135" s="1777">
        <f t="shared" si="56"/>
        <v>169.44369952596017</v>
      </c>
      <c r="BK135" s="1777">
        <f t="shared" si="55"/>
        <v>174.63162596074261</v>
      </c>
      <c r="BL135" s="1777">
        <f t="shared" si="55"/>
        <v>179.97839324217804</v>
      </c>
      <c r="BM135" s="1777">
        <f t="shared" si="55"/>
        <v>155.77728501019229</v>
      </c>
      <c r="BO135" s="1739">
        <f t="shared" si="72"/>
        <v>2027</v>
      </c>
      <c r="BP135" s="1742">
        <f>_xlfn.IFNA(INDEX($AR135:$AX135,MATCH(BO135,$AR$2:$AX$2,0))*12/365*[11]核心假设及结论!$C$70*$H135,0)</f>
        <v>128206.27726027397</v>
      </c>
      <c r="BR135" s="1739">
        <f t="shared" si="77"/>
        <v>2034</v>
      </c>
      <c r="BS135" s="1742">
        <f>_xlfn.IFNA(INDEX($AR135:$AX135,MATCH(BR135,$AR$2:$AX$2,0))*12/365*[11]核心假设及结论!$C$70*$H135,0)</f>
        <v>0</v>
      </c>
      <c r="BU135" s="1739">
        <f t="shared" si="78"/>
        <v>2041</v>
      </c>
      <c r="BV135" s="1742">
        <f>_xlfn.IFNA(INDEX($AR135:$AX135,MATCH(BU135,$AR$2:$AX$2,0))*12/365*[11]核心假设及结论!$C$70*$H135,0)</f>
        <v>0</v>
      </c>
      <c r="BX135" s="1739">
        <f t="shared" si="79"/>
        <v>2048</v>
      </c>
      <c r="BY135" s="1742">
        <f>_xlfn.IFNA(INDEX($AR135:$AX135,MATCH(BX135,$AR$2:$AX$2,0))*12/365*[11]核心假设及结论!$C$70*$H135,0)</f>
        <v>0</v>
      </c>
      <c r="CA135" s="1739">
        <f t="shared" si="80"/>
        <v>2055</v>
      </c>
      <c r="CB135" s="1742">
        <f>_xlfn.IFNA(INDEX($AR135:$AX135,MATCH(CA135,$AR$2:$AX$2,0))*12/365*[11]核心假设及结论!$C$70*$H135,0)</f>
        <v>0</v>
      </c>
    </row>
    <row r="136" spans="1:80" ht="30" customHeight="1">
      <c r="A136" s="1756" t="s">
        <v>1662</v>
      </c>
      <c r="B136" s="1757" t="s">
        <v>1958</v>
      </c>
      <c r="C136" s="1756" t="s">
        <v>1959</v>
      </c>
      <c r="D136" s="1756" t="s">
        <v>1685</v>
      </c>
      <c r="E136" s="1758" t="s">
        <v>1871</v>
      </c>
      <c r="F136" s="1759"/>
      <c r="G136" s="1760" t="s">
        <v>1661</v>
      </c>
      <c r="H136" s="1761">
        <v>257</v>
      </c>
      <c r="I136" s="1761" t="s">
        <v>1913</v>
      </c>
      <c r="J136" s="1773">
        <v>45266</v>
      </c>
      <c r="K136" s="1773">
        <v>46361</v>
      </c>
      <c r="L136" s="1764">
        <f t="shared" si="62"/>
        <v>36</v>
      </c>
      <c r="M136" s="1774">
        <f t="shared" si="73"/>
        <v>320897.90999999997</v>
      </c>
      <c r="N136" s="1775">
        <f t="shared" si="74"/>
        <v>1140.6299999999999</v>
      </c>
      <c r="O136" s="1760">
        <v>293141.90999999997</v>
      </c>
      <c r="P136" s="1776" t="s">
        <v>1960</v>
      </c>
      <c r="Q136" s="1783">
        <f t="shared" si="63"/>
        <v>90</v>
      </c>
      <c r="R136" s="1784">
        <v>23130</v>
      </c>
      <c r="S136" s="1777">
        <f t="shared" si="64"/>
        <v>18</v>
      </c>
      <c r="T136" s="1784">
        <v>4626</v>
      </c>
      <c r="U136" s="1777"/>
      <c r="V136" s="1785">
        <v>10471548.682499999</v>
      </c>
      <c r="W136" s="1785">
        <f t="shared" si="65"/>
        <v>40745.325612840461</v>
      </c>
      <c r="X136" s="1786">
        <f>(N136+Q136+S136)*H136/V136</f>
        <v>3.0644742218148016E-2</v>
      </c>
      <c r="Y136" s="1789">
        <f>VLOOKUP(E136,[11]核心假设及结论!$C$25:$E$45,3,0)</f>
        <v>0.2</v>
      </c>
      <c r="Z136" s="1790">
        <f t="shared" si="60"/>
        <v>299004.08</v>
      </c>
      <c r="AA136" s="1790">
        <f t="shared" si="60"/>
        <v>304943.34999999998</v>
      </c>
      <c r="AB136" s="1790">
        <f t="shared" si="60"/>
        <v>0</v>
      </c>
      <c r="AC136" s="1790">
        <f t="shared" si="60"/>
        <v>0</v>
      </c>
      <c r="AD136" s="1790">
        <f t="shared" si="60"/>
        <v>0</v>
      </c>
      <c r="AE136" s="1790">
        <f t="shared" si="60"/>
        <v>0</v>
      </c>
      <c r="AF136" s="1790">
        <f t="shared" si="60"/>
        <v>0</v>
      </c>
      <c r="AG136" s="1794">
        <v>1163.44</v>
      </c>
      <c r="AH136" s="1794">
        <v>1186.55</v>
      </c>
      <c r="AI136" s="1794">
        <v>0</v>
      </c>
      <c r="AJ136" s="1794">
        <v>0</v>
      </c>
      <c r="AK136" s="1794">
        <v>0</v>
      </c>
      <c r="AL136" s="1794">
        <v>0</v>
      </c>
      <c r="AM136" s="1794">
        <v>0</v>
      </c>
      <c r="AN136" s="1797"/>
      <c r="AO136" s="1797"/>
      <c r="AP136" s="1808">
        <f t="shared" si="75"/>
        <v>0.15322371109074007</v>
      </c>
      <c r="AQ136" s="1810">
        <f>IF(AP136&gt;[11]核心假设及结论!$B$59,[11]核心假设及结论!$D$59,IF(AP136&lt;=[11]核心假设及结论!$B$58,[11]核心假设及结论!$D$57,[11]核心假设及结论!$D$58))</f>
        <v>1.0342640124442799</v>
      </c>
      <c r="AR136" s="1809">
        <f t="shared" si="76"/>
        <v>1163.44</v>
      </c>
      <c r="AS136" s="1809">
        <f>AH136*(AS$2&lt;=YEAR($K136))+AR136*$AQ136*(AS$2=YEAR($K136)+1)+INDEX([11]核心假设及结论!$E$17:$E$21,MATCH($D136,[11]核心假设及结论!$B$17:$B$21,0))*(AS$2&gt;YEAR($K136)+1)*AR136</f>
        <v>1186.55</v>
      </c>
      <c r="AT136" s="1811">
        <f>AI136*(AT$2&lt;=YEAR($K136))+AS136*$AQ136*(AT$2=YEAR($K136)+1)+INDEX([11]核心假设及结论!$E$17:$E$21,MATCH($D136,[11]核心假设及结论!$B$17:$B$21,0))*(AT$2&gt;YEAR($K136)+1)*AS136</f>
        <v>1227.2059639657602</v>
      </c>
      <c r="AU136" s="1809">
        <f>AJ136*(AU$2&lt;=YEAR($K136))+AT136*$AQ136*(AU$2=YEAR($K136)+1)+INDEX([11]核心假设及结论!$E$17:$E$21,MATCH($D136,[11]核心假设及结论!$B$17:$B$21,0))*(AU$2&gt;YEAR($K136)+1)*AT136</f>
        <v>1260.4319408011702</v>
      </c>
      <c r="AV136" s="1809">
        <f>AK136*(AV$2&lt;=YEAR($K136))+AU136*$AQ136*(AV$2=YEAR($K136)+1)+INDEX([11]核心假设及结论!$E$17:$E$21,MATCH($D136,[11]核心假设及结论!$B$17:$B$21,0))*(AV$2&gt;YEAR($K136)+1)*AU136</f>
        <v>1294.557494047617</v>
      </c>
      <c r="AW136" s="1809">
        <f>AL136*(AW$2&lt;=YEAR($K136))+AV136*$AQ136*(AW$2=YEAR($K136)+1)+INDEX([11]核心假设及结论!$E$17:$E$21,MATCH($D136,[11]核心假设及结论!$B$17:$B$21,0))*(AW$2&gt;YEAR($K136)+1)*AV136</f>
        <v>1329.6069792785513</v>
      </c>
      <c r="AX136" s="1809">
        <f>AM136*(AX$2&lt;=YEAR($K136))+AW136*$AQ136*(AX$2=YEAR($K136)+1)+INDEX([11]核心假设及结论!$E$17:$E$21,MATCH($D136,[11]核心假设及结论!$B$17:$B$21,0))*(AX$2&gt;YEAR($K136)+1)*AW136</f>
        <v>1365.6054114821786</v>
      </c>
      <c r="AZ136" s="1746">
        <f t="shared" si="66"/>
        <v>46361</v>
      </c>
      <c r="BA136" s="1817">
        <f t="shared" si="67"/>
        <v>45658</v>
      </c>
      <c r="BB136" s="1817">
        <f t="shared" si="68"/>
        <v>45996</v>
      </c>
      <c r="BC136" s="1817">
        <f t="shared" si="69"/>
        <v>46022</v>
      </c>
      <c r="BD136" s="1818">
        <f t="shared" si="70"/>
        <v>339</v>
      </c>
      <c r="BE136" s="1818">
        <f t="shared" si="71"/>
        <v>26</v>
      </c>
      <c r="BG136" s="1777">
        <f t="shared" si="58"/>
        <v>359.31258154520549</v>
      </c>
      <c r="BH136" s="1777">
        <f t="shared" si="56"/>
        <v>366.8251591272961</v>
      </c>
      <c r="BI136" s="1777">
        <f t="shared" si="56"/>
        <v>379.20023482856664</v>
      </c>
      <c r="BJ136" s="1777">
        <f t="shared" si="56"/>
        <v>389.46688817637209</v>
      </c>
      <c r="BK136" s="1777">
        <f t="shared" si="55"/>
        <v>400.01150593791721</v>
      </c>
      <c r="BL136" s="1777">
        <f t="shared" si="55"/>
        <v>410.84161385822182</v>
      </c>
      <c r="BM136" s="1777">
        <f t="shared" si="55"/>
        <v>391.15278991088832</v>
      </c>
      <c r="BO136" s="1739">
        <f t="shared" si="72"/>
        <v>2026</v>
      </c>
      <c r="BP136" s="1742">
        <f>_xlfn.IFNA(INDEX($AR136:$AX136,MATCH(BO136,$AR$2:$AX$2,0))*12/365*[11]核心假设及结论!$C$70*$H136,0)</f>
        <v>300766.04383561644</v>
      </c>
      <c r="BR136" s="1739">
        <f t="shared" si="77"/>
        <v>2029</v>
      </c>
      <c r="BS136" s="1742">
        <f>_xlfn.IFNA(INDEX($AR136:$AX136,MATCH(BR136,$AR$2:$AX$2,0))*12/365*[11]核心假设及结论!$C$70*$H136,0)</f>
        <v>328143.7242446178</v>
      </c>
      <c r="BU136" s="1739">
        <f t="shared" si="78"/>
        <v>2032</v>
      </c>
      <c r="BV136" s="1742">
        <f>_xlfn.IFNA(INDEX($AR136:$AX136,MATCH(BU136,$AR$2:$AX$2,0))*12/365*[11]核心假设及结论!$C$70*$H136,0)</f>
        <v>0</v>
      </c>
      <c r="BX136" s="1739">
        <f t="shared" si="79"/>
        <v>2035</v>
      </c>
      <c r="BY136" s="1742">
        <f>_xlfn.IFNA(INDEX($AR136:$AX136,MATCH(BX136,$AR$2:$AX$2,0))*12/365*[11]核心假设及结论!$C$70*$H136,0)</f>
        <v>0</v>
      </c>
      <c r="CA136" s="1739">
        <f t="shared" si="80"/>
        <v>2038</v>
      </c>
      <c r="CB136" s="1742">
        <f>_xlfn.IFNA(INDEX($AR136:$AX136,MATCH(CA136,$AR$2:$AX$2,0))*12/365*[11]核心假设及结论!$C$70*$H136,0)</f>
        <v>0</v>
      </c>
    </row>
    <row r="137" spans="1:80" ht="30" customHeight="1">
      <c r="A137" s="1756" t="s">
        <v>1687</v>
      </c>
      <c r="B137" s="1757" t="s">
        <v>1961</v>
      </c>
      <c r="C137" s="1756" t="s">
        <v>1962</v>
      </c>
      <c r="D137" s="1756" t="s">
        <v>1685</v>
      </c>
      <c r="E137" s="1758" t="s">
        <v>1692</v>
      </c>
      <c r="F137" s="1759"/>
      <c r="G137" s="1760" t="s">
        <v>1661</v>
      </c>
      <c r="H137" s="1761">
        <v>257</v>
      </c>
      <c r="I137" s="1761" t="s">
        <v>1913</v>
      </c>
      <c r="J137" s="1773">
        <v>45108</v>
      </c>
      <c r="K137" s="1773">
        <v>46446</v>
      </c>
      <c r="L137" s="1764">
        <f t="shared" si="62"/>
        <v>44</v>
      </c>
      <c r="M137" s="1774">
        <f t="shared" si="73"/>
        <v>212742.03</v>
      </c>
      <c r="N137" s="1775">
        <f t="shared" si="74"/>
        <v>714.79</v>
      </c>
      <c r="O137" s="1760">
        <v>183701.03</v>
      </c>
      <c r="P137" s="1776">
        <v>0.18</v>
      </c>
      <c r="Q137" s="1783">
        <f t="shared" si="63"/>
        <v>95</v>
      </c>
      <c r="R137" s="1784">
        <v>24415</v>
      </c>
      <c r="S137" s="1777">
        <f t="shared" si="64"/>
        <v>18</v>
      </c>
      <c r="T137" s="1784">
        <v>4626</v>
      </c>
      <c r="U137" s="1777"/>
      <c r="V137" s="1785">
        <v>824290.35</v>
      </c>
      <c r="W137" s="1785">
        <f t="shared" si="65"/>
        <v>3207.3554474708171</v>
      </c>
      <c r="X137" s="1786">
        <f>(N137+Q137+S137)*H137/V137</f>
        <v>0.25809113257240002</v>
      </c>
      <c r="Y137" s="1789">
        <f>VLOOKUP(E137,[11]核心假设及结论!$C$25:$E$45,3,0)</f>
        <v>0.2</v>
      </c>
      <c r="Z137" s="1790">
        <f t="shared" si="60"/>
        <v>183701.03</v>
      </c>
      <c r="AA137" s="1790">
        <f t="shared" si="60"/>
        <v>187610</v>
      </c>
      <c r="AB137" s="1790">
        <f t="shared" si="60"/>
        <v>191518.97</v>
      </c>
      <c r="AC137" s="1790">
        <f t="shared" si="60"/>
        <v>0</v>
      </c>
      <c r="AD137" s="1790">
        <f t="shared" si="60"/>
        <v>0</v>
      </c>
      <c r="AE137" s="1790">
        <f t="shared" si="60"/>
        <v>0</v>
      </c>
      <c r="AF137" s="1790">
        <f t="shared" si="60"/>
        <v>0</v>
      </c>
      <c r="AG137" s="1794">
        <v>714.79</v>
      </c>
      <c r="AH137" s="1794">
        <v>730</v>
      </c>
      <c r="AI137" s="1794">
        <v>745.21</v>
      </c>
      <c r="AJ137" s="1794">
        <v>0</v>
      </c>
      <c r="AK137" s="1794">
        <v>0</v>
      </c>
      <c r="AL137" s="1794">
        <v>0</v>
      </c>
      <c r="AM137" s="1794">
        <v>0</v>
      </c>
      <c r="AN137" s="1797"/>
      <c r="AO137" s="1797"/>
      <c r="AP137" s="1808">
        <f t="shared" si="75"/>
        <v>1.2904556628620001</v>
      </c>
      <c r="AQ137" s="1810">
        <f>IF(AP137&gt;[11]核心假设及结论!$B$59,[11]核心假设及结论!$D$59,IF(AP137&lt;=[11]核心假设及结论!$B$58,[11]核心假设及结论!$D$57,[11]核心假设及结论!$D$58))</f>
        <v>1.0069999999999999</v>
      </c>
      <c r="AR137" s="1809">
        <f t="shared" si="76"/>
        <v>714.79</v>
      </c>
      <c r="AS137" s="1809">
        <f>AH137*(AS$2&lt;=YEAR($K137))+AR137*$AQ137*(AS$2=YEAR($K137)+1)+INDEX([11]核心假设及结论!$E$17:$E$21,MATCH($D137,[11]核心假设及结论!$B$17:$B$21,0))*(AS$2&gt;YEAR($K137)+1)*AR137</f>
        <v>730</v>
      </c>
      <c r="AT137" s="1809">
        <f>AI137*(AT$2&lt;=YEAR($K137))+AS137*$AQ137*(AT$2=YEAR($K137)+1)+INDEX([11]核心假设及结论!$E$17:$E$21,MATCH($D137,[11]核心假设及结论!$B$17:$B$21,0))*(AT$2&gt;YEAR($K137)+1)*AS137</f>
        <v>745.21</v>
      </c>
      <c r="AU137" s="1811">
        <f>AJ137*(AU$2&lt;=YEAR($K137))+AT137*$AQ137*(AU$2=YEAR($K137)+1)+INDEX([11]核心假设及结论!$E$17:$E$21,MATCH($D137,[11]核心假设及结论!$B$17:$B$21,0))*(AU$2&gt;YEAR($K137)+1)*AT137</f>
        <v>750.42646999999999</v>
      </c>
      <c r="AV137" s="1809">
        <f>AK137*(AV$2&lt;=YEAR($K137))+AU137*$AQ137*(AV$2=YEAR($K137)+1)+INDEX([11]核心假设及结论!$E$17:$E$21,MATCH($D137,[11]核心假设及结论!$B$17:$B$21,0))*(AV$2&gt;YEAR($K137)+1)*AU137</f>
        <v>770.74388471360237</v>
      </c>
      <c r="AW137" s="1809">
        <f>AL137*(AW$2&lt;=YEAR($K137))+AV137*$AQ137*(AW$2=YEAR($K137)+1)+INDEX([11]核心假设及结论!$E$17:$E$21,MATCH($D137,[11]核心假设及结论!$B$17:$B$21,0))*(AW$2&gt;YEAR($K137)+1)*AV137</f>
        <v>791.61138308915838</v>
      </c>
      <c r="AX137" s="1809">
        <f>AM137*(AX$2&lt;=YEAR($K137))+AW137*$AQ137*(AX$2=YEAR($K137)+1)+INDEX([11]核心假设及结论!$E$17:$E$21,MATCH($D137,[11]核心假设及结论!$B$17:$B$21,0))*(AX$2&gt;YEAR($K137)+1)*AW137</f>
        <v>813.04385836182678</v>
      </c>
      <c r="AZ137" s="1746">
        <f t="shared" si="66"/>
        <v>46446</v>
      </c>
      <c r="BA137" s="1817">
        <f t="shared" si="67"/>
        <v>45658</v>
      </c>
      <c r="BB137" s="1817">
        <f t="shared" si="68"/>
        <v>45716</v>
      </c>
      <c r="BC137" s="1817">
        <f t="shared" si="69"/>
        <v>46022</v>
      </c>
      <c r="BD137" s="1818">
        <f t="shared" si="70"/>
        <v>59</v>
      </c>
      <c r="BE137" s="1818">
        <f t="shared" si="71"/>
        <v>306</v>
      </c>
      <c r="BG137" s="1777">
        <f t="shared" si="58"/>
        <v>224.3737669150685</v>
      </c>
      <c r="BH137" s="1777">
        <f t="shared" si="56"/>
        <v>229.0645309150685</v>
      </c>
      <c r="BI137" s="1777">
        <f t="shared" si="56"/>
        <v>231.17147731640549</v>
      </c>
      <c r="BJ137" s="1777">
        <f t="shared" si="56"/>
        <v>236.68457143974942</v>
      </c>
      <c r="BK137" s="1777">
        <f t="shared" si="55"/>
        <v>243.09268574074503</v>
      </c>
      <c r="BL137" s="1777">
        <f t="shared" si="55"/>
        <v>249.67429647475626</v>
      </c>
      <c r="BM137" s="1777">
        <f t="shared" si="55"/>
        <v>40.531015970434133</v>
      </c>
      <c r="BO137" s="1739">
        <f t="shared" si="72"/>
        <v>2027</v>
      </c>
      <c r="BP137" s="1742">
        <f>_xlfn.IFNA(INDEX($AR137:$AX137,MATCH(BO137,$AR$2:$AX$2,0))*12/365*[11]核心假设及结论!$C$70*$H137,0)</f>
        <v>188895.42246575342</v>
      </c>
      <c r="BR137" s="1739">
        <f t="shared" si="77"/>
        <v>2031</v>
      </c>
      <c r="BS137" s="1742">
        <f>_xlfn.IFNA(INDEX($AR137:$AX137,MATCH(BR137,$AR$2:$AX$2,0))*12/365*[11]核心假设及结论!$C$70*$H137,0)</f>
        <v>206089.91171407182</v>
      </c>
      <c r="BU137" s="1739">
        <f t="shared" si="78"/>
        <v>2035</v>
      </c>
      <c r="BV137" s="1742">
        <f>_xlfn.IFNA(INDEX($AR137:$AX137,MATCH(BU137,$AR$2:$AX$2,0))*12/365*[11]核心假设及结论!$C$70*$H137,0)</f>
        <v>0</v>
      </c>
      <c r="BX137" s="1739">
        <f t="shared" si="79"/>
        <v>2039</v>
      </c>
      <c r="BY137" s="1742">
        <f>_xlfn.IFNA(INDEX($AR137:$AX137,MATCH(BX137,$AR$2:$AX$2,0))*12/365*[11]核心假设及结论!$C$70*$H137,0)</f>
        <v>0</v>
      </c>
      <c r="CA137" s="1739">
        <f t="shared" si="80"/>
        <v>2043</v>
      </c>
      <c r="CB137" s="1742">
        <f>_xlfn.IFNA(INDEX($AR137:$AX137,MATCH(CA137,$AR$2:$AX$2,0))*12/365*[11]核心假设及结论!$C$70*$H137,0)</f>
        <v>0</v>
      </c>
    </row>
    <row r="138" spans="1:80" ht="30" customHeight="1">
      <c r="A138" s="1756" t="s">
        <v>1666</v>
      </c>
      <c r="B138" s="1757" t="s">
        <v>1963</v>
      </c>
      <c r="C138" s="1756" t="s">
        <v>1964</v>
      </c>
      <c r="D138" s="1756" t="s">
        <v>1685</v>
      </c>
      <c r="E138" s="1758" t="s">
        <v>1920</v>
      </c>
      <c r="F138" s="1762"/>
      <c r="G138" s="1760" t="s">
        <v>1661</v>
      </c>
      <c r="H138" s="1761">
        <v>257</v>
      </c>
      <c r="I138" s="1761" t="s">
        <v>1913</v>
      </c>
      <c r="J138" s="1773">
        <v>45102</v>
      </c>
      <c r="K138" s="1773">
        <v>46562</v>
      </c>
      <c r="L138" s="1764">
        <f t="shared" si="62"/>
        <v>48</v>
      </c>
      <c r="M138" s="1774">
        <f t="shared" si="73"/>
        <v>150206.22</v>
      </c>
      <c r="N138" s="1775">
        <f t="shared" si="74"/>
        <v>471.46</v>
      </c>
      <c r="O138" s="1760">
        <v>121165.22</v>
      </c>
      <c r="P138" s="1776">
        <v>7.4999999999999997E-2</v>
      </c>
      <c r="Q138" s="1783">
        <f t="shared" si="63"/>
        <v>95</v>
      </c>
      <c r="R138" s="1784">
        <v>24415</v>
      </c>
      <c r="S138" s="1777">
        <f t="shared" si="64"/>
        <v>18</v>
      </c>
      <c r="T138" s="1784">
        <v>4626</v>
      </c>
      <c r="U138" s="1777"/>
      <c r="V138" s="1785">
        <v>702108.11333333305</v>
      </c>
      <c r="W138" s="1785">
        <f t="shared" si="65"/>
        <v>2731.9381841763934</v>
      </c>
      <c r="X138" s="1786">
        <f>(N138+Q138+S138)*H138/V138</f>
        <v>0.21393602658553534</v>
      </c>
      <c r="Y138" s="1789">
        <f>VLOOKUP(E138,[11]核心假设及结论!$C$25:$E$45,3,0)</f>
        <v>0.25</v>
      </c>
      <c r="Z138" s="1790">
        <f t="shared" si="60"/>
        <v>121165.22</v>
      </c>
      <c r="AA138" s="1790">
        <f t="shared" si="60"/>
        <v>125074.19</v>
      </c>
      <c r="AB138" s="1790">
        <f t="shared" si="60"/>
        <v>128983.16</v>
      </c>
      <c r="AC138" s="1790">
        <f t="shared" si="60"/>
        <v>0</v>
      </c>
      <c r="AD138" s="1790">
        <f t="shared" si="60"/>
        <v>0</v>
      </c>
      <c r="AE138" s="1790">
        <f t="shared" si="60"/>
        <v>0</v>
      </c>
      <c r="AF138" s="1790">
        <f t="shared" si="60"/>
        <v>0</v>
      </c>
      <c r="AG138" s="1794">
        <v>471.46</v>
      </c>
      <c r="AH138" s="1794">
        <v>486.67</v>
      </c>
      <c r="AI138" s="1794">
        <v>501.88</v>
      </c>
      <c r="AJ138" s="1794">
        <v>0</v>
      </c>
      <c r="AK138" s="1794">
        <v>0</v>
      </c>
      <c r="AL138" s="1794">
        <v>0</v>
      </c>
      <c r="AM138" s="1794">
        <v>0</v>
      </c>
      <c r="AN138" s="1797"/>
      <c r="AO138" s="1797"/>
      <c r="AP138" s="1808">
        <f t="shared" si="75"/>
        <v>0.85574410634214138</v>
      </c>
      <c r="AQ138" s="1810">
        <f>IF(AP138&gt;[11]核心假设及结论!$B$59,[11]核心假设及结论!$D$59,IF(AP138&lt;=[11]核心假设及结论!$B$58,[11]核心假设及结论!$D$57,[11]核心假设及结论!$D$58))</f>
        <v>1.0342640124442799</v>
      </c>
      <c r="AR138" s="1809">
        <f t="shared" si="76"/>
        <v>471.46</v>
      </c>
      <c r="AS138" s="1809">
        <f>AH138*(AS$2&lt;=YEAR($K138))+AR138*$AQ138*(AS$2=YEAR($K138)+1)+INDEX([11]核心假设及结论!$E$17:$E$21,MATCH($D138,[11]核心假设及结论!$B$17:$B$21,0))*(AS$2&gt;YEAR($K138)+1)*AR138</f>
        <v>486.67</v>
      </c>
      <c r="AT138" s="1809">
        <f>AI138*(AT$2&lt;=YEAR($K138))+AS138*$AQ138*(AT$2=YEAR($K138)+1)+INDEX([11]核心假设及结论!$E$17:$E$21,MATCH($D138,[11]核心假设及结论!$B$17:$B$21,0))*(AT$2&gt;YEAR($K138)+1)*AS138</f>
        <v>501.88</v>
      </c>
      <c r="AU138" s="1811">
        <f>AJ138*(AU$2&lt;=YEAR($K138))+AT138*$AQ138*(AU$2=YEAR($K138)+1)+INDEX([11]核心假设及结论!$E$17:$E$21,MATCH($D138,[11]核心假设及结论!$B$17:$B$21,0))*(AU$2&gt;YEAR($K138)+1)*AT138</f>
        <v>519.07642256553515</v>
      </c>
      <c r="AV138" s="1809">
        <f>AK138*(AV$2&lt;=YEAR($K138))+AU138*$AQ138*(AV$2=YEAR($K138)+1)+INDEX([11]核心假设及结论!$E$17:$E$21,MATCH($D138,[11]核心假设及结论!$B$17:$B$21,0))*(AV$2&gt;YEAR($K138)+1)*AU138</f>
        <v>533.13015250035085</v>
      </c>
      <c r="AW138" s="1809">
        <f>AL138*(AW$2&lt;=YEAR($K138))+AV138*$AQ138*(AW$2=YEAR($K138)+1)+INDEX([11]核心假设及结论!$E$17:$E$21,MATCH($D138,[11]核心假设及结论!$B$17:$B$21,0))*(AW$2&gt;YEAR($K138)+1)*AV138</f>
        <v>547.56438001990477</v>
      </c>
      <c r="AX138" s="1809">
        <f>AM138*(AX$2&lt;=YEAR($K138))+AW138*$AQ138*(AX$2=YEAR($K138)+1)+INDEX([11]核心假设及结论!$E$17:$E$21,MATCH($D138,[11]核心假设及结论!$B$17:$B$21,0))*(AX$2&gt;YEAR($K138)+1)*AW138</f>
        <v>562.38940690263314</v>
      </c>
      <c r="AZ138" s="1746">
        <f t="shared" si="66"/>
        <v>46562</v>
      </c>
      <c r="BA138" s="1817">
        <f t="shared" si="67"/>
        <v>45658</v>
      </c>
      <c r="BB138" s="1817">
        <f t="shared" si="68"/>
        <v>45832</v>
      </c>
      <c r="BC138" s="1817">
        <f t="shared" si="69"/>
        <v>46022</v>
      </c>
      <c r="BD138" s="1818">
        <f t="shared" si="70"/>
        <v>175</v>
      </c>
      <c r="BE138" s="1818">
        <f t="shared" si="71"/>
        <v>190</v>
      </c>
      <c r="BG138" s="1777">
        <f t="shared" si="58"/>
        <v>147.84003156164385</v>
      </c>
      <c r="BH138" s="1777">
        <f t="shared" si="56"/>
        <v>152.53079556164383</v>
      </c>
      <c r="BI138" s="1777">
        <f t="shared" si="56"/>
        <v>157.54045385383586</v>
      </c>
      <c r="BJ138" s="1777">
        <f t="shared" si="56"/>
        <v>162.33931216923972</v>
      </c>
      <c r="BK138" s="1777">
        <f t="shared" si="55"/>
        <v>166.73456641668571</v>
      </c>
      <c r="BL138" s="1777">
        <f t="shared" si="55"/>
        <v>171.24881993572865</v>
      </c>
      <c r="BM138" s="1777">
        <f t="shared" si="55"/>
        <v>83.156592576808535</v>
      </c>
      <c r="BO138" s="1739">
        <f t="shared" si="72"/>
        <v>2027</v>
      </c>
      <c r="BP138" s="1742">
        <f>_xlfn.IFNA(INDEX($AR138:$AX138,MATCH(BO138,$AR$2:$AX$2,0))*12/365*[11]核心假设及结论!$C$70*$H138,0)</f>
        <v>127216.26739726026</v>
      </c>
      <c r="BR138" s="1739">
        <f t="shared" si="77"/>
        <v>2031</v>
      </c>
      <c r="BS138" s="1742">
        <f>_xlfn.IFNA(INDEX($AR138:$AX138,MATCH(BR138,$AR$2:$AX$2,0))*12/365*[11]核心假设及结论!$C$70*$H138,0)</f>
        <v>142554.15870310031</v>
      </c>
      <c r="BU138" s="1739">
        <f t="shared" si="78"/>
        <v>2035</v>
      </c>
      <c r="BV138" s="1742">
        <f>_xlfn.IFNA(INDEX($AR138:$AX138,MATCH(BU138,$AR$2:$AX$2,0))*12/365*[11]核心假设及结论!$C$70*$H138,0)</f>
        <v>0</v>
      </c>
      <c r="BX138" s="1739">
        <f t="shared" si="79"/>
        <v>2039</v>
      </c>
      <c r="BY138" s="1742">
        <f>_xlfn.IFNA(INDEX($AR138:$AX138,MATCH(BX138,$AR$2:$AX$2,0))*12/365*[11]核心假设及结论!$C$70*$H138,0)</f>
        <v>0</v>
      </c>
      <c r="CA138" s="1739">
        <f t="shared" si="80"/>
        <v>2043</v>
      </c>
      <c r="CB138" s="1742">
        <f>_xlfn.IFNA(INDEX($AR138:$AX138,MATCH(CA138,$AR$2:$AX$2,0))*12/365*[11]核心假设及结论!$C$70*$H138,0)</f>
        <v>0</v>
      </c>
    </row>
    <row r="139" spans="1:80" ht="30" customHeight="1">
      <c r="A139" s="1756" t="s">
        <v>1687</v>
      </c>
      <c r="B139" s="1757" t="s">
        <v>1965</v>
      </c>
      <c r="C139" s="1756" t="s">
        <v>1966</v>
      </c>
      <c r="D139" s="1756" t="s">
        <v>1698</v>
      </c>
      <c r="E139" s="1758" t="s">
        <v>1698</v>
      </c>
      <c r="F139" s="1759"/>
      <c r="G139" s="1760" t="s">
        <v>1661</v>
      </c>
      <c r="H139" s="1761">
        <v>255</v>
      </c>
      <c r="I139" s="1761" t="s">
        <v>1913</v>
      </c>
      <c r="J139" s="1773">
        <v>45630</v>
      </c>
      <c r="K139" s="1773">
        <v>49202</v>
      </c>
      <c r="L139" s="1764">
        <f t="shared" si="62"/>
        <v>118</v>
      </c>
      <c r="M139" s="1774">
        <f t="shared" si="73"/>
        <v>88976.710999999996</v>
      </c>
      <c r="N139" s="1775">
        <f t="shared" si="74"/>
        <v>230.25416666666666</v>
      </c>
      <c r="O139" s="1760">
        <v>58714.8125</v>
      </c>
      <c r="P139" s="1776">
        <v>8.5000000000000006E-2</v>
      </c>
      <c r="Q139" s="1783">
        <f t="shared" si="63"/>
        <v>108.86234705882353</v>
      </c>
      <c r="R139" s="1784">
        <v>27759.898499999999</v>
      </c>
      <c r="S139" s="1777">
        <f t="shared" si="64"/>
        <v>9.8117647058823536</v>
      </c>
      <c r="T139" s="1784">
        <v>2502</v>
      </c>
      <c r="U139" s="1777"/>
      <c r="V139" s="1785"/>
      <c r="W139" s="1785">
        <f t="shared" si="65"/>
        <v>0</v>
      </c>
      <c r="X139" s="1786" t="e">
        <f t="shared" ref="X139:X146" si="81">(N139+Q139)*H139/V139</f>
        <v>#DIV/0!</v>
      </c>
      <c r="Y139" s="1789">
        <f>VLOOKUP(E139,[11]核心假设及结论!$C$25:$E$45,3,0)</f>
        <v>0.2</v>
      </c>
      <c r="Z139" s="1790">
        <f t="shared" si="60"/>
        <v>58714.812500000087</v>
      </c>
      <c r="AA139" s="1790">
        <f t="shared" si="60"/>
        <v>98778.124999999898</v>
      </c>
      <c r="AB139" s="1790">
        <f t="shared" si="60"/>
        <v>98778.124999999898</v>
      </c>
      <c r="AC139" s="1790">
        <f t="shared" si="60"/>
        <v>104704.81249999993</v>
      </c>
      <c r="AD139" s="1790">
        <f t="shared" si="60"/>
        <v>104704.81249999993</v>
      </c>
      <c r="AE139" s="1790">
        <f t="shared" si="60"/>
        <v>110894.90833333327</v>
      </c>
      <c r="AF139" s="1790">
        <f t="shared" si="60"/>
        <v>110894.90833333327</v>
      </c>
      <c r="AG139" s="1794">
        <v>230.254166666667</v>
      </c>
      <c r="AH139" s="1794">
        <v>387.36519607843098</v>
      </c>
      <c r="AI139" s="1794">
        <v>387.36519607843098</v>
      </c>
      <c r="AJ139" s="1794">
        <v>410.60710784313699</v>
      </c>
      <c r="AK139" s="1794">
        <v>410.60710784313699</v>
      </c>
      <c r="AL139" s="1794">
        <v>434.88199346405202</v>
      </c>
      <c r="AM139" s="1794">
        <v>434.88199346405202</v>
      </c>
      <c r="AN139" s="1797"/>
      <c r="AO139" s="1797"/>
      <c r="AP139" s="1808">
        <f t="shared" si="75"/>
        <v>1.25</v>
      </c>
      <c r="AQ139" s="1812">
        <f>IF(AP139&gt;[11]核心假设及结论!$B$62,[11]核心假设及结论!$D$62,IF(AP139&lt;=[11]核心假设及结论!$B$61,[11]核心假设及结论!$D$60,[11]核心假设及结论!$D$61))</f>
        <v>1.0489999999999999</v>
      </c>
      <c r="AR139" s="1809">
        <f t="shared" si="76"/>
        <v>230.254166666667</v>
      </c>
      <c r="AS139" s="1809">
        <f>AH139*(AS$2&lt;=YEAR($K139))+AR139*$AQ139*(AS$2=YEAR($K139)+1)+INDEX([11]核心假设及结论!$E$17:$E$21,MATCH($D139,[11]核心假设及结论!$B$17:$B$21,0))*(AS$2&gt;YEAR($K139)+1)*AR139</f>
        <v>387.36519607843098</v>
      </c>
      <c r="AT139" s="1809">
        <f>AI139*(AT$2&lt;=YEAR($K139))+AS139*$AQ139*(AT$2=YEAR($K139)+1)+INDEX([11]核心假设及结论!$E$17:$E$21,MATCH($D139,[11]核心假设及结论!$B$17:$B$21,0))*(AT$2&gt;YEAR($K139)+1)*AS139</f>
        <v>387.36519607843098</v>
      </c>
      <c r="AU139" s="1809">
        <f>AJ139*(AU$2&lt;=YEAR($K139))+AT139*$AQ139*(AU$2=YEAR($K139)+1)+INDEX([11]核心假设及结论!$E$17:$E$21,MATCH($D139,[11]核心假设及结论!$B$17:$B$21,0))*(AU$2&gt;YEAR($K139)+1)*AT139</f>
        <v>410.60710784313699</v>
      </c>
      <c r="AV139" s="1809">
        <f>AK139*(AV$2&lt;=YEAR($K139))+AU139*$AQ139*(AV$2=YEAR($K139)+1)+INDEX([11]核心假设及结论!$E$17:$E$21,MATCH($D139,[11]核心假设及结论!$B$17:$B$21,0))*(AV$2&gt;YEAR($K139)+1)*AU139</f>
        <v>410.60710784313699</v>
      </c>
      <c r="AW139" s="1809">
        <f>AL139*(AW$2&lt;=YEAR($K139))+AV139*$AQ139*(AW$2=YEAR($K139)+1)+INDEX([11]核心假设及结论!$E$17:$E$21,MATCH($D139,[11]核心假设及结论!$B$17:$B$21,0))*(AW$2&gt;YEAR($K139)+1)*AV139</f>
        <v>434.88199346405202</v>
      </c>
      <c r="AX139" s="1809">
        <f>AM139*(AX$2&lt;=YEAR($K139))+AW139*$AQ139*(AX$2=YEAR($K139)+1)+INDEX([11]核心假设及结论!$E$17:$E$21,MATCH($D139,[11]核心假设及结论!$B$17:$B$21,0))*(AX$2&gt;YEAR($K139)+1)*AW139</f>
        <v>434.88199346405202</v>
      </c>
      <c r="AZ139" s="1746">
        <f t="shared" si="66"/>
        <v>49202</v>
      </c>
      <c r="BA139" s="1817">
        <f t="shared" si="67"/>
        <v>45658</v>
      </c>
      <c r="BB139" s="1817">
        <f t="shared" si="68"/>
        <v>45915</v>
      </c>
      <c r="BC139" s="1817">
        <f t="shared" si="69"/>
        <v>46022</v>
      </c>
      <c r="BD139" s="1818">
        <f t="shared" si="70"/>
        <v>258</v>
      </c>
      <c r="BE139" s="1818">
        <f t="shared" si="71"/>
        <v>107</v>
      </c>
      <c r="BG139" s="1777">
        <f t="shared" si="58"/>
        <v>84.551280000000034</v>
      </c>
      <c r="BH139" s="1777">
        <f t="shared" si="56"/>
        <v>118.53374999999988</v>
      </c>
      <c r="BI139" s="1777">
        <f t="shared" si="56"/>
        <v>120.6186449999999</v>
      </c>
      <c r="BJ139" s="1777">
        <f t="shared" si="56"/>
        <v>125.6457749999999</v>
      </c>
      <c r="BK139" s="1777">
        <f t="shared" si="55"/>
        <v>127.82333199999991</v>
      </c>
      <c r="BL139" s="1777">
        <f t="shared" si="55"/>
        <v>133.07388999999989</v>
      </c>
      <c r="BM139" s="1777">
        <f t="shared" si="55"/>
        <v>94.063187999999926</v>
      </c>
      <c r="BO139" s="1739">
        <f t="shared" si="72"/>
        <v>2034</v>
      </c>
      <c r="BP139" s="1742">
        <f>_xlfn.IFNA(INDEX($AR139:$AX139,MATCH(BO139,$AR$2:$AX$2,0))*12/365*[11]核心假设及结论!$C$70*$H139,0)</f>
        <v>0</v>
      </c>
      <c r="BR139" s="1739">
        <f t="shared" si="77"/>
        <v>2044</v>
      </c>
      <c r="BS139" s="1742">
        <f>_xlfn.IFNA(INDEX($AR139:$AX139,MATCH(BR139,$AR$2:$AX$2,0))*12/365*[11]核心假设及结论!$C$70*$H139,0)</f>
        <v>0</v>
      </c>
      <c r="BU139" s="1739">
        <f t="shared" si="78"/>
        <v>2054</v>
      </c>
      <c r="BV139" s="1742">
        <f>_xlfn.IFNA(INDEX($AR139:$AX139,MATCH(BU139,$AR$2:$AX$2,0))*12/365*[11]核心假设及结论!$C$70*$H139,0)</f>
        <v>0</v>
      </c>
      <c r="BX139" s="1739">
        <f t="shared" si="79"/>
        <v>2064</v>
      </c>
      <c r="BY139" s="1742">
        <f>_xlfn.IFNA(INDEX($AR139:$AX139,MATCH(BX139,$AR$2:$AX$2,0))*12/365*[11]核心假设及结论!$C$70*$H139,0)</f>
        <v>0</v>
      </c>
      <c r="CA139" s="1739">
        <f t="shared" si="80"/>
        <v>2074</v>
      </c>
      <c r="CB139" s="1742">
        <f>_xlfn.IFNA(INDEX($AR139:$AX139,MATCH(CA139,$AR$2:$AX$2,0))*12/365*[11]核心假设及结论!$C$70*$H139,0)</f>
        <v>0</v>
      </c>
    </row>
    <row r="140" spans="1:80" ht="30" customHeight="1">
      <c r="A140" s="1756" t="s">
        <v>1666</v>
      </c>
      <c r="B140" s="1757" t="s">
        <v>1967</v>
      </c>
      <c r="C140" s="1756" t="s">
        <v>1968</v>
      </c>
      <c r="D140" s="1756" t="s">
        <v>1698</v>
      </c>
      <c r="E140" s="1758" t="s">
        <v>1698</v>
      </c>
      <c r="F140" s="1759"/>
      <c r="G140" s="1760" t="s">
        <v>1661</v>
      </c>
      <c r="H140" s="1761">
        <v>254</v>
      </c>
      <c r="I140" s="1761" t="s">
        <v>1913</v>
      </c>
      <c r="J140" s="1773">
        <v>45507</v>
      </c>
      <c r="K140" s="1773">
        <v>46967</v>
      </c>
      <c r="L140" s="1764">
        <f t="shared" si="62"/>
        <v>48</v>
      </c>
      <c r="M140" s="1774">
        <f t="shared" si="73"/>
        <v>167767</v>
      </c>
      <c r="N140" s="1775">
        <f t="shared" si="74"/>
        <v>547.5</v>
      </c>
      <c r="O140" s="1760">
        <v>139065</v>
      </c>
      <c r="P140" s="1776">
        <v>0.1</v>
      </c>
      <c r="Q140" s="1783">
        <f t="shared" si="63"/>
        <v>95</v>
      </c>
      <c r="R140" s="1784">
        <v>24130</v>
      </c>
      <c r="S140" s="1777">
        <f t="shared" si="64"/>
        <v>18</v>
      </c>
      <c r="T140" s="1784">
        <v>4572</v>
      </c>
      <c r="U140" s="1777"/>
      <c r="V140" s="1785"/>
      <c r="W140" s="1785">
        <f t="shared" si="65"/>
        <v>0</v>
      </c>
      <c r="X140" s="1786" t="e">
        <f t="shared" si="81"/>
        <v>#DIV/0!</v>
      </c>
      <c r="Y140" s="1789">
        <f>VLOOKUP(E140,[11]核心假设及结论!$C$25:$E$45,3,0)</f>
        <v>0.2</v>
      </c>
      <c r="Z140" s="1790">
        <f t="shared" si="60"/>
        <v>139065</v>
      </c>
      <c r="AA140" s="1790">
        <f t="shared" si="60"/>
        <v>146019.51999999999</v>
      </c>
      <c r="AB140" s="1790">
        <f t="shared" si="60"/>
        <v>152971.5</v>
      </c>
      <c r="AC140" s="1790">
        <f t="shared" ref="AC140:AF201" si="82">AJ140*$H140</f>
        <v>160698.18</v>
      </c>
      <c r="AD140" s="1790">
        <f t="shared" si="82"/>
        <v>0</v>
      </c>
      <c r="AE140" s="1790">
        <f t="shared" si="82"/>
        <v>0</v>
      </c>
      <c r="AF140" s="1790">
        <f t="shared" si="82"/>
        <v>0</v>
      </c>
      <c r="AG140" s="1794">
        <v>547.5</v>
      </c>
      <c r="AH140" s="1794">
        <v>574.88</v>
      </c>
      <c r="AI140" s="1794">
        <v>602.25</v>
      </c>
      <c r="AJ140" s="1794">
        <v>632.66999999999996</v>
      </c>
      <c r="AK140" s="1794">
        <v>0</v>
      </c>
      <c r="AL140" s="1794">
        <v>0</v>
      </c>
      <c r="AM140" s="1794">
        <v>0</v>
      </c>
      <c r="AN140" s="1797"/>
      <c r="AO140" s="1797"/>
      <c r="AP140" s="1808">
        <f t="shared" si="75"/>
        <v>1.25</v>
      </c>
      <c r="AQ140" s="1812">
        <f>IF(AP140&gt;[11]核心假设及结论!$B$62,[11]核心假设及结论!$D$62,IF(AP140&lt;=[11]核心假设及结论!$B$61,[11]核心假设及结论!$D$60,[11]核心假设及结论!$D$61))</f>
        <v>1.0489999999999999</v>
      </c>
      <c r="AR140" s="1809">
        <f t="shared" si="76"/>
        <v>547.5</v>
      </c>
      <c r="AS140" s="1809">
        <f>AH140*(AS$2&lt;=YEAR($K140))+AR140*$AQ140*(AS$2=YEAR($K140)+1)+INDEX([11]核心假设及结论!$E$17:$E$21,MATCH($D140,[11]核心假设及结论!$B$17:$B$21,0))*(AS$2&gt;YEAR($K140)+1)*AR140</f>
        <v>574.88</v>
      </c>
      <c r="AT140" s="1809">
        <f>AI140*(AT$2&lt;=YEAR($K140))+AS140*$AQ140*(AT$2=YEAR($K140)+1)+INDEX([11]核心假设及结论!$E$17:$E$21,MATCH($D140,[11]核心假设及结论!$B$17:$B$21,0))*(AT$2&gt;YEAR($K140)+1)*AS140</f>
        <v>602.25</v>
      </c>
      <c r="AU140" s="1809">
        <f>AJ140*(AU$2&lt;=YEAR($K140))+AT140*$AQ140*(AU$2=YEAR($K140)+1)+INDEX([11]核心假设及结论!$E$17:$E$21,MATCH($D140,[11]核心假设及结论!$B$17:$B$21,0))*(AU$2&gt;YEAR($K140)+1)*AT140</f>
        <v>632.66999999999996</v>
      </c>
      <c r="AV140" s="1811">
        <f>AK140*(AV$2&lt;=YEAR($K140))+AU140*$AQ140*(AV$2=YEAR($K140)+1)+INDEX([11]核心假设及结论!$E$17:$E$21,MATCH($D140,[11]核心假设及结论!$B$17:$B$21,0))*(AV$2&gt;YEAR($K140)+1)*AU140</f>
        <v>663.67082999999991</v>
      </c>
      <c r="AW140" s="1809">
        <f>AL140*(AW$2&lt;=YEAR($K140))+AV140*$AQ140*(AW$2=YEAR($K140)+1)+INDEX([11]核心假设及结论!$E$17:$E$21,MATCH($D140,[11]核心假设及结论!$B$17:$B$21,0))*(AW$2&gt;YEAR($K140)+1)*AV140</f>
        <v>683.99070883045181</v>
      </c>
      <c r="AX140" s="1809">
        <f>AM140*(AX$2&lt;=YEAR($K140))+AW140*$AQ140*(AX$2=YEAR($K140)+1)+INDEX([11]核心假设及结论!$E$17:$E$21,MATCH($D140,[11]核心假设及结论!$B$17:$B$21,0))*(AX$2&gt;YEAR($K140)+1)*AW140</f>
        <v>704.93272962800552</v>
      </c>
      <c r="AZ140" s="1746">
        <f t="shared" si="66"/>
        <v>46967</v>
      </c>
      <c r="BA140" s="1817">
        <f t="shared" si="67"/>
        <v>45658</v>
      </c>
      <c r="BB140" s="1817">
        <f t="shared" si="68"/>
        <v>45871</v>
      </c>
      <c r="BC140" s="1817">
        <f t="shared" si="69"/>
        <v>46022</v>
      </c>
      <c r="BD140" s="1818">
        <f t="shared" si="70"/>
        <v>214</v>
      </c>
      <c r="BE140" s="1818">
        <f t="shared" si="71"/>
        <v>151</v>
      </c>
      <c r="BG140" s="1777">
        <f t="shared" si="58"/>
        <v>170.33049047671233</v>
      </c>
      <c r="BH140" s="1777">
        <f t="shared" si="56"/>
        <v>178.67465352328765</v>
      </c>
      <c r="BI140" s="1777">
        <f t="shared" si="56"/>
        <v>187.40162031780821</v>
      </c>
      <c r="BJ140" s="1777">
        <f t="shared" si="56"/>
        <v>196.74687627557259</v>
      </c>
      <c r="BK140" s="1777">
        <f t="shared" si="55"/>
        <v>204.8491110639884</v>
      </c>
      <c r="BL140" s="1777">
        <f t="shared" si="55"/>
        <v>211.12105933591417</v>
      </c>
      <c r="BM140" s="1777">
        <f t="shared" si="55"/>
        <v>125.97476203285437</v>
      </c>
      <c r="BO140" s="1739">
        <f t="shared" si="72"/>
        <v>2028</v>
      </c>
      <c r="BP140" s="1742">
        <f>_xlfn.IFNA(INDEX($AR140:$AX140,MATCH(BO140,$AR$2:$AX$2,0))*12/365*[11]核心假设及结论!$C$70*$H140,0)</f>
        <v>158496.83506849312</v>
      </c>
      <c r="BR140" s="1739">
        <f t="shared" si="77"/>
        <v>2032</v>
      </c>
      <c r="BS140" s="1742">
        <f>_xlfn.IFNA(INDEX($AR140:$AX140,MATCH(BR140,$AR$2:$AX$2,0))*12/365*[11]核心假设及结论!$C$70*$H140,0)</f>
        <v>0</v>
      </c>
      <c r="BU140" s="1739">
        <f t="shared" si="78"/>
        <v>2036</v>
      </c>
      <c r="BV140" s="1742">
        <f>_xlfn.IFNA(INDEX($AR140:$AX140,MATCH(BU140,$AR$2:$AX$2,0))*12/365*[11]核心假设及结论!$C$70*$H140,0)</f>
        <v>0</v>
      </c>
      <c r="BX140" s="1739">
        <f t="shared" si="79"/>
        <v>2040</v>
      </c>
      <c r="BY140" s="1742">
        <f>_xlfn.IFNA(INDEX($AR140:$AX140,MATCH(BX140,$AR$2:$AX$2,0))*12/365*[11]核心假设及结论!$C$70*$H140,0)</f>
        <v>0</v>
      </c>
      <c r="CA140" s="1739">
        <f t="shared" si="80"/>
        <v>2044</v>
      </c>
      <c r="CB140" s="1742">
        <f>_xlfn.IFNA(INDEX($AR140:$AX140,MATCH(CA140,$AR$2:$AX$2,0))*12/365*[11]核心假设及结论!$C$70*$H140,0)</f>
        <v>0</v>
      </c>
    </row>
    <row r="141" spans="1:80" ht="30" customHeight="1">
      <c r="A141" s="1756" t="s">
        <v>1662</v>
      </c>
      <c r="B141" s="1757" t="s">
        <v>1969</v>
      </c>
      <c r="C141" s="1756" t="s">
        <v>1970</v>
      </c>
      <c r="D141" s="1756" t="s">
        <v>1685</v>
      </c>
      <c r="E141" s="1758" t="s">
        <v>1871</v>
      </c>
      <c r="F141" s="1759"/>
      <c r="G141" s="1760" t="s">
        <v>1661</v>
      </c>
      <c r="H141" s="1761">
        <v>252</v>
      </c>
      <c r="I141" s="1761" t="s">
        <v>1913</v>
      </c>
      <c r="J141" s="1773">
        <v>44865</v>
      </c>
      <c r="K141" s="1773">
        <v>47056</v>
      </c>
      <c r="L141" s="1764">
        <f t="shared" si="62"/>
        <v>72</v>
      </c>
      <c r="M141" s="1774">
        <f t="shared" si="73"/>
        <v>292701.60000000003</v>
      </c>
      <c r="N141" s="1775">
        <f t="shared" si="74"/>
        <v>999.19999999999993</v>
      </c>
      <c r="O141" s="1760">
        <v>251798.39999999999</v>
      </c>
      <c r="P141" s="1776" t="s">
        <v>1971</v>
      </c>
      <c r="Q141" s="1783">
        <f t="shared" si="63"/>
        <v>135.71428571428572</v>
      </c>
      <c r="R141" s="1784">
        <v>34200</v>
      </c>
      <c r="S141" s="1777">
        <f t="shared" si="64"/>
        <v>26.599999999999998</v>
      </c>
      <c r="T141" s="1784">
        <v>6703.2</v>
      </c>
      <c r="U141" s="1777"/>
      <c r="V141" s="1785">
        <v>7131664.0833333302</v>
      </c>
      <c r="W141" s="1785">
        <f t="shared" si="65"/>
        <v>28300.254298941785</v>
      </c>
      <c r="X141" s="1786">
        <f t="shared" si="81"/>
        <v>4.0102617938550564E-2</v>
      </c>
      <c r="Y141" s="1789">
        <f>VLOOKUP(E141,[11]核心假设及结论!$C$25:$E$45,3,0)</f>
        <v>0.2</v>
      </c>
      <c r="Z141" s="1790">
        <f t="shared" ref="Z141:AF203" si="83">AG141*$H141</f>
        <v>285490.83333333279</v>
      </c>
      <c r="AA141" s="1790">
        <f t="shared" si="83"/>
        <v>294055.55833333428</v>
      </c>
      <c r="AB141" s="1790">
        <f t="shared" si="83"/>
        <v>301741.8499999991</v>
      </c>
      <c r="AC141" s="1790">
        <f t="shared" si="82"/>
        <v>313051.67916666588</v>
      </c>
      <c r="AD141" s="1790">
        <f t="shared" si="82"/>
        <v>0</v>
      </c>
      <c r="AE141" s="1790">
        <f t="shared" si="82"/>
        <v>0</v>
      </c>
      <c r="AF141" s="1790">
        <f t="shared" si="82"/>
        <v>0</v>
      </c>
      <c r="AG141" s="1794">
        <v>1132.9001322751301</v>
      </c>
      <c r="AH141" s="1794">
        <v>1166.8871362433899</v>
      </c>
      <c r="AI141" s="1794">
        <v>1197.38829365079</v>
      </c>
      <c r="AJ141" s="1794">
        <v>1242.2685681216899</v>
      </c>
      <c r="AK141" s="1794">
        <v>0</v>
      </c>
      <c r="AL141" s="1794">
        <v>0</v>
      </c>
      <c r="AM141" s="1794">
        <v>0</v>
      </c>
      <c r="AN141" s="1797"/>
      <c r="AO141" s="1797"/>
      <c r="AP141" s="1808">
        <f t="shared" si="75"/>
        <v>0.20051308969275281</v>
      </c>
      <c r="AQ141" s="1810">
        <f>IF(AP141&gt;[11]核心假设及结论!$B$59,[11]核心假设及结论!$D$59,IF(AP141&lt;=[11]核心假设及结论!$B$58,[11]核心假设及结论!$D$57,[11]核心假设及结论!$D$58))</f>
        <v>1.0342640124442799</v>
      </c>
      <c r="AR141" s="1809">
        <f t="shared" si="76"/>
        <v>1132.9001322751301</v>
      </c>
      <c r="AS141" s="1809">
        <f>AH141*(AS$2&lt;=YEAR($K141))+AR141*$AQ141*(AS$2=YEAR($K141)+1)+INDEX([11]核心假设及结论!$E$17:$E$21,MATCH($D141,[11]核心假设及结论!$B$17:$B$21,0))*(AS$2&gt;YEAR($K141)+1)*AR141</f>
        <v>1166.8871362433899</v>
      </c>
      <c r="AT141" s="1809">
        <f>AI141*(AT$2&lt;=YEAR($K141))+AS141*$AQ141*(AT$2=YEAR($K141)+1)+INDEX([11]核心假设及结论!$E$17:$E$21,MATCH($D141,[11]核心假设及结论!$B$17:$B$21,0))*(AT$2&gt;YEAR($K141)+1)*AS141</f>
        <v>1197.38829365079</v>
      </c>
      <c r="AU141" s="1809">
        <f>AJ141*(AU$2&lt;=YEAR($K141))+AT141*$AQ141*(AU$2=YEAR($K141)+1)+INDEX([11]核心假设及结论!$E$17:$E$21,MATCH($D141,[11]核心假设及结论!$B$17:$B$21,0))*(AU$2&gt;YEAR($K141)+1)*AT141</f>
        <v>1242.2685681216899</v>
      </c>
      <c r="AV141" s="1811">
        <f>AK141*(AV$2&lt;=YEAR($K141))+AU141*$AQ141*(AV$2=YEAR($K141)+1)+INDEX([11]核心假设及结论!$E$17:$E$21,MATCH($D141,[11]核心假设及结论!$B$17:$B$21,0))*(AV$2&gt;YEAR($K141)+1)*AU141</f>
        <v>1284.8336737989493</v>
      </c>
      <c r="AW141" s="1809">
        <f>AL141*(AW$2&lt;=YEAR($K141))+AV141*$AQ141*(AW$2=YEAR($K141)+1)+INDEX([11]核心假设及结论!$E$17:$E$21,MATCH($D141,[11]核心假设及结论!$B$17:$B$21,0))*(AW$2&gt;YEAR($K141)+1)*AV141</f>
        <v>1319.6198915460054</v>
      </c>
      <c r="AX141" s="1809">
        <f>AM141*(AX$2&lt;=YEAR($K141))+AW141*$AQ141*(AX$2=YEAR($K141)+1)+INDEX([11]核心假设及结论!$E$17:$E$21,MATCH($D141,[11]核心假设及结论!$B$17:$B$21,0))*(AX$2&gt;YEAR($K141)+1)*AW141</f>
        <v>1355.3479284326297</v>
      </c>
      <c r="AZ141" s="1746">
        <f t="shared" si="66"/>
        <v>47056</v>
      </c>
      <c r="BA141" s="1817">
        <f t="shared" si="67"/>
        <v>45658</v>
      </c>
      <c r="BB141" s="1817">
        <f t="shared" si="68"/>
        <v>45960</v>
      </c>
      <c r="BC141" s="1817">
        <f t="shared" si="69"/>
        <v>46022</v>
      </c>
      <c r="BD141" s="1818">
        <f t="shared" si="70"/>
        <v>303</v>
      </c>
      <c r="BE141" s="1818">
        <f t="shared" si="71"/>
        <v>62</v>
      </c>
      <c r="BG141" s="1777">
        <f t="shared" si="58"/>
        <v>344.33479599999959</v>
      </c>
      <c r="BH141" s="1777">
        <f t="shared" si="56"/>
        <v>354.43341000000072</v>
      </c>
      <c r="BI141" s="1777">
        <f t="shared" si="56"/>
        <v>364.39556599999901</v>
      </c>
      <c r="BJ141" s="1777">
        <f t="shared" si="56"/>
        <v>377.84843870773</v>
      </c>
      <c r="BK141" s="1777">
        <f t="shared" si="55"/>
        <v>390.32055183158587</v>
      </c>
      <c r="BL141" s="1777">
        <f t="shared" si="55"/>
        <v>400.88828210208726</v>
      </c>
      <c r="BM141" s="1777">
        <f t="shared" si="55"/>
        <v>340.23763207693764</v>
      </c>
      <c r="BO141" s="1739">
        <f t="shared" si="72"/>
        <v>2028</v>
      </c>
      <c r="BP141" s="1742">
        <f>_xlfn.IFNA(INDEX($AR141:$AX141,MATCH(BO141,$AR$2:$AX$2,0))*12/365*[11]核心假设及结论!$C$70*$H141,0)</f>
        <v>308763.29999999917</v>
      </c>
      <c r="BR141" s="1739">
        <f t="shared" si="77"/>
        <v>2034</v>
      </c>
      <c r="BS141" s="1742">
        <f>_xlfn.IFNA(INDEX($AR141:$AX141,MATCH(BR141,$AR$2:$AX$2,0))*12/365*[11]核心假设及结论!$C$70*$H141,0)</f>
        <v>0</v>
      </c>
      <c r="BU141" s="1739">
        <f t="shared" si="78"/>
        <v>2040</v>
      </c>
      <c r="BV141" s="1742">
        <f>_xlfn.IFNA(INDEX($AR141:$AX141,MATCH(BU141,$AR$2:$AX$2,0))*12/365*[11]核心假设及结论!$C$70*$H141,0)</f>
        <v>0</v>
      </c>
      <c r="BX141" s="1739">
        <f t="shared" si="79"/>
        <v>2046</v>
      </c>
      <c r="BY141" s="1742">
        <f>_xlfn.IFNA(INDEX($AR141:$AX141,MATCH(BX141,$AR$2:$AX$2,0))*12/365*[11]核心假设及结论!$C$70*$H141,0)</f>
        <v>0</v>
      </c>
      <c r="CA141" s="1739">
        <f t="shared" si="80"/>
        <v>2052</v>
      </c>
      <c r="CB141" s="1742">
        <f>_xlfn.IFNA(INDEX($AR141:$AX141,MATCH(CA141,$AR$2:$AX$2,0))*12/365*[11]核心假设及结论!$C$70*$H141,0)</f>
        <v>0</v>
      </c>
    </row>
    <row r="142" spans="1:80" ht="30" customHeight="1">
      <c r="A142" s="1756" t="s">
        <v>1662</v>
      </c>
      <c r="B142" s="1757" t="s">
        <v>1972</v>
      </c>
      <c r="C142" s="1756" t="s">
        <v>1973</v>
      </c>
      <c r="D142" s="1756" t="s">
        <v>1685</v>
      </c>
      <c r="E142" s="1758" t="s">
        <v>1692</v>
      </c>
      <c r="F142" s="1759"/>
      <c r="G142" s="1760" t="s">
        <v>1661</v>
      </c>
      <c r="H142" s="1761">
        <v>252</v>
      </c>
      <c r="I142" s="1761" t="s">
        <v>1913</v>
      </c>
      <c r="J142" s="1773">
        <v>45785</v>
      </c>
      <c r="K142" s="1773">
        <v>46820</v>
      </c>
      <c r="L142" s="1764">
        <f t="shared" si="62"/>
        <v>35</v>
      </c>
      <c r="M142" s="1774">
        <f t="shared" si="73"/>
        <v>227752.56</v>
      </c>
      <c r="N142" s="1775">
        <f t="shared" si="74"/>
        <v>790.78</v>
      </c>
      <c r="O142" s="1760">
        <v>199276.56</v>
      </c>
      <c r="P142" s="1776">
        <v>0.18</v>
      </c>
      <c r="Q142" s="1783">
        <f t="shared" si="63"/>
        <v>95</v>
      </c>
      <c r="R142" s="1784">
        <v>23940</v>
      </c>
      <c r="S142" s="1777">
        <f t="shared" si="64"/>
        <v>18</v>
      </c>
      <c r="T142" s="1784">
        <v>4536</v>
      </c>
      <c r="U142" s="1777"/>
      <c r="V142" s="1785">
        <v>546914.20916666696</v>
      </c>
      <c r="W142" s="1785">
        <f t="shared" si="65"/>
        <v>2170.2944808201069</v>
      </c>
      <c r="X142" s="1786">
        <f t="shared" si="81"/>
        <v>0.40813816181538787</v>
      </c>
      <c r="Y142" s="1789">
        <f>VLOOKUP(E142,[11]核心假设及结论!$C$25:$E$45,3,0)</f>
        <v>0.2</v>
      </c>
      <c r="Z142" s="1790">
        <f t="shared" si="83"/>
        <v>153299.16</v>
      </c>
      <c r="AA142" s="1790">
        <f t="shared" si="83"/>
        <v>160965</v>
      </c>
      <c r="AB142" s="1790">
        <f t="shared" si="83"/>
        <v>168630.84</v>
      </c>
      <c r="AC142" s="1790">
        <f t="shared" si="82"/>
        <v>168630.84</v>
      </c>
      <c r="AD142" s="1790">
        <f t="shared" si="82"/>
        <v>0</v>
      </c>
      <c r="AE142" s="1790">
        <f t="shared" si="82"/>
        <v>0</v>
      </c>
      <c r="AF142" s="1790">
        <f t="shared" si="82"/>
        <v>0</v>
      </c>
      <c r="AG142" s="1794">
        <v>608.33000000000004</v>
      </c>
      <c r="AH142" s="1794">
        <v>638.75</v>
      </c>
      <c r="AI142" s="1794">
        <v>669.17</v>
      </c>
      <c r="AJ142" s="1794">
        <v>669.17</v>
      </c>
      <c r="AK142" s="1794">
        <v>0</v>
      </c>
      <c r="AL142" s="1794">
        <v>0</v>
      </c>
      <c r="AM142" s="1794">
        <v>0</v>
      </c>
      <c r="AN142" s="1796"/>
      <c r="AO142" s="1796"/>
      <c r="AP142" s="1808">
        <f t="shared" si="75"/>
        <v>2.0406908090769393</v>
      </c>
      <c r="AQ142" s="1810">
        <f>IF(AP142&gt;[11]核心假设及结论!$B$59,[11]核心假设及结论!$D$59,IF(AP142&lt;=[11]核心假设及结论!$B$58,[11]核心假设及结论!$D$57,[11]核心假设及结论!$D$58))</f>
        <v>1</v>
      </c>
      <c r="AR142" s="1809">
        <f t="shared" si="76"/>
        <v>608.33000000000004</v>
      </c>
      <c r="AS142" s="1809">
        <f>AH142*(AS$2&lt;=YEAR($K142))+AR142*$AQ142*(AS$2=YEAR($K142)+1)+INDEX([11]核心假设及结论!$E$17:$E$21,MATCH($D142,[11]核心假设及结论!$B$17:$B$21,0))*(AS$2&gt;YEAR($K142)+1)*AR142</f>
        <v>638.75</v>
      </c>
      <c r="AT142" s="1809">
        <f>AI142*(AT$2&lt;=YEAR($K142))+AS142*$AQ142*(AT$2=YEAR($K142)+1)+INDEX([11]核心假设及结论!$E$17:$E$21,MATCH($D142,[11]核心假设及结论!$B$17:$B$21,0))*(AT$2&gt;YEAR($K142)+1)*AS142</f>
        <v>669.17</v>
      </c>
      <c r="AU142" s="1809">
        <f>AJ142*(AU$2&lt;=YEAR($K142))+AT142*$AQ142*(AU$2=YEAR($K142)+1)+INDEX([11]核心假设及结论!$E$17:$E$21,MATCH($D142,[11]核心假设及结论!$B$17:$B$21,0))*(AU$2&gt;YEAR($K142)+1)*AT142</f>
        <v>669.17</v>
      </c>
      <c r="AV142" s="1811">
        <f>AK142*(AV$2&lt;=YEAR($K142))+AU142*$AQ142*(AV$2=YEAR($K142)+1)+INDEX([11]核心假设及结论!$E$17:$E$21,MATCH($D142,[11]核心假设及结论!$B$17:$B$21,0))*(AV$2&gt;YEAR($K142)+1)*AU142</f>
        <v>669.17</v>
      </c>
      <c r="AW142" s="1809">
        <f>AL142*(AW$2&lt;=YEAR($K142))+AV142*$AQ142*(AW$2=YEAR($K142)+1)+INDEX([11]核心假设及结论!$E$17:$E$21,MATCH($D142,[11]核心假设及结论!$B$17:$B$21,0))*(AW$2&gt;YEAR($K142)+1)*AV142</f>
        <v>687.28743714730808</v>
      </c>
      <c r="AX142" s="1809">
        <f>AM142*(AX$2&lt;=YEAR($K142))+AW142*$AQ142*(AX$2=YEAR($K142)+1)+INDEX([11]核心假设及结论!$E$17:$E$21,MATCH($D142,[11]核心假设及结论!$B$17:$B$21,0))*(AX$2&gt;YEAR($K142)+1)*AW142</f>
        <v>705.89539468373505</v>
      </c>
      <c r="AZ142" s="1746">
        <f t="shared" si="66"/>
        <v>46820</v>
      </c>
      <c r="BA142" s="1817">
        <f t="shared" si="67"/>
        <v>45658</v>
      </c>
      <c r="BB142" s="1817">
        <f t="shared" si="68"/>
        <v>45724</v>
      </c>
      <c r="BC142" s="1817">
        <f t="shared" si="69"/>
        <v>46022</v>
      </c>
      <c r="BD142" s="1818">
        <f t="shared" si="70"/>
        <v>67</v>
      </c>
      <c r="BE142" s="1818">
        <f t="shared" si="71"/>
        <v>298</v>
      </c>
      <c r="BG142" s="1777">
        <f t="shared" si="58"/>
        <v>191.46941496986301</v>
      </c>
      <c r="BH142" s="1777">
        <f t="shared" si="56"/>
        <v>200.66842296986297</v>
      </c>
      <c r="BI142" s="1777">
        <f t="shared" si="56"/>
        <v>202.35700799999995</v>
      </c>
      <c r="BJ142" s="1777">
        <f t="shared" si="56"/>
        <v>202.35700799999995</v>
      </c>
      <c r="BK142" s="1777">
        <f t="shared" si="56"/>
        <v>206.83003943018383</v>
      </c>
      <c r="BL142" s="1777">
        <f t="shared" si="56"/>
        <v>212.4298574727614</v>
      </c>
      <c r="BM142" s="1777">
        <f t="shared" si="56"/>
        <v>39.183576472899233</v>
      </c>
      <c r="BO142" s="1739">
        <f t="shared" si="72"/>
        <v>2028</v>
      </c>
      <c r="BP142" s="1742">
        <f>_xlfn.IFNA(INDEX($AR142:$AX142,MATCH(BO142,$AR$2:$AX$2,0))*12/365*[11]核心假设及结论!$C$70*$H142,0)</f>
        <v>166320.82849315065</v>
      </c>
      <c r="BR142" s="1739">
        <f t="shared" si="77"/>
        <v>2031</v>
      </c>
      <c r="BS142" s="1742">
        <f>_xlfn.IFNA(INDEX($AR142:$AX142,MATCH(BR142,$AR$2:$AX$2,0))*12/365*[11]核心假设及结论!$C$70*$H142,0)</f>
        <v>175448.84987865327</v>
      </c>
      <c r="BU142" s="1739">
        <f t="shared" si="78"/>
        <v>2034</v>
      </c>
      <c r="BV142" s="1742">
        <f>_xlfn.IFNA(INDEX($AR142:$AX142,MATCH(BU142,$AR$2:$AX$2,0))*12/365*[11]核心假设及结论!$C$70*$H142,0)</f>
        <v>0</v>
      </c>
      <c r="BX142" s="1739">
        <f t="shared" si="79"/>
        <v>2037</v>
      </c>
      <c r="BY142" s="1742">
        <f>_xlfn.IFNA(INDEX($AR142:$AX142,MATCH(BX142,$AR$2:$AX$2,0))*12/365*[11]核心假设及结论!$C$70*$H142,0)</f>
        <v>0</v>
      </c>
      <c r="CA142" s="1739">
        <f t="shared" si="80"/>
        <v>2040</v>
      </c>
      <c r="CB142" s="1742">
        <f>_xlfn.IFNA(INDEX($AR142:$AX142,MATCH(CA142,$AR$2:$AX$2,0))*12/365*[11]核心假设及结论!$C$70*$H142,0)</f>
        <v>0</v>
      </c>
    </row>
    <row r="143" spans="1:80" ht="30" customHeight="1">
      <c r="A143" s="1756" t="s">
        <v>1687</v>
      </c>
      <c r="B143" s="1757" t="s">
        <v>1974</v>
      </c>
      <c r="C143" s="1756" t="s">
        <v>1975</v>
      </c>
      <c r="D143" s="1756" t="s">
        <v>1685</v>
      </c>
      <c r="E143" s="1758" t="s">
        <v>1692</v>
      </c>
      <c r="F143" s="1759"/>
      <c r="G143" s="1760" t="s">
        <v>1661</v>
      </c>
      <c r="H143" s="1761">
        <v>251</v>
      </c>
      <c r="I143" s="1761" t="s">
        <v>1913</v>
      </c>
      <c r="J143" s="1773">
        <v>45070</v>
      </c>
      <c r="K143" s="1773">
        <v>46165</v>
      </c>
      <c r="L143" s="1764">
        <f t="shared" si="62"/>
        <v>36</v>
      </c>
      <c r="M143" s="1774">
        <f t="shared" si="73"/>
        <v>188709.33</v>
      </c>
      <c r="N143" s="1775">
        <f t="shared" si="74"/>
        <v>638.82999999999993</v>
      </c>
      <c r="O143" s="1760">
        <v>160346.32999999999</v>
      </c>
      <c r="P143" s="1776">
        <v>0.18</v>
      </c>
      <c r="Q143" s="1783">
        <f t="shared" si="63"/>
        <v>95</v>
      </c>
      <c r="R143" s="1784">
        <v>23845</v>
      </c>
      <c r="S143" s="1777">
        <f t="shared" si="64"/>
        <v>18</v>
      </c>
      <c r="T143" s="1777">
        <v>4518</v>
      </c>
      <c r="U143" s="1777"/>
      <c r="V143" s="1785">
        <v>651494.21083333297</v>
      </c>
      <c r="W143" s="1785">
        <f t="shared" si="65"/>
        <v>2595.5944654714463</v>
      </c>
      <c r="X143" s="1786">
        <f t="shared" si="81"/>
        <v>0.28272136104540202</v>
      </c>
      <c r="Y143" s="1789">
        <f>VLOOKUP(E143,[11]核心假设及结论!$C$25:$E$45,3,0)</f>
        <v>0.2</v>
      </c>
      <c r="Z143" s="1790">
        <f t="shared" si="83"/>
        <v>160346.33000000002</v>
      </c>
      <c r="AA143" s="1790">
        <f t="shared" si="83"/>
        <v>168363.27</v>
      </c>
      <c r="AB143" s="1790">
        <f t="shared" si="83"/>
        <v>0</v>
      </c>
      <c r="AC143" s="1790">
        <f t="shared" si="82"/>
        <v>0</v>
      </c>
      <c r="AD143" s="1790">
        <f t="shared" si="82"/>
        <v>0</v>
      </c>
      <c r="AE143" s="1790">
        <f t="shared" si="82"/>
        <v>0</v>
      </c>
      <c r="AF143" s="1790">
        <f t="shared" si="82"/>
        <v>0</v>
      </c>
      <c r="AG143" s="1794">
        <v>638.83000000000004</v>
      </c>
      <c r="AH143" s="1794">
        <v>670.77</v>
      </c>
      <c r="AI143" s="1794">
        <v>0</v>
      </c>
      <c r="AJ143" s="1794">
        <v>0</v>
      </c>
      <c r="AK143" s="1794">
        <v>0</v>
      </c>
      <c r="AL143" s="1794">
        <v>0</v>
      </c>
      <c r="AM143" s="1794">
        <v>0</v>
      </c>
      <c r="AN143" s="1795"/>
      <c r="AO143" s="1795"/>
      <c r="AP143" s="1808">
        <f t="shared" si="75"/>
        <v>1.4136068052270101</v>
      </c>
      <c r="AQ143" s="1810">
        <f>IF(AP143&gt;[11]核心假设及结论!$B$59,[11]核心假设及结论!$D$59,IF(AP143&lt;=[11]核心假设及结论!$B$58,[11]核心假设及结论!$D$57,[11]核心假设及结论!$D$58))</f>
        <v>1.0069999999999999</v>
      </c>
      <c r="AR143" s="1809">
        <f t="shared" si="76"/>
        <v>638.83000000000004</v>
      </c>
      <c r="AS143" s="1809">
        <f>AH143*(AS$2&lt;=YEAR($K143))+AR143*$AQ143*(AS$2=YEAR($K143)+1)+INDEX([11]核心假设及结论!$E$17:$E$21,MATCH($D143,[11]核心假设及结论!$B$17:$B$21,0))*(AS$2&gt;YEAR($K143)+1)*AR143</f>
        <v>670.77</v>
      </c>
      <c r="AT143" s="1811">
        <f>AI143*(AT$2&lt;=YEAR($K143))+AS143*$AQ143*(AT$2=YEAR($K143)+1)+INDEX([11]核心假设及结论!$E$17:$E$21,MATCH($D143,[11]核心假设及结论!$B$17:$B$21,0))*(AT$2&gt;YEAR($K143)+1)*AS143</f>
        <v>675.46538999999996</v>
      </c>
      <c r="AU143" s="1809">
        <f>AJ143*(AU$2&lt;=YEAR($K143))+AT143*$AQ143*(AU$2=YEAR($K143)+1)+INDEX([11]核心假设及结论!$E$17:$E$21,MATCH($D143,[11]核心假设及结论!$B$17:$B$21,0))*(AU$2&gt;YEAR($K143)+1)*AT143</f>
        <v>693.75327162725011</v>
      </c>
      <c r="AV143" s="1809">
        <f>AK143*(AV$2&lt;=YEAR($K143))+AU143*$AQ143*(AV$2=YEAR($K143)+1)+INDEX([11]核心假设及结论!$E$17:$E$21,MATCH($D143,[11]核心假设及结论!$B$17:$B$21,0))*(AV$2&gt;YEAR($K143)+1)*AU143</f>
        <v>712.53628834115852</v>
      </c>
      <c r="AW143" s="1809">
        <f>AL143*(AW$2&lt;=YEAR($K143))+AV143*$AQ143*(AW$2=YEAR($K143)+1)+INDEX([11]核心假设及结论!$E$17:$E$21,MATCH($D143,[11]核心假设及结论!$B$17:$B$21,0))*(AW$2&gt;YEAR($K143)+1)*AV143</f>
        <v>731.8278456721763</v>
      </c>
      <c r="AX143" s="1809">
        <f>AM143*(AX$2&lt;=YEAR($K143))+AW143*$AQ143*(AX$2=YEAR($K143)+1)+INDEX([11]核心假设及结论!$E$17:$E$21,MATCH($D143,[11]核心假设及结论!$B$17:$B$21,0))*(AX$2&gt;YEAR($K143)+1)*AW143</f>
        <v>751.64171209866811</v>
      </c>
      <c r="AZ143" s="1746">
        <f t="shared" si="66"/>
        <v>46165</v>
      </c>
      <c r="BA143" s="1817">
        <f t="shared" si="67"/>
        <v>45658</v>
      </c>
      <c r="BB143" s="1817">
        <f t="shared" si="68"/>
        <v>45800</v>
      </c>
      <c r="BC143" s="1817">
        <f t="shared" si="69"/>
        <v>46022</v>
      </c>
      <c r="BD143" s="1818">
        <f t="shared" si="70"/>
        <v>143</v>
      </c>
      <c r="BE143" s="1818">
        <f t="shared" si="71"/>
        <v>222</v>
      </c>
      <c r="BG143" s="1777">
        <f t="shared" si="58"/>
        <v>198.2668639890411</v>
      </c>
      <c r="BH143" s="1777">
        <f t="shared" ref="BH143:BM185" si="84">(AS143*$BD143*$H143*12/365+$BE143*AT143*$H143*12/365)/10000</f>
        <v>202.89609886546847</v>
      </c>
      <c r="BI143" s="1777">
        <f t="shared" si="84"/>
        <v>206.80043521605577</v>
      </c>
      <c r="BJ143" s="1777">
        <f t="shared" si="84"/>
        <v>212.39945173960413</v>
      </c>
      <c r="BK143" s="1777">
        <f t="shared" si="84"/>
        <v>218.15005878566868</v>
      </c>
      <c r="BL143" s="1777">
        <f t="shared" si="84"/>
        <v>224.05636059048791</v>
      </c>
      <c r="BM143" s="1777">
        <f t="shared" si="84"/>
        <v>88.697016895421882</v>
      </c>
      <c r="BO143" s="1739">
        <f t="shared" si="72"/>
        <v>2026</v>
      </c>
      <c r="BP143" s="1742">
        <f>_xlfn.IFNA(INDEX($AR143:$AX143,MATCH(BO143,$AR$2:$AX$2,0))*12/365*[11]核心假设及结论!$C$70*$H143,0)</f>
        <v>166056.92383561641</v>
      </c>
      <c r="BR143" s="1739">
        <f t="shared" si="77"/>
        <v>2029</v>
      </c>
      <c r="BS143" s="1742">
        <f>_xlfn.IFNA(INDEX($AR143:$AX143,MATCH(BR143,$AR$2:$AX$2,0))*12/365*[11]核心假设及结论!$C$70*$H143,0)</f>
        <v>176396.654834266</v>
      </c>
      <c r="BU143" s="1739">
        <f t="shared" si="78"/>
        <v>2032</v>
      </c>
      <c r="BV143" s="1742">
        <f>_xlfn.IFNA(INDEX($AR143:$AX143,MATCH(BU143,$AR$2:$AX$2,0))*12/365*[11]核心假设及结论!$C$70*$H143,0)</f>
        <v>0</v>
      </c>
      <c r="BX143" s="1739">
        <f t="shared" si="79"/>
        <v>2035</v>
      </c>
      <c r="BY143" s="1742">
        <f>_xlfn.IFNA(INDEX($AR143:$AX143,MATCH(BX143,$AR$2:$AX$2,0))*12/365*[11]核心假设及结论!$C$70*$H143,0)</f>
        <v>0</v>
      </c>
      <c r="CA143" s="1739">
        <f t="shared" si="80"/>
        <v>2038</v>
      </c>
      <c r="CB143" s="1742">
        <f>_xlfn.IFNA(INDEX($AR143:$AX143,MATCH(CA143,$AR$2:$AX$2,0))*12/365*[11]核心假设及结论!$C$70*$H143,0)</f>
        <v>0</v>
      </c>
    </row>
    <row r="144" spans="1:80" ht="30" customHeight="1">
      <c r="A144" s="1756" t="s">
        <v>1662</v>
      </c>
      <c r="B144" s="1757" t="s">
        <v>1976</v>
      </c>
      <c r="C144" s="1756" t="s">
        <v>1977</v>
      </c>
      <c r="D144" s="1756" t="s">
        <v>1685</v>
      </c>
      <c r="E144" s="1758" t="s">
        <v>1888</v>
      </c>
      <c r="F144" s="1759"/>
      <c r="G144" s="1760" t="s">
        <v>1661</v>
      </c>
      <c r="H144" s="1761">
        <v>250</v>
      </c>
      <c r="I144" s="1761" t="s">
        <v>1913</v>
      </c>
      <c r="J144" s="1773">
        <v>44659</v>
      </c>
      <c r="K144" s="1773">
        <v>45754</v>
      </c>
      <c r="L144" s="1764">
        <f t="shared" si="62"/>
        <v>36</v>
      </c>
      <c r="M144" s="1774">
        <f t="shared" si="73"/>
        <v>256517.5</v>
      </c>
      <c r="N144" s="1775">
        <f t="shared" si="74"/>
        <v>912.45</v>
      </c>
      <c r="O144" s="1760">
        <v>228112.5</v>
      </c>
      <c r="P144" s="1776">
        <v>0.18</v>
      </c>
      <c r="Q144" s="1783">
        <f t="shared" si="63"/>
        <v>95</v>
      </c>
      <c r="R144" s="1784">
        <v>23750</v>
      </c>
      <c r="S144" s="1777">
        <f t="shared" si="64"/>
        <v>18.62</v>
      </c>
      <c r="T144" s="1784">
        <v>4655</v>
      </c>
      <c r="U144" s="1777"/>
      <c r="V144" s="1785">
        <v>1885789.0449999999</v>
      </c>
      <c r="W144" s="1785">
        <f t="shared" si="65"/>
        <v>7543.1561799999999</v>
      </c>
      <c r="X144" s="1786">
        <f t="shared" si="81"/>
        <v>0.13355815204664104</v>
      </c>
      <c r="Y144" s="1789">
        <f>VLOOKUP(E144,[11]核心假设及结论!$C$25:$E$45,3,0)</f>
        <v>0.3</v>
      </c>
      <c r="Z144" s="1790">
        <f t="shared" si="83"/>
        <v>228112.5</v>
      </c>
      <c r="AA144" s="1790">
        <f t="shared" si="83"/>
        <v>0</v>
      </c>
      <c r="AB144" s="1790">
        <f t="shared" si="83"/>
        <v>0</v>
      </c>
      <c r="AC144" s="1790">
        <f t="shared" si="82"/>
        <v>0</v>
      </c>
      <c r="AD144" s="1790">
        <f t="shared" si="82"/>
        <v>0</v>
      </c>
      <c r="AE144" s="1790">
        <f t="shared" si="82"/>
        <v>0</v>
      </c>
      <c r="AF144" s="1790">
        <f t="shared" si="82"/>
        <v>0</v>
      </c>
      <c r="AG144" s="1794">
        <v>912.45</v>
      </c>
      <c r="AH144" s="1794">
        <v>0</v>
      </c>
      <c r="AI144" s="1794">
        <v>0</v>
      </c>
      <c r="AJ144" s="1794">
        <v>0</v>
      </c>
      <c r="AK144" s="1794">
        <v>0</v>
      </c>
      <c r="AL144" s="1794">
        <v>0</v>
      </c>
      <c r="AM144" s="1794">
        <v>0</v>
      </c>
      <c r="AN144" s="1797"/>
      <c r="AO144" s="1797"/>
      <c r="AP144" s="1808">
        <f t="shared" si="75"/>
        <v>0.44519384015547014</v>
      </c>
      <c r="AQ144" s="1810">
        <f>IF(AP144&gt;[11]核心假设及结论!$B$59,[11]核心假设及结论!$D$59,IF(AP144&lt;=[11]核心假设及结论!$B$58,[11]核心假设及结论!$D$57,[11]核心假设及结论!$D$58))</f>
        <v>1.0342640124442799</v>
      </c>
      <c r="AR144" s="1809">
        <f t="shared" si="76"/>
        <v>912.45</v>
      </c>
      <c r="AS144" s="1811">
        <f>AH144*(AS$2&lt;=YEAR($K144))+AR144*$AQ144*(AS$2=YEAR($K144)+1)+INDEX([11]核心假设及结论!$E$17:$E$21,MATCH($D144,[11]核心假设及结论!$B$17:$B$21,0))*(AS$2&gt;YEAR($K144)+1)*AR144</f>
        <v>943.71419815478328</v>
      </c>
      <c r="AT144" s="1809">
        <f>AI144*(AT$2&lt;=YEAR($K144))+AS144*$AQ144*(AT$2=YEAR($K144)+1)+INDEX([11]核心假设及结论!$E$17:$E$21,MATCH($D144,[11]核心假设及结论!$B$17:$B$21,0))*(AT$2&gt;YEAR($K144)+1)*AS144</f>
        <v>969.2647797261202</v>
      </c>
      <c r="AU144" s="1809">
        <f>AJ144*(AU$2&lt;=YEAR($K144))+AT144*$AQ144*(AU$2=YEAR($K144)+1)+INDEX([11]核心假设及结论!$E$17:$E$21,MATCH($D144,[11]核心假设及结论!$B$17:$B$21,0))*(AU$2&gt;YEAR($K144)+1)*AT144</f>
        <v>995.50713028843984</v>
      </c>
      <c r="AV144" s="1809">
        <f>AK144*(AV$2&lt;=YEAR($K144))+AU144*$AQ144*(AV$2=YEAR($K144)+1)+INDEX([11]核心假设及结论!$E$17:$E$21,MATCH($D144,[11]核心假设及结论!$B$17:$B$21,0))*(AV$2&gt;YEAR($K144)+1)*AU144</f>
        <v>1022.4599791350676</v>
      </c>
      <c r="AW144" s="1809">
        <f>AL144*(AW$2&lt;=YEAR($K144))+AV144*$AQ144*(AW$2=YEAR($K144)+1)+INDEX([11]核心假设及结论!$E$17:$E$21,MATCH($D144,[11]核心假设及结论!$B$17:$B$21,0))*(AW$2&gt;YEAR($K144)+1)*AV144</f>
        <v>1050.1425626454125</v>
      </c>
      <c r="AX144" s="1809">
        <f>AM144*(AX$2&lt;=YEAR($K144))+AW144*$AQ144*(AX$2=YEAR($K144)+1)+INDEX([11]核心假设及结论!$E$17:$E$21,MATCH($D144,[11]核心假设及结论!$B$17:$B$21,0))*(AX$2&gt;YEAR($K144)+1)*AW144</f>
        <v>1078.5746380140652</v>
      </c>
      <c r="AZ144" s="1746">
        <f t="shared" si="66"/>
        <v>45754</v>
      </c>
      <c r="BA144" s="1817">
        <f t="shared" si="67"/>
        <v>45658</v>
      </c>
      <c r="BB144" s="1817">
        <f t="shared" si="68"/>
        <v>45754</v>
      </c>
      <c r="BC144" s="1817">
        <f t="shared" si="69"/>
        <v>46022</v>
      </c>
      <c r="BD144" s="1818">
        <f t="shared" si="70"/>
        <v>97</v>
      </c>
      <c r="BE144" s="1818">
        <f t="shared" si="71"/>
        <v>268</v>
      </c>
      <c r="BG144" s="1777">
        <f t="shared" si="58"/>
        <v>280.62168912779339</v>
      </c>
      <c r="BH144" s="1777">
        <f t="shared" si="84"/>
        <v>288.74238755146371</v>
      </c>
      <c r="BI144" s="1777">
        <f t="shared" si="84"/>
        <v>296.55994072663196</v>
      </c>
      <c r="BJ144" s="1777">
        <f t="shared" si="84"/>
        <v>304.58915017493979</v>
      </c>
      <c r="BK144" s="1777">
        <f t="shared" si="84"/>
        <v>312.83574638225105</v>
      </c>
      <c r="BL144" s="1777">
        <f t="shared" si="84"/>
        <v>321.30561498441739</v>
      </c>
      <c r="BM144" s="1777">
        <f t="shared" si="84"/>
        <v>85.990471140299448</v>
      </c>
      <c r="BO144" s="1739">
        <f t="shared" si="72"/>
        <v>2025</v>
      </c>
      <c r="BP144" s="1742">
        <f>_xlfn.IFNA(INDEX($AR144:$AX144,MATCH(BO144,$AR$2:$AX$2,0))*12/365*[11]核心假设及结论!$C$70*$H144,0)</f>
        <v>224987.67123287675</v>
      </c>
      <c r="BR144" s="1739">
        <f t="shared" si="77"/>
        <v>2028</v>
      </c>
      <c r="BS144" s="1742">
        <f>_xlfn.IFNA(INDEX($AR144:$AX144,MATCH(BR144,$AR$2:$AX$2,0))*12/365*[11]核心假设及结论!$C$70*$H144,0)</f>
        <v>245467.51157797148</v>
      </c>
      <c r="BU144" s="1739">
        <f t="shared" si="78"/>
        <v>2031</v>
      </c>
      <c r="BV144" s="1742">
        <f>_xlfn.IFNA(INDEX($AR144:$AX144,MATCH(BU144,$AR$2:$AX$2,0))*12/365*[11]核心假设及结论!$C$70*$H144,0)</f>
        <v>265949.91074319411</v>
      </c>
      <c r="BX144" s="1739">
        <f t="shared" si="79"/>
        <v>2034</v>
      </c>
      <c r="BY144" s="1742">
        <f>_xlfn.IFNA(INDEX($AR144:$AX144,MATCH(BX144,$AR$2:$AX$2,0))*12/365*[11]核心假设及结论!$C$70*$H144,0)</f>
        <v>0</v>
      </c>
      <c r="CA144" s="1739">
        <f t="shared" si="80"/>
        <v>2037</v>
      </c>
      <c r="CB144" s="1742">
        <f>_xlfn.IFNA(INDEX($AR144:$AX144,MATCH(CA144,$AR$2:$AX$2,0))*12/365*[11]核心假设及结论!$C$70*$H144,0)</f>
        <v>0</v>
      </c>
    </row>
    <row r="145" spans="1:80" ht="30" customHeight="1">
      <c r="A145" s="1756" t="s">
        <v>1687</v>
      </c>
      <c r="B145" s="1757" t="s">
        <v>1978</v>
      </c>
      <c r="C145" s="1756" t="s">
        <v>1979</v>
      </c>
      <c r="D145" s="1756" t="s">
        <v>1676</v>
      </c>
      <c r="E145" s="1758" t="s">
        <v>1681</v>
      </c>
      <c r="F145" s="1759"/>
      <c r="G145" s="1760" t="s">
        <v>1661</v>
      </c>
      <c r="H145" s="1761">
        <v>249</v>
      </c>
      <c r="I145" s="1761" t="s">
        <v>1913</v>
      </c>
      <c r="J145" s="1773">
        <v>44967</v>
      </c>
      <c r="K145" s="1773">
        <v>46792</v>
      </c>
      <c r="L145" s="1764">
        <f t="shared" si="62"/>
        <v>60</v>
      </c>
      <c r="M145" s="1774">
        <f t="shared" si="73"/>
        <v>69961.53</v>
      </c>
      <c r="N145" s="1775">
        <f t="shared" si="74"/>
        <v>167.35</v>
      </c>
      <c r="O145" s="1760">
        <v>41670.15</v>
      </c>
      <c r="P145" s="1776">
        <v>0.1</v>
      </c>
      <c r="Q145" s="1783">
        <f t="shared" si="63"/>
        <v>95</v>
      </c>
      <c r="R145" s="1784">
        <v>23655</v>
      </c>
      <c r="S145" s="1777">
        <f t="shared" si="64"/>
        <v>18.62</v>
      </c>
      <c r="T145" s="1784">
        <v>4636.38</v>
      </c>
      <c r="U145" s="1777"/>
      <c r="V145" s="1785">
        <v>304323.23499999999</v>
      </c>
      <c r="W145" s="1785">
        <f t="shared" si="65"/>
        <v>1222.1816666666666</v>
      </c>
      <c r="X145" s="1786">
        <f t="shared" si="81"/>
        <v>0.21465712271361737</v>
      </c>
      <c r="Y145" s="1789">
        <f>VLOOKUP(E145,[11]核心假设及结论!$C$25:$E$45,3,0)</f>
        <v>0.25</v>
      </c>
      <c r="Z145" s="1790">
        <f t="shared" si="83"/>
        <v>41670.15</v>
      </c>
      <c r="AA145" s="1790">
        <f t="shared" si="83"/>
        <v>43898.700000000004</v>
      </c>
      <c r="AB145" s="1790">
        <f t="shared" si="83"/>
        <v>43898.700000000004</v>
      </c>
      <c r="AC145" s="1790">
        <f t="shared" si="82"/>
        <v>46124.76</v>
      </c>
      <c r="AD145" s="1790">
        <f t="shared" si="82"/>
        <v>0</v>
      </c>
      <c r="AE145" s="1790">
        <f t="shared" si="82"/>
        <v>0</v>
      </c>
      <c r="AF145" s="1790">
        <f t="shared" si="82"/>
        <v>0</v>
      </c>
      <c r="AG145" s="1794">
        <v>167.35</v>
      </c>
      <c r="AH145" s="1794">
        <v>176.3</v>
      </c>
      <c r="AI145" s="1794">
        <v>176.3</v>
      </c>
      <c r="AJ145" s="1794">
        <v>185.24</v>
      </c>
      <c r="AK145" s="1794">
        <v>0</v>
      </c>
      <c r="AL145" s="1794">
        <v>0</v>
      </c>
      <c r="AM145" s="1794">
        <v>0</v>
      </c>
      <c r="AN145" s="1797"/>
      <c r="AO145" s="1797"/>
      <c r="AP145" s="1808">
        <f t="shared" si="75"/>
        <v>0.85862849085446946</v>
      </c>
      <c r="AQ145" s="1808">
        <f>IF(AP145&gt;[11]核心假设及结论!$B$65,[11]核心假设及结论!$D$65,IF(AP145&lt;=[11]核心假设及结论!$B$64,[11]核心假设及结论!$D$63,[11]核心假设及结论!$D$64))</f>
        <v>1</v>
      </c>
      <c r="AR145" s="1809">
        <f t="shared" si="76"/>
        <v>167.35</v>
      </c>
      <c r="AS145" s="1809">
        <f>AH145*(AS$2&lt;=YEAR($K145))+AR145*$AQ145*(AS$2=YEAR($K145)+1)+INDEX([11]核心假设及结论!$E$17:$E$21,MATCH($D145,[11]核心假设及结论!$B$17:$B$21,0))*(AS$2&gt;YEAR($K145)+1)*AR145</f>
        <v>176.3</v>
      </c>
      <c r="AT145" s="1809">
        <f>AI145*(AT$2&lt;=YEAR($K145))+AS145*$AQ145*(AT$2=YEAR($K145)+1)+INDEX([11]核心假设及结论!$E$17:$E$21,MATCH($D145,[11]核心假设及结论!$B$17:$B$21,0))*(AT$2&gt;YEAR($K145)+1)*AS145</f>
        <v>176.3</v>
      </c>
      <c r="AU145" s="1809">
        <f>AJ145*(AU$2&lt;=YEAR($K145))+AT145*$AQ145*(AU$2=YEAR($K145)+1)+INDEX([11]核心假设及结论!$E$17:$E$21,MATCH($D145,[11]核心假设及结论!$B$17:$B$21,0))*(AU$2&gt;YEAR($K145)+1)*AT145</f>
        <v>185.24</v>
      </c>
      <c r="AV145" s="1811">
        <f>AK145*(AV$2&lt;=YEAR($K145))+AU145*$AQ145*(AV$2=YEAR($K145)+1)+INDEX([11]核心假设及结论!$E$17:$E$21,MATCH($D145,[11]核心假设及结论!$B$17:$B$21,0))*(AV$2&gt;YEAR($K145)+1)*AU145</f>
        <v>185.24</v>
      </c>
      <c r="AW145" s="1809">
        <f>AL145*(AW$2&lt;=YEAR($K145))+AV145*$AQ145*(AW$2=YEAR($K145)+1)+INDEX([11]核心假设及结论!$E$17:$E$21,MATCH($D145,[11]核心假设及结论!$B$17:$B$21,0))*(AW$2&gt;YEAR($K145)+1)*AV145</f>
        <v>191.64468920803691</v>
      </c>
      <c r="AX145" s="1809">
        <f>AM145*(AX$2&lt;=YEAR($K145))+AW145*$AQ145*(AX$2=YEAR($K145)+1)+INDEX([11]核心假设及结论!$E$17:$E$21,MATCH($D145,[11]核心假设及结论!$B$17:$B$21,0))*(AX$2&gt;YEAR($K145)+1)*AW145</f>
        <v>198.27082110583598</v>
      </c>
      <c r="AZ145" s="1746">
        <f t="shared" si="66"/>
        <v>46792</v>
      </c>
      <c r="BA145" s="1817">
        <f t="shared" si="67"/>
        <v>45658</v>
      </c>
      <c r="BB145" s="1817">
        <f t="shared" si="68"/>
        <v>45697</v>
      </c>
      <c r="BC145" s="1817">
        <f t="shared" si="69"/>
        <v>46022</v>
      </c>
      <c r="BD145" s="1818">
        <f t="shared" si="70"/>
        <v>40</v>
      </c>
      <c r="BE145" s="1818">
        <f t="shared" si="71"/>
        <v>325</v>
      </c>
      <c r="BG145" s="1777">
        <f t="shared" si="58"/>
        <v>52.385370410958913</v>
      </c>
      <c r="BH145" s="1777">
        <f t="shared" si="84"/>
        <v>52.678440000000016</v>
      </c>
      <c r="BI145" s="1777">
        <f t="shared" si="84"/>
        <v>55.056969863013705</v>
      </c>
      <c r="BJ145" s="1777">
        <f t="shared" si="84"/>
        <v>55.349711999999997</v>
      </c>
      <c r="BK145" s="1777">
        <f t="shared" si="84"/>
        <v>57.053710271212239</v>
      </c>
      <c r="BL145" s="1777">
        <f t="shared" si="84"/>
        <v>59.026347295896414</v>
      </c>
      <c r="BM145" s="1777">
        <f t="shared" si="84"/>
        <v>6.4924187776902782</v>
      </c>
      <c r="BO145" s="1739">
        <f t="shared" si="72"/>
        <v>2028</v>
      </c>
      <c r="BP145" s="1742">
        <f>_xlfn.IFNA(INDEX($AR145:$AX145,MATCH(BO145,$AR$2:$AX$2,0))*12/365*[11]核心假设及结论!$C$70*$H145,0)</f>
        <v>45492.913972602742</v>
      </c>
      <c r="BR145" s="1739">
        <f t="shared" si="77"/>
        <v>2033</v>
      </c>
      <c r="BS145" s="1742">
        <f>_xlfn.IFNA(INDEX($AR145:$AX145,MATCH(BR145,$AR$2:$AX$2,0))*12/365*[11]核心假设及结论!$C$70*$H145,0)</f>
        <v>0</v>
      </c>
      <c r="BU145" s="1739">
        <f t="shared" si="78"/>
        <v>2038</v>
      </c>
      <c r="BV145" s="1742">
        <f>_xlfn.IFNA(INDEX($AR145:$AX145,MATCH(BU145,$AR$2:$AX$2,0))*12/365*[11]核心假设及结论!$C$70*$H145,0)</f>
        <v>0</v>
      </c>
      <c r="BX145" s="1739">
        <f t="shared" si="79"/>
        <v>2043</v>
      </c>
      <c r="BY145" s="1742">
        <f>_xlfn.IFNA(INDEX($AR145:$AX145,MATCH(BX145,$AR$2:$AX$2,0))*12/365*[11]核心假设及结论!$C$70*$H145,0)</f>
        <v>0</v>
      </c>
      <c r="CA145" s="1739">
        <f t="shared" si="80"/>
        <v>2048</v>
      </c>
      <c r="CB145" s="1742">
        <f>_xlfn.IFNA(INDEX($AR145:$AX145,MATCH(CA145,$AR$2:$AX$2,0))*12/365*[11]核心假设及结论!$C$70*$H145,0)</f>
        <v>0</v>
      </c>
    </row>
    <row r="146" spans="1:80" ht="30" customHeight="1">
      <c r="A146" s="1756" t="s">
        <v>1662</v>
      </c>
      <c r="B146" s="1757" t="s">
        <v>1980</v>
      </c>
      <c r="C146" s="1756" t="s">
        <v>1981</v>
      </c>
      <c r="D146" s="1756" t="s">
        <v>1685</v>
      </c>
      <c r="E146" s="1758" t="s">
        <v>1692</v>
      </c>
      <c r="F146" s="1759"/>
      <c r="G146" s="1760" t="s">
        <v>1661</v>
      </c>
      <c r="H146" s="1761">
        <v>247</v>
      </c>
      <c r="I146" s="1761" t="s">
        <v>1913</v>
      </c>
      <c r="J146" s="1773">
        <v>45595</v>
      </c>
      <c r="K146" s="1773">
        <v>47055</v>
      </c>
      <c r="L146" s="1764">
        <f t="shared" si="62"/>
        <v>48</v>
      </c>
      <c r="M146" s="1774">
        <f t="shared" si="73"/>
        <v>208221</v>
      </c>
      <c r="N146" s="1775">
        <f t="shared" si="74"/>
        <v>730</v>
      </c>
      <c r="O146" s="1760">
        <v>180310</v>
      </c>
      <c r="P146" s="1776">
        <v>0.18</v>
      </c>
      <c r="Q146" s="1783">
        <f t="shared" si="63"/>
        <v>95</v>
      </c>
      <c r="R146" s="1784">
        <v>23465</v>
      </c>
      <c r="S146" s="1777">
        <f t="shared" si="64"/>
        <v>18</v>
      </c>
      <c r="T146" s="1784">
        <v>4446</v>
      </c>
      <c r="U146" s="1777"/>
      <c r="V146" s="1785">
        <v>775555.33333333302</v>
      </c>
      <c r="W146" s="1785">
        <f t="shared" si="65"/>
        <v>3139.9001349527653</v>
      </c>
      <c r="X146" s="1786">
        <f t="shared" si="81"/>
        <v>0.2627472099562207</v>
      </c>
      <c r="Y146" s="1789">
        <f>VLOOKUP(E146,[11]核心假设及结论!$C$25:$E$45,3,0)</f>
        <v>0.2</v>
      </c>
      <c r="Z146" s="1790">
        <f t="shared" si="83"/>
        <v>180310</v>
      </c>
      <c r="AA146" s="1790">
        <f t="shared" si="83"/>
        <v>184066.87</v>
      </c>
      <c r="AB146" s="1790">
        <f t="shared" si="83"/>
        <v>187823.74</v>
      </c>
      <c r="AC146" s="1790">
        <f t="shared" si="82"/>
        <v>191580.61</v>
      </c>
      <c r="AD146" s="1790">
        <f t="shared" si="82"/>
        <v>0</v>
      </c>
      <c r="AE146" s="1790">
        <f t="shared" si="82"/>
        <v>0</v>
      </c>
      <c r="AF146" s="1790">
        <f t="shared" si="82"/>
        <v>0</v>
      </c>
      <c r="AG146" s="1794">
        <v>730</v>
      </c>
      <c r="AH146" s="1794">
        <v>745.21</v>
      </c>
      <c r="AI146" s="1794">
        <v>760.42</v>
      </c>
      <c r="AJ146" s="1794">
        <v>775.63</v>
      </c>
      <c r="AK146" s="1794">
        <v>0</v>
      </c>
      <c r="AL146" s="1794">
        <v>0</v>
      </c>
      <c r="AM146" s="1794">
        <v>0</v>
      </c>
      <c r="AN146" s="1797"/>
      <c r="AO146" s="1797"/>
      <c r="AP146" s="1808">
        <f t="shared" si="75"/>
        <v>1.3137360497811035</v>
      </c>
      <c r="AQ146" s="1810">
        <f>IF(AP146&gt;[11]核心假设及结论!$B$59,[11]核心假设及结论!$D$59,IF(AP146&lt;=[11]核心假设及结论!$B$58,[11]核心假设及结论!$D$57,[11]核心假设及结论!$D$58))</f>
        <v>1.0069999999999999</v>
      </c>
      <c r="AR146" s="1809">
        <f t="shared" si="76"/>
        <v>730</v>
      </c>
      <c r="AS146" s="1809">
        <f>AH146*(AS$2&lt;=YEAR($K146))+AR146*$AQ146*(AS$2=YEAR($K146)+1)+INDEX([11]核心假设及结论!$E$17:$E$21,MATCH($D146,[11]核心假设及结论!$B$17:$B$21,0))*(AS$2&gt;YEAR($K146)+1)*AR146</f>
        <v>745.21</v>
      </c>
      <c r="AT146" s="1809">
        <f>AI146*(AT$2&lt;=YEAR($K146))+AS146*$AQ146*(AT$2=YEAR($K146)+1)+INDEX([11]核心假设及结论!$E$17:$E$21,MATCH($D146,[11]核心假设及结论!$B$17:$B$21,0))*(AT$2&gt;YEAR($K146)+1)*AS146</f>
        <v>760.42</v>
      </c>
      <c r="AU146" s="1809">
        <f>AJ146*(AU$2&lt;=YEAR($K146))+AT146*$AQ146*(AU$2=YEAR($K146)+1)+INDEX([11]核心假设及结论!$E$17:$E$21,MATCH($D146,[11]核心假设及结论!$B$17:$B$21,0))*(AU$2&gt;YEAR($K146)+1)*AT146</f>
        <v>775.63</v>
      </c>
      <c r="AV146" s="1811">
        <f>AK146*(AV$2&lt;=YEAR($K146))+AU146*$AQ146*(AV$2=YEAR($K146)+1)+INDEX([11]核心假设及结论!$E$17:$E$21,MATCH($D146,[11]核心假设及结论!$B$17:$B$21,0))*(AV$2&gt;YEAR($K146)+1)*AU146</f>
        <v>781.05940999999996</v>
      </c>
      <c r="AW146" s="1809">
        <f>AL146*(AW$2&lt;=YEAR($K146))+AV146*$AQ146*(AW$2=YEAR($K146)+1)+INDEX([11]核心假设及结论!$E$17:$E$21,MATCH($D146,[11]核心假设及结论!$B$17:$B$21,0))*(AW$2&gt;YEAR($K146)+1)*AV146</f>
        <v>802.20619597215739</v>
      </c>
      <c r="AX146" s="1809">
        <f>AM146*(AX$2&lt;=YEAR($K146))+AW146*$AQ146*(AX$2=YEAR($K146)+1)+INDEX([11]核心假设及结论!$E$17:$E$21,MATCH($D146,[11]核心假设及结论!$B$17:$B$21,0))*(AX$2&gt;YEAR($K146)+1)*AW146</f>
        <v>823.92552041094973</v>
      </c>
      <c r="AZ146" s="1746">
        <f t="shared" si="66"/>
        <v>47055</v>
      </c>
      <c r="BA146" s="1817">
        <f t="shared" si="67"/>
        <v>45658</v>
      </c>
      <c r="BB146" s="1817">
        <f t="shared" si="68"/>
        <v>45959</v>
      </c>
      <c r="BC146" s="1817">
        <f t="shared" si="69"/>
        <v>46022</v>
      </c>
      <c r="BD146" s="1818">
        <f t="shared" si="70"/>
        <v>302</v>
      </c>
      <c r="BE146" s="1818">
        <f t="shared" si="71"/>
        <v>63</v>
      </c>
      <c r="BG146" s="1777">
        <f t="shared" si="58"/>
        <v>217.15013526575342</v>
      </c>
      <c r="BH146" s="1777">
        <f t="shared" si="84"/>
        <v>221.65837926575341</v>
      </c>
      <c r="BI146" s="1777">
        <f t="shared" si="84"/>
        <v>226.1666232657534</v>
      </c>
      <c r="BJ146" s="1777">
        <f t="shared" si="84"/>
        <v>230.17449764058082</v>
      </c>
      <c r="BK146" s="1777">
        <f t="shared" si="84"/>
        <v>232.58786710705562</v>
      </c>
      <c r="BL146" s="1777">
        <f t="shared" si="84"/>
        <v>238.88506522343638</v>
      </c>
      <c r="BM146" s="1777">
        <f t="shared" si="84"/>
        <v>202.05994609161991</v>
      </c>
      <c r="BO146" s="1739">
        <f t="shared" si="72"/>
        <v>2028</v>
      </c>
      <c r="BP146" s="1742">
        <f>_xlfn.IFNA(INDEX($AR146:$AX146,MATCH(BO146,$AR$2:$AX$2,0))*12/365*[11]核心假设及结论!$C$70*$H146,0)</f>
        <v>188956.21808219177</v>
      </c>
      <c r="BR146" s="1739">
        <f t="shared" si="77"/>
        <v>2032</v>
      </c>
      <c r="BS146" s="1742">
        <f>_xlfn.IFNA(INDEX($AR146:$AX146,MATCH(BR146,$AR$2:$AX$2,0))*12/365*[11]核心假设及结论!$C$70*$H146,0)</f>
        <v>0</v>
      </c>
      <c r="BU146" s="1739">
        <f t="shared" si="78"/>
        <v>2036</v>
      </c>
      <c r="BV146" s="1742">
        <f>_xlfn.IFNA(INDEX($AR146:$AX146,MATCH(BU146,$AR$2:$AX$2,0))*12/365*[11]核心假设及结论!$C$70*$H146,0)</f>
        <v>0</v>
      </c>
      <c r="BX146" s="1739">
        <f t="shared" si="79"/>
        <v>2040</v>
      </c>
      <c r="BY146" s="1742">
        <f>_xlfn.IFNA(INDEX($AR146:$AX146,MATCH(BX146,$AR$2:$AX$2,0))*12/365*[11]核心假设及结论!$C$70*$H146,0)</f>
        <v>0</v>
      </c>
      <c r="CA146" s="1739">
        <f t="shared" si="80"/>
        <v>2044</v>
      </c>
      <c r="CB146" s="1742">
        <f>_xlfn.IFNA(INDEX($AR146:$AX146,MATCH(CA146,$AR$2:$AX$2,0))*12/365*[11]核心假设及结论!$C$70*$H146,0)</f>
        <v>0</v>
      </c>
    </row>
    <row r="147" spans="1:80" ht="30" customHeight="1">
      <c r="A147" s="1756" t="s">
        <v>1662</v>
      </c>
      <c r="B147" s="1757" t="s">
        <v>1982</v>
      </c>
      <c r="C147" s="1756" t="s">
        <v>1983</v>
      </c>
      <c r="D147" s="1756" t="s">
        <v>1685</v>
      </c>
      <c r="E147" s="1758" t="s">
        <v>1692</v>
      </c>
      <c r="F147" s="1759"/>
      <c r="G147" s="1760" t="s">
        <v>1661</v>
      </c>
      <c r="H147" s="1761">
        <v>245</v>
      </c>
      <c r="I147" s="1761" t="s">
        <v>1913</v>
      </c>
      <c r="J147" s="1773">
        <v>45574</v>
      </c>
      <c r="K147" s="1773">
        <v>46668</v>
      </c>
      <c r="L147" s="1764">
        <f t="shared" si="62"/>
        <v>36</v>
      </c>
      <c r="M147" s="1774">
        <f t="shared" si="73"/>
        <v>146919.15</v>
      </c>
      <c r="N147" s="1775">
        <f t="shared" si="74"/>
        <v>486.66999999999996</v>
      </c>
      <c r="O147" s="1760">
        <v>119234.15</v>
      </c>
      <c r="P147" s="1776">
        <v>0.06</v>
      </c>
      <c r="Q147" s="1783">
        <f t="shared" si="63"/>
        <v>95</v>
      </c>
      <c r="R147" s="1784">
        <v>23275</v>
      </c>
      <c r="S147" s="1777">
        <f t="shared" si="64"/>
        <v>18</v>
      </c>
      <c r="T147" s="1784">
        <v>4410</v>
      </c>
      <c r="U147" s="1777"/>
      <c r="V147" s="1785"/>
      <c r="W147" s="1785">
        <f t="shared" si="65"/>
        <v>0</v>
      </c>
      <c r="X147" s="1786" t="e">
        <f>(N147+Q147+S147)*H147/V147</f>
        <v>#DIV/0!</v>
      </c>
      <c r="Y147" s="1789">
        <f>VLOOKUP(E147,[11]核心假设及结论!$C$25:$E$45,3,0)</f>
        <v>0.2</v>
      </c>
      <c r="Z147" s="1790">
        <f t="shared" si="83"/>
        <v>119234.15000000001</v>
      </c>
      <c r="AA147" s="1790">
        <f t="shared" si="83"/>
        <v>126684.6</v>
      </c>
      <c r="AB147" s="1790">
        <f t="shared" si="83"/>
        <v>134137.5</v>
      </c>
      <c r="AC147" s="1790">
        <f t="shared" si="82"/>
        <v>0</v>
      </c>
      <c r="AD147" s="1790">
        <f t="shared" si="82"/>
        <v>0</v>
      </c>
      <c r="AE147" s="1790">
        <f t="shared" si="82"/>
        <v>0</v>
      </c>
      <c r="AF147" s="1790">
        <f t="shared" si="82"/>
        <v>0</v>
      </c>
      <c r="AG147" s="1794">
        <v>486.67</v>
      </c>
      <c r="AH147" s="1794">
        <v>517.08000000000004</v>
      </c>
      <c r="AI147" s="1794">
        <v>547.5</v>
      </c>
      <c r="AJ147" s="1794">
        <v>0</v>
      </c>
      <c r="AK147" s="1794">
        <v>0</v>
      </c>
      <c r="AL147" s="1794">
        <v>0</v>
      </c>
      <c r="AM147" s="1794">
        <v>0</v>
      </c>
      <c r="AN147" s="1797"/>
      <c r="AO147" s="1797"/>
      <c r="AP147" s="1808">
        <f t="shared" si="75"/>
        <v>1.25</v>
      </c>
      <c r="AQ147" s="1810">
        <f>IF(AP147&gt;[11]核心假设及结论!$B$59,[11]核心假设及结论!$D$59,IF(AP147&lt;=[11]核心假设及结论!$B$58,[11]核心假设及结论!$D$57,[11]核心假设及结论!$D$58))</f>
        <v>1.0069999999999999</v>
      </c>
      <c r="AR147" s="1809">
        <f t="shared" si="76"/>
        <v>486.67</v>
      </c>
      <c r="AS147" s="1809">
        <f>AH147*(AS$2&lt;=YEAR($K147))+AR147*$AQ147*(AS$2=YEAR($K147)+1)+INDEX([11]核心假设及结论!$E$17:$E$21,MATCH($D147,[11]核心假设及结论!$B$17:$B$21,0))*(AS$2&gt;YEAR($K147)+1)*AR147</f>
        <v>517.08000000000004</v>
      </c>
      <c r="AT147" s="1809">
        <f>AI147*(AT$2&lt;=YEAR($K147))+AS147*$AQ147*(AT$2=YEAR($K147)+1)+INDEX([11]核心假设及结论!$E$17:$E$21,MATCH($D147,[11]核心假设及结论!$B$17:$B$21,0))*(AT$2&gt;YEAR($K147)+1)*AS147</f>
        <v>547.5</v>
      </c>
      <c r="AU147" s="1811">
        <f>AJ147*(AU$2&lt;=YEAR($K147))+AT147*$AQ147*(AU$2=YEAR($K147)+1)+INDEX([11]核心假设及结论!$E$17:$E$21,MATCH($D147,[11]核心假设及结论!$B$17:$B$21,0))*(AU$2&gt;YEAR($K147)+1)*AT147</f>
        <v>551.33249999999998</v>
      </c>
      <c r="AV147" s="1809">
        <f>AK147*(AV$2&lt;=YEAR($K147))+AU147*$AQ147*(AV$2=YEAR($K147)+1)+INDEX([11]核心假设及结论!$E$17:$E$21,MATCH($D147,[11]核心假设及结论!$B$17:$B$21,0))*(AV$2&gt;YEAR($K147)+1)*AU147</f>
        <v>566.25954681324367</v>
      </c>
      <c r="AW147" s="1809">
        <f>AL147*(AW$2&lt;=YEAR($K147))+AV147*$AQ147*(AW$2=YEAR($K147)+1)+INDEX([11]核心假设及结论!$E$17:$E$21,MATCH($D147,[11]核心假设及结论!$B$17:$B$21,0))*(AW$2&gt;YEAR($K147)+1)*AV147</f>
        <v>581.59073582119697</v>
      </c>
      <c r="AX147" s="1809">
        <f>AM147*(AX$2&lt;=YEAR($K147))+AW147*$AQ147*(AX$2=YEAR($K147)+1)+INDEX([11]核心假设及结论!$E$17:$E$21,MATCH($D147,[11]核心假设及结论!$B$17:$B$21,0))*(AX$2&gt;YEAR($K147)+1)*AW147</f>
        <v>597.33700896807625</v>
      </c>
      <c r="AZ147" s="1746">
        <f t="shared" si="66"/>
        <v>46668</v>
      </c>
      <c r="BA147" s="1817">
        <f t="shared" si="67"/>
        <v>45658</v>
      </c>
      <c r="BB147" s="1817">
        <f t="shared" si="68"/>
        <v>45938</v>
      </c>
      <c r="BC147" s="1817">
        <f t="shared" si="69"/>
        <v>46022</v>
      </c>
      <c r="BD147" s="1818">
        <f t="shared" si="70"/>
        <v>281</v>
      </c>
      <c r="BE147" s="1818">
        <f t="shared" si="71"/>
        <v>84</v>
      </c>
      <c r="BG147" s="1777">
        <f t="shared" si="58"/>
        <v>145.13852893150687</v>
      </c>
      <c r="BH147" s="1777">
        <f t="shared" si="84"/>
        <v>154.07974553424657</v>
      </c>
      <c r="BI147" s="1777">
        <f t="shared" si="84"/>
        <v>161.22430800000001</v>
      </c>
      <c r="BJ147" s="1777">
        <f t="shared" si="84"/>
        <v>163.10172307698591</v>
      </c>
      <c r="BK147" s="1777">
        <f t="shared" si="84"/>
        <v>167.51761921169754</v>
      </c>
      <c r="BL147" s="1777">
        <f t="shared" si="84"/>
        <v>172.05307348659719</v>
      </c>
      <c r="BM147" s="1777">
        <f t="shared" si="84"/>
        <v>135.2010949558593</v>
      </c>
      <c r="BO147" s="1739">
        <f t="shared" si="72"/>
        <v>2027</v>
      </c>
      <c r="BP147" s="1742">
        <f>_xlfn.IFNA(INDEX($AR147:$AX147,MATCH(BO147,$AR$2:$AX$2,0))*12/365*[11]核心假设及结论!$C$70*$H147,0)</f>
        <v>132300</v>
      </c>
      <c r="BR147" s="1739">
        <f t="shared" si="77"/>
        <v>2030</v>
      </c>
      <c r="BS147" s="1742">
        <f>_xlfn.IFNA(INDEX($AR147:$AX147,MATCH(BR147,$AR$2:$AX$2,0))*12/365*[11]核心假设及结论!$C$70*$H147,0)</f>
        <v>140537.81616282076</v>
      </c>
      <c r="BU147" s="1739">
        <f t="shared" si="78"/>
        <v>2033</v>
      </c>
      <c r="BV147" s="1742">
        <f>_xlfn.IFNA(INDEX($AR147:$AX147,MATCH(BU147,$AR$2:$AX$2,0))*12/365*[11]核心假设及结论!$C$70*$H147,0)</f>
        <v>0</v>
      </c>
      <c r="BX147" s="1739">
        <f t="shared" si="79"/>
        <v>2036</v>
      </c>
      <c r="BY147" s="1742">
        <f>_xlfn.IFNA(INDEX($AR147:$AX147,MATCH(BX147,$AR$2:$AX$2,0))*12/365*[11]核心假设及结论!$C$70*$H147,0)</f>
        <v>0</v>
      </c>
      <c r="CA147" s="1739">
        <f t="shared" si="80"/>
        <v>2039</v>
      </c>
      <c r="CB147" s="1742">
        <f>_xlfn.IFNA(INDEX($AR147:$AX147,MATCH(CA147,$AR$2:$AX$2,0))*12/365*[11]核心假设及结论!$C$70*$H147,0)</f>
        <v>0</v>
      </c>
    </row>
    <row r="148" spans="1:80" ht="30" customHeight="1">
      <c r="A148" s="1756" t="s">
        <v>1662</v>
      </c>
      <c r="B148" s="1757" t="s">
        <v>1984</v>
      </c>
      <c r="C148" s="1756" t="s">
        <v>1985</v>
      </c>
      <c r="D148" s="1756" t="s">
        <v>1676</v>
      </c>
      <c r="E148" s="1758" t="s">
        <v>1677</v>
      </c>
      <c r="F148" s="1759"/>
      <c r="G148" s="1760" t="s">
        <v>1661</v>
      </c>
      <c r="H148" s="1761">
        <v>243</v>
      </c>
      <c r="I148" s="1761" t="s">
        <v>1913</v>
      </c>
      <c r="J148" s="1773">
        <v>45017</v>
      </c>
      <c r="K148" s="1773">
        <v>46112</v>
      </c>
      <c r="L148" s="1764">
        <f t="shared" si="62"/>
        <v>36</v>
      </c>
      <c r="M148" s="1774">
        <f t="shared" si="73"/>
        <v>241811.73</v>
      </c>
      <c r="N148" s="1775">
        <f t="shared" si="74"/>
        <v>882.11</v>
      </c>
      <c r="O148" s="1760">
        <v>214352.73</v>
      </c>
      <c r="P148" s="1776">
        <v>0.1</v>
      </c>
      <c r="Q148" s="1783">
        <f t="shared" si="63"/>
        <v>95</v>
      </c>
      <c r="R148" s="1784">
        <v>23085</v>
      </c>
      <c r="S148" s="1777">
        <f t="shared" si="64"/>
        <v>18</v>
      </c>
      <c r="T148" s="1777">
        <v>4374</v>
      </c>
      <c r="U148" s="1777"/>
      <c r="V148" s="1785">
        <v>1371254.0725</v>
      </c>
      <c r="W148" s="1785">
        <f t="shared" si="65"/>
        <v>5643.0208744855963</v>
      </c>
      <c r="X148" s="1786">
        <f t="shared" ref="X148:X154" si="85">(N148+Q148)*H148/V148</f>
        <v>0.17315370999563615</v>
      </c>
      <c r="Y148" s="1789">
        <f>VLOOKUP(E148,[11]核心假设及结论!$C$25:$E$45,3,0)</f>
        <v>0.25</v>
      </c>
      <c r="Z148" s="1790">
        <f t="shared" si="83"/>
        <v>214352.73</v>
      </c>
      <c r="AA148" s="1790">
        <f t="shared" si="83"/>
        <v>221725.35</v>
      </c>
      <c r="AB148" s="1790">
        <f t="shared" si="83"/>
        <v>0</v>
      </c>
      <c r="AC148" s="1790">
        <f t="shared" si="82"/>
        <v>0</v>
      </c>
      <c r="AD148" s="1790">
        <f t="shared" si="82"/>
        <v>0</v>
      </c>
      <c r="AE148" s="1790">
        <f t="shared" si="82"/>
        <v>0</v>
      </c>
      <c r="AF148" s="1790">
        <f t="shared" si="82"/>
        <v>0</v>
      </c>
      <c r="AG148" s="1794">
        <v>882.11</v>
      </c>
      <c r="AH148" s="1794">
        <v>912.45</v>
      </c>
      <c r="AI148" s="1794">
        <v>0</v>
      </c>
      <c r="AJ148" s="1794">
        <v>0</v>
      </c>
      <c r="AK148" s="1794">
        <v>0</v>
      </c>
      <c r="AL148" s="1794">
        <v>0</v>
      </c>
      <c r="AM148" s="1794">
        <v>0</v>
      </c>
      <c r="AN148" s="1795"/>
      <c r="AO148" s="1795"/>
      <c r="AP148" s="1808">
        <f t="shared" si="75"/>
        <v>0.69261483998254458</v>
      </c>
      <c r="AQ148" s="1808">
        <f>IF(AP148&gt;[11]核心假设及结论!$B$65,[11]核心假设及结论!$D$65,IF(AP148&lt;=[11]核心假设及结论!$B$64,[11]核心假设及结论!$D$63,[11]核心假设及结论!$D$64))</f>
        <v>1</v>
      </c>
      <c r="AR148" s="1809">
        <f t="shared" si="76"/>
        <v>882.11</v>
      </c>
      <c r="AS148" s="1809">
        <f>AH148*(AS$2&lt;=YEAR($K148))+AR148*$AQ148*(AS$2=YEAR($K148)+1)+INDEX([11]核心假设及结论!$E$17:$E$21,MATCH($D148,[11]核心假设及结论!$B$17:$B$21,0))*(AS$2&gt;YEAR($K148)+1)*AR148</f>
        <v>912.45</v>
      </c>
      <c r="AT148" s="1811">
        <f>AI148*(AT$2&lt;=YEAR($K148))+AS148*$AQ148*(AT$2=YEAR($K148)+1)+INDEX([11]核心假设及结论!$E$17:$E$21,MATCH($D148,[11]核心假设及结论!$B$17:$B$21,0))*(AT$2&gt;YEAR($K148)+1)*AS148</f>
        <v>912.45</v>
      </c>
      <c r="AU148" s="1809">
        <f>AJ148*(AU$2&lt;=YEAR($K148))+AT148*$AQ148*(AU$2=YEAR($K148)+1)+INDEX([11]核心假设及结论!$E$17:$E$21,MATCH($D148,[11]核心假设及结论!$B$17:$B$21,0))*(AU$2&gt;YEAR($K148)+1)*AT148</f>
        <v>943.9980385870939</v>
      </c>
      <c r="AV148" s="1809">
        <f>AK148*(AV$2&lt;=YEAR($K148))+AU148*$AQ148*(AV$2=YEAR($K148)+1)+INDEX([11]核心假设及结论!$E$17:$E$21,MATCH($D148,[11]核心假设及结论!$B$17:$B$21,0))*(AV$2&gt;YEAR($K148)+1)*AU148</f>
        <v>976.63685336871094</v>
      </c>
      <c r="AW148" s="1809">
        <f>AL148*(AW$2&lt;=YEAR($K148))+AV148*$AQ148*(AW$2=YEAR($K148)+1)+INDEX([11]核心假设及结论!$E$17:$E$21,MATCH($D148,[11]核心假设及结论!$B$17:$B$21,0))*(AW$2&gt;YEAR($K148)+1)*AV148</f>
        <v>1010.4041580272171</v>
      </c>
      <c r="AX148" s="1809">
        <f>AM148*(AX$2&lt;=YEAR($K148))+AW148*$AQ148*(AX$2=YEAR($K148)+1)+INDEX([11]核心假设及结论!$E$17:$E$21,MATCH($D148,[11]核心假设及结论!$B$17:$B$21,0))*(AX$2&gt;YEAR($K148)+1)*AW148</f>
        <v>1045.338970198846</v>
      </c>
      <c r="AZ148" s="1746">
        <f t="shared" si="66"/>
        <v>46112</v>
      </c>
      <c r="BA148" s="1817">
        <f t="shared" si="67"/>
        <v>45658</v>
      </c>
      <c r="BB148" s="1817">
        <f t="shared" si="68"/>
        <v>45747</v>
      </c>
      <c r="BC148" s="1817">
        <f t="shared" si="69"/>
        <v>46022</v>
      </c>
      <c r="BD148" s="1818">
        <f t="shared" si="70"/>
        <v>90</v>
      </c>
      <c r="BE148" s="1818">
        <f t="shared" si="71"/>
        <v>275</v>
      </c>
      <c r="BG148" s="1777">
        <f t="shared" si="58"/>
        <v>263.88893243835616</v>
      </c>
      <c r="BH148" s="1777">
        <f t="shared" si="84"/>
        <v>266.07042000000001</v>
      </c>
      <c r="BI148" s="1777">
        <f t="shared" si="84"/>
        <v>273.00148086109334</v>
      </c>
      <c r="BJ148" s="1777">
        <f t="shared" si="84"/>
        <v>282.44053094881264</v>
      </c>
      <c r="BK148" s="1777">
        <f t="shared" si="84"/>
        <v>292.20593701920819</v>
      </c>
      <c r="BL148" s="1777">
        <f t="shared" si="84"/>
        <v>302.30898285893625</v>
      </c>
      <c r="BM148" s="1777">
        <f t="shared" si="84"/>
        <v>75.161303928489104</v>
      </c>
      <c r="BO148" s="1739">
        <f t="shared" si="72"/>
        <v>2026</v>
      </c>
      <c r="BP148" s="1742">
        <f>_xlfn.IFNA(INDEX($AR148:$AX148,MATCH(BO148,$AR$2:$AX$2,0))*12/365*[11]核心假设及结论!$C$70*$H148,0)</f>
        <v>218688.01643835619</v>
      </c>
      <c r="BR148" s="1739">
        <f t="shared" si="77"/>
        <v>2029</v>
      </c>
      <c r="BS148" s="1742">
        <f>_xlfn.IFNA(INDEX($AR148:$AX148,MATCH(BR148,$AR$2:$AX$2,0))*12/365*[11]核心假设及结论!$C$70*$H148,0)</f>
        <v>234071.75871971186</v>
      </c>
      <c r="BU148" s="1739">
        <f t="shared" si="78"/>
        <v>2032</v>
      </c>
      <c r="BV148" s="1742">
        <f>_xlfn.IFNA(INDEX($AR148:$AX148,MATCH(BU148,$AR$2:$AX$2,0))*12/365*[11]核心假设及结论!$C$70*$H148,0)</f>
        <v>0</v>
      </c>
      <c r="BX148" s="1739">
        <f t="shared" si="79"/>
        <v>2035</v>
      </c>
      <c r="BY148" s="1742">
        <f>_xlfn.IFNA(INDEX($AR148:$AX148,MATCH(BX148,$AR$2:$AX$2,0))*12/365*[11]核心假设及结论!$C$70*$H148,0)</f>
        <v>0</v>
      </c>
      <c r="CA148" s="1739">
        <f t="shared" si="80"/>
        <v>2038</v>
      </c>
      <c r="CB148" s="1742">
        <f>_xlfn.IFNA(INDEX($AR148:$AX148,MATCH(CA148,$AR$2:$AX$2,0))*12/365*[11]核心假设及结论!$C$70*$H148,0)</f>
        <v>0</v>
      </c>
    </row>
    <row r="149" spans="1:80" ht="30" customHeight="1">
      <c r="A149" s="1763" t="s">
        <v>1687</v>
      </c>
      <c r="B149" s="1757" t="s">
        <v>1986</v>
      </c>
      <c r="C149" s="1764" t="s">
        <v>1987</v>
      </c>
      <c r="D149" s="1764" t="s">
        <v>1685</v>
      </c>
      <c r="E149" s="1764" t="s">
        <v>1692</v>
      </c>
      <c r="F149" s="1765"/>
      <c r="G149" s="1760" t="s">
        <v>1661</v>
      </c>
      <c r="H149" s="1761">
        <v>242</v>
      </c>
      <c r="I149" s="1763" t="s">
        <v>1913</v>
      </c>
      <c r="J149" s="1773">
        <v>45748</v>
      </c>
      <c r="K149" s="1773">
        <v>46843</v>
      </c>
      <c r="L149" s="1764">
        <f t="shared" si="62"/>
        <v>36</v>
      </c>
      <c r="M149" s="1774">
        <f t="shared" si="73"/>
        <v>27346</v>
      </c>
      <c r="N149" s="1775">
        <f t="shared" si="74"/>
        <v>0</v>
      </c>
      <c r="O149" s="1777">
        <v>0</v>
      </c>
      <c r="P149" s="1763">
        <v>0.18</v>
      </c>
      <c r="Q149" s="1783">
        <f t="shared" si="63"/>
        <v>95</v>
      </c>
      <c r="R149" s="1763">
        <v>22990</v>
      </c>
      <c r="S149" s="1777">
        <f t="shared" si="64"/>
        <v>18</v>
      </c>
      <c r="T149" s="1763">
        <v>4356</v>
      </c>
      <c r="U149" s="1763"/>
      <c r="V149" s="1785">
        <v>552776.125</v>
      </c>
      <c r="W149" s="1785">
        <f t="shared" si="65"/>
        <v>2284.1988636363635</v>
      </c>
      <c r="X149" s="1786">
        <f t="shared" si="85"/>
        <v>4.159007410097533E-2</v>
      </c>
      <c r="Y149" s="1789">
        <f>VLOOKUP(E149,[11]核心假设及结论!$C$25:$E$45,3,0)</f>
        <v>0.2</v>
      </c>
      <c r="Z149" s="1790">
        <f t="shared" si="83"/>
        <v>198708.62</v>
      </c>
      <c r="AA149" s="1790">
        <f t="shared" si="83"/>
        <v>198742.5</v>
      </c>
      <c r="AB149" s="1790">
        <f t="shared" si="83"/>
        <v>202423.32</v>
      </c>
      <c r="AC149" s="1790">
        <f t="shared" si="82"/>
        <v>206104.13999999998</v>
      </c>
      <c r="AD149" s="1790">
        <f t="shared" si="82"/>
        <v>0</v>
      </c>
      <c r="AE149" s="1790">
        <f t="shared" si="82"/>
        <v>0</v>
      </c>
      <c r="AF149" s="1790">
        <f t="shared" si="82"/>
        <v>0</v>
      </c>
      <c r="AG149" s="1794">
        <v>821.11</v>
      </c>
      <c r="AH149" s="1794">
        <v>821.25</v>
      </c>
      <c r="AI149" s="1794">
        <v>836.46</v>
      </c>
      <c r="AJ149" s="1794">
        <v>851.67</v>
      </c>
      <c r="AK149" s="1794">
        <v>0</v>
      </c>
      <c r="AL149" s="1794">
        <v>0</v>
      </c>
      <c r="AM149" s="1794">
        <v>0</v>
      </c>
      <c r="AN149" s="1764"/>
      <c r="AO149" s="1764"/>
      <c r="AP149" s="1808">
        <f t="shared" si="75"/>
        <v>0.20795037050487664</v>
      </c>
      <c r="AQ149" s="1810">
        <f>IF(AP149&gt;[11]核心假设及结论!$B$59,[11]核心假设及结论!$D$59,IF(AP149&lt;=[11]核心假设及结论!$B$58,[11]核心假设及结论!$D$57,[11]核心假设及结论!$D$58))</f>
        <v>1.0342640124442799</v>
      </c>
      <c r="AR149" s="1809">
        <f t="shared" si="76"/>
        <v>821.11</v>
      </c>
      <c r="AS149" s="1809">
        <f>AH149*(AS$2&lt;=YEAR($K149))+AR149*$AQ149*(AS$2=YEAR($K149)+1)+INDEX([11]核心假设及结论!$E$17:$E$21,MATCH($D149,[11]核心假设及结论!$B$17:$B$21,0))*(AS$2&gt;YEAR($K149)+1)*AR149</f>
        <v>821.25</v>
      </c>
      <c r="AT149" s="1809">
        <f>AI149*(AT$2&lt;=YEAR($K149))+AS149*$AQ149*(AT$2=YEAR($K149)+1)+INDEX([11]核心假设及结论!$E$17:$E$21,MATCH($D149,[11]核心假设及结论!$B$17:$B$21,0))*(AT$2&gt;YEAR($K149)+1)*AS149</f>
        <v>836.46</v>
      </c>
      <c r="AU149" s="1809">
        <f>AJ149*(AU$2&lt;=YEAR($K149))+AT149*$AQ149*(AU$2=YEAR($K149)+1)+INDEX([11]核心假设及结论!$E$17:$E$21,MATCH($D149,[11]核心假设及结论!$B$17:$B$21,0))*(AU$2&gt;YEAR($K149)+1)*AT149</f>
        <v>851.67</v>
      </c>
      <c r="AV149" s="1811">
        <f>AK149*(AV$2&lt;=YEAR($K149))+AU149*$AQ149*(AV$2=YEAR($K149)+1)+INDEX([11]核心假设及结论!$E$17:$E$21,MATCH($D149,[11]核心假设及结论!$B$17:$B$21,0))*(AV$2&gt;YEAR($K149)+1)*AU149</f>
        <v>880.85163147841979</v>
      </c>
      <c r="AW149" s="1809">
        <f>AL149*(AW$2&lt;=YEAR($K149))+AV149*$AQ149*(AW$2=YEAR($K149)+1)+INDEX([11]核心假设及结论!$E$17:$E$21,MATCH($D149,[11]核心假设及结论!$B$17:$B$21,0))*(AW$2&gt;YEAR($K149)+1)*AV149</f>
        <v>904.70024105358618</v>
      </c>
      <c r="AX149" s="1809">
        <f>AM149*(AX$2&lt;=YEAR($K149))+AW149*$AQ149*(AX$2=YEAR($K149)+1)+INDEX([11]核心假设及结论!$E$17:$E$21,MATCH($D149,[11]核心假设及结论!$B$17:$B$21,0))*(AX$2&gt;YEAR($K149)+1)*AW149</f>
        <v>929.19453959423038</v>
      </c>
      <c r="AZ149" s="1746">
        <f t="shared" si="66"/>
        <v>46843</v>
      </c>
      <c r="BA149" s="1817">
        <f t="shared" si="67"/>
        <v>45658</v>
      </c>
      <c r="BB149" s="1817">
        <f t="shared" si="68"/>
        <v>45747</v>
      </c>
      <c r="BC149" s="1817">
        <f t="shared" si="69"/>
        <v>46022</v>
      </c>
      <c r="BD149" s="1818">
        <f t="shared" si="70"/>
        <v>90</v>
      </c>
      <c r="BE149" s="1818">
        <f t="shared" si="71"/>
        <v>275</v>
      </c>
      <c r="BG149" s="1777">
        <f t="shared" si="58"/>
        <v>238.48097523287669</v>
      </c>
      <c r="BH149" s="1777">
        <f t="shared" si="84"/>
        <v>241.81886465753425</v>
      </c>
      <c r="BI149" s="1777">
        <f t="shared" si="84"/>
        <v>246.23584865753426</v>
      </c>
      <c r="BJ149" s="1777">
        <f t="shared" si="84"/>
        <v>253.70974906812771</v>
      </c>
      <c r="BK149" s="1777">
        <f t="shared" si="84"/>
        <v>261.01725887906679</v>
      </c>
      <c r="BL149" s="1777">
        <f t="shared" si="84"/>
        <v>268.08416830731989</v>
      </c>
      <c r="BM149" s="1777">
        <f t="shared" si="84"/>
        <v>66.535420511876183</v>
      </c>
      <c r="BO149" s="1739">
        <f t="shared" si="72"/>
        <v>2028</v>
      </c>
      <c r="BP149" s="1742">
        <f>_xlfn.IFNA(INDEX($AR149:$AX149,MATCH(BO149,$AR$2:$AX$2,0))*12/365*[11]核心假设及结论!$C$70*$H149,0)</f>
        <v>203280.79561643832</v>
      </c>
      <c r="BR149" s="1739">
        <f t="shared" si="77"/>
        <v>2031</v>
      </c>
      <c r="BS149" s="1742">
        <f>_xlfn.IFNA(INDEX($AR149:$AX149,MATCH(BR149,$AR$2:$AX$2,0))*12/365*[11]核心假设及结论!$C$70*$H149,0)</f>
        <v>221784.73503958728</v>
      </c>
      <c r="BU149" s="1739">
        <f t="shared" si="78"/>
        <v>2034</v>
      </c>
      <c r="BV149" s="1742">
        <f>_xlfn.IFNA(INDEX($AR149:$AX149,MATCH(BU149,$AR$2:$AX$2,0))*12/365*[11]核心假设及结论!$C$70*$H149,0)</f>
        <v>0</v>
      </c>
      <c r="BX149" s="1739">
        <f t="shared" si="79"/>
        <v>2037</v>
      </c>
      <c r="BY149" s="1742">
        <f>_xlfn.IFNA(INDEX($AR149:$AX149,MATCH(BX149,$AR$2:$AX$2,0))*12/365*[11]核心假设及结论!$C$70*$H149,0)</f>
        <v>0</v>
      </c>
      <c r="CA149" s="1739">
        <f t="shared" si="80"/>
        <v>2040</v>
      </c>
      <c r="CB149" s="1742">
        <f>_xlfn.IFNA(INDEX($AR149:$AX149,MATCH(CA149,$AR$2:$AX$2,0))*12/365*[11]核心假设及结论!$C$70*$H149,0)</f>
        <v>0</v>
      </c>
    </row>
    <row r="150" spans="1:80" ht="30" customHeight="1">
      <c r="A150" s="1756" t="s">
        <v>1662</v>
      </c>
      <c r="B150" s="1757" t="s">
        <v>1988</v>
      </c>
      <c r="C150" s="1756" t="s">
        <v>1989</v>
      </c>
      <c r="D150" s="1756" t="s">
        <v>1685</v>
      </c>
      <c r="E150" s="1758" t="s">
        <v>1871</v>
      </c>
      <c r="F150" s="1759"/>
      <c r="G150" s="1760" t="s">
        <v>1661</v>
      </c>
      <c r="H150" s="1761">
        <v>241</v>
      </c>
      <c r="I150" s="1761" t="s">
        <v>1913</v>
      </c>
      <c r="J150" s="1773">
        <v>44750</v>
      </c>
      <c r="K150" s="1773">
        <v>45845</v>
      </c>
      <c r="L150" s="1764">
        <f t="shared" si="62"/>
        <v>36</v>
      </c>
      <c r="M150" s="1774">
        <f t="shared" si="73"/>
        <v>188634.79699999999</v>
      </c>
      <c r="N150" s="1775">
        <f t="shared" si="74"/>
        <v>669.09</v>
      </c>
      <c r="O150" s="1760">
        <v>161250.69</v>
      </c>
      <c r="P150" s="1776">
        <v>0.06</v>
      </c>
      <c r="Q150" s="1783">
        <f t="shared" si="63"/>
        <v>95</v>
      </c>
      <c r="R150" s="1784">
        <v>22895</v>
      </c>
      <c r="S150" s="1777">
        <f t="shared" si="64"/>
        <v>18.626999999999999</v>
      </c>
      <c r="T150" s="1777">
        <v>4489.107</v>
      </c>
      <c r="U150" s="1777"/>
      <c r="V150" s="1785">
        <v>3148608.7166666701</v>
      </c>
      <c r="W150" s="1785">
        <f t="shared" si="65"/>
        <v>13064.766459197801</v>
      </c>
      <c r="X150" s="1786">
        <f t="shared" si="85"/>
        <v>5.8484780603335521E-2</v>
      </c>
      <c r="Y150" s="1789">
        <f>VLOOKUP(E150,[11]核心假设及结论!$C$25:$E$45,3,0)</f>
        <v>0.2</v>
      </c>
      <c r="Z150" s="1790">
        <f t="shared" si="83"/>
        <v>161250.69</v>
      </c>
      <c r="AA150" s="1790">
        <f t="shared" si="83"/>
        <v>0</v>
      </c>
      <c r="AB150" s="1790">
        <f t="shared" si="83"/>
        <v>0</v>
      </c>
      <c r="AC150" s="1790">
        <f t="shared" si="82"/>
        <v>0</v>
      </c>
      <c r="AD150" s="1790">
        <f t="shared" si="82"/>
        <v>0</v>
      </c>
      <c r="AE150" s="1790">
        <f t="shared" si="82"/>
        <v>0</v>
      </c>
      <c r="AF150" s="1790">
        <f t="shared" si="82"/>
        <v>0</v>
      </c>
      <c r="AG150" s="1794">
        <v>669.09</v>
      </c>
      <c r="AH150" s="1794">
        <v>0</v>
      </c>
      <c r="AI150" s="1794">
        <v>0</v>
      </c>
      <c r="AJ150" s="1794">
        <v>0</v>
      </c>
      <c r="AK150" s="1794">
        <v>0</v>
      </c>
      <c r="AL150" s="1794">
        <v>0</v>
      </c>
      <c r="AM150" s="1794">
        <v>0</v>
      </c>
      <c r="AN150" s="1795"/>
      <c r="AO150" s="1795"/>
      <c r="AP150" s="1808">
        <f t="shared" si="75"/>
        <v>0.29242390301667759</v>
      </c>
      <c r="AQ150" s="1810">
        <f>IF(AP150&gt;[11]核心假设及结论!$B$59,[11]核心假设及结论!$D$59,IF(AP150&lt;=[11]核心假设及结论!$B$58,[11]核心假设及结论!$D$57,[11]核心假设及结论!$D$58))</f>
        <v>1.0342640124442799</v>
      </c>
      <c r="AR150" s="1809">
        <f t="shared" si="76"/>
        <v>669.09</v>
      </c>
      <c r="AS150" s="1811">
        <f>AH150*(AS$2&lt;=YEAR($K150))+AR150*$AQ150*(AS$2=YEAR($K150)+1)+INDEX([11]核心假设及结论!$E$17:$E$21,MATCH($D150,[11]核心假设及结论!$B$17:$B$21,0))*(AS$2&gt;YEAR($K150)+1)*AR150</f>
        <v>692.01570808634324</v>
      </c>
      <c r="AT150" s="1809">
        <f>AI150*(AT$2&lt;=YEAR($K150))+AS150*$AQ150*(AT$2=YEAR($K150)+1)+INDEX([11]核心假设及结论!$E$17:$E$21,MATCH($D150,[11]核心假设及结论!$B$17:$B$21,0))*(AT$2&gt;YEAR($K150)+1)*AS150</f>
        <v>710.75168115178883</v>
      </c>
      <c r="AU150" s="1809">
        <f>AJ150*(AU$2&lt;=YEAR($K150))+AT150*$AQ150*(AU$2=YEAR($K150)+1)+INDEX([11]核心假设及结论!$E$17:$E$21,MATCH($D150,[11]核心假设及结论!$B$17:$B$21,0))*(AU$2&gt;YEAR($K150)+1)*AT150</f>
        <v>729.99492115150656</v>
      </c>
      <c r="AV150" s="1809">
        <f>AK150*(AV$2&lt;=YEAR($K150))+AU150*$AQ150*(AV$2=YEAR($K150)+1)+INDEX([11]核心假设及结论!$E$17:$E$21,MATCH($D150,[11]核心假设及结论!$B$17:$B$21,0))*(AV$2&gt;YEAR($K150)+1)*AU150</f>
        <v>749.75916207954663</v>
      </c>
      <c r="AW150" s="1809">
        <f>AL150*(AW$2&lt;=YEAR($K150))+AV150*$AQ150*(AW$2=YEAR($K150)+1)+INDEX([11]核心假设及结论!$E$17:$E$21,MATCH($D150,[11]核心假设及结论!$B$17:$B$21,0))*(AW$2&gt;YEAR($K150)+1)*AV150</f>
        <v>770.05850977085765</v>
      </c>
      <c r="AX150" s="1809">
        <f>AM150*(AX$2&lt;=YEAR($K150))+AW150*$AQ150*(AX$2=YEAR($K150)+1)+INDEX([11]核心假设及结论!$E$17:$E$21,MATCH($D150,[11]核心假设及结论!$B$17:$B$21,0))*(AX$2&gt;YEAR($K150)+1)*AW150</f>
        <v>790.90745196868966</v>
      </c>
      <c r="AZ150" s="1746">
        <f t="shared" si="66"/>
        <v>45845</v>
      </c>
      <c r="BA150" s="1817">
        <f t="shared" si="67"/>
        <v>45658</v>
      </c>
      <c r="BB150" s="1817">
        <f t="shared" si="68"/>
        <v>45845</v>
      </c>
      <c r="BC150" s="1817">
        <f t="shared" si="69"/>
        <v>46022</v>
      </c>
      <c r="BD150" s="1818">
        <f t="shared" si="70"/>
        <v>188</v>
      </c>
      <c r="BE150" s="1818">
        <f t="shared" si="71"/>
        <v>177</v>
      </c>
      <c r="BG150" s="1777">
        <f t="shared" ref="BG150:BG213" si="86">(AR150*$BD150*$H150*12/365+BE150*AS150*$H150*12/365)/10000</f>
        <v>196.71597955015608</v>
      </c>
      <c r="BH150" s="1777">
        <f t="shared" si="84"/>
        <v>202.75851670641498</v>
      </c>
      <c r="BI150" s="1777">
        <f t="shared" si="84"/>
        <v>208.2481003436221</v>
      </c>
      <c r="BJ150" s="1777">
        <f t="shared" si="84"/>
        <v>213.88631166364826</v>
      </c>
      <c r="BK150" s="1777">
        <f t="shared" si="84"/>
        <v>219.67717468535531</v>
      </c>
      <c r="BL150" s="1777">
        <f t="shared" si="84"/>
        <v>225.62482237586767</v>
      </c>
      <c r="BM150" s="1777">
        <f t="shared" si="84"/>
        <v>117.81184054947086</v>
      </c>
      <c r="BO150" s="1739">
        <f t="shared" si="72"/>
        <v>2025</v>
      </c>
      <c r="BP150" s="1742">
        <f>_xlfn.IFNA(INDEX($AR150:$AX150,MATCH(BO150,$AR$2:$AX$2,0))*12/365*[11]核心假设及结论!$C$70*$H150,0)</f>
        <v>159041.77643835617</v>
      </c>
      <c r="BR150" s="1739">
        <f t="shared" si="77"/>
        <v>2028</v>
      </c>
      <c r="BS150" s="1742">
        <f>_xlfn.IFNA(INDEX($AR150:$AX150,MATCH(BR150,$AR$2:$AX$2,0))*12/365*[11]核心假设及结论!$C$70*$H150,0)</f>
        <v>173518.79276467042</v>
      </c>
      <c r="BU150" s="1739">
        <f t="shared" si="78"/>
        <v>2031</v>
      </c>
      <c r="BV150" s="1742">
        <f>_xlfn.IFNA(INDEX($AR150:$AX150,MATCH(BU150,$AR$2:$AX$2,0))*12/365*[11]核心假设及结论!$C$70*$H150,0)</f>
        <v>187997.61789809182</v>
      </c>
      <c r="BX150" s="1739">
        <f t="shared" si="79"/>
        <v>2034</v>
      </c>
      <c r="BY150" s="1742">
        <f>_xlfn.IFNA(INDEX($AR150:$AX150,MATCH(BX150,$AR$2:$AX$2,0))*12/365*[11]核心假设及结论!$C$70*$H150,0)</f>
        <v>0</v>
      </c>
      <c r="CA150" s="1739">
        <f t="shared" si="80"/>
        <v>2037</v>
      </c>
      <c r="CB150" s="1742">
        <f>_xlfn.IFNA(INDEX($AR150:$AX150,MATCH(CA150,$AR$2:$AX$2,0))*12/365*[11]核心假设及结论!$C$70*$H150,0)</f>
        <v>0</v>
      </c>
    </row>
    <row r="151" spans="1:80" ht="30" customHeight="1">
      <c r="A151" s="1756" t="s">
        <v>1662</v>
      </c>
      <c r="B151" s="1757" t="s">
        <v>1990</v>
      </c>
      <c r="C151" s="1756" t="s">
        <v>1991</v>
      </c>
      <c r="D151" s="1756" t="s">
        <v>1685</v>
      </c>
      <c r="E151" s="1758" t="s">
        <v>1692</v>
      </c>
      <c r="F151" s="1759"/>
      <c r="G151" s="1760" t="s">
        <v>1661</v>
      </c>
      <c r="H151" s="1761">
        <v>240</v>
      </c>
      <c r="I151" s="1761" t="s">
        <v>1913</v>
      </c>
      <c r="J151" s="1773">
        <v>45096</v>
      </c>
      <c r="K151" s="1773">
        <v>46191</v>
      </c>
      <c r="L151" s="1764">
        <f t="shared" si="62"/>
        <v>36</v>
      </c>
      <c r="M151" s="1774">
        <f t="shared" si="73"/>
        <v>189924</v>
      </c>
      <c r="N151" s="1775">
        <f t="shared" si="74"/>
        <v>678.35</v>
      </c>
      <c r="O151" s="1760">
        <v>162804</v>
      </c>
      <c r="P151" s="1776" t="s">
        <v>1992</v>
      </c>
      <c r="Q151" s="1783">
        <f t="shared" si="63"/>
        <v>95</v>
      </c>
      <c r="R151" s="1784">
        <v>22800</v>
      </c>
      <c r="S151" s="1777">
        <f t="shared" si="64"/>
        <v>18</v>
      </c>
      <c r="T151" s="1784">
        <v>4320</v>
      </c>
      <c r="U151" s="1777"/>
      <c r="V151" s="1785">
        <v>1663601.1</v>
      </c>
      <c r="W151" s="1785">
        <f t="shared" si="65"/>
        <v>6931.6712500000003</v>
      </c>
      <c r="X151" s="1786">
        <f t="shared" si="85"/>
        <v>0.11156761076919219</v>
      </c>
      <c r="Y151" s="1789">
        <f>VLOOKUP(E151,[11]核心假设及结论!$C$25:$E$45,3,0)</f>
        <v>0.2</v>
      </c>
      <c r="Z151" s="1790">
        <f t="shared" si="83"/>
        <v>162804</v>
      </c>
      <c r="AA151" s="1790">
        <f t="shared" si="83"/>
        <v>167174.39999999999</v>
      </c>
      <c r="AB151" s="1790">
        <f t="shared" si="83"/>
        <v>0</v>
      </c>
      <c r="AC151" s="1790">
        <f t="shared" si="82"/>
        <v>0</v>
      </c>
      <c r="AD151" s="1790">
        <f t="shared" si="82"/>
        <v>0</v>
      </c>
      <c r="AE151" s="1790">
        <f t="shared" si="82"/>
        <v>0</v>
      </c>
      <c r="AF151" s="1790">
        <f t="shared" si="82"/>
        <v>0</v>
      </c>
      <c r="AG151" s="1794">
        <v>678.35</v>
      </c>
      <c r="AH151" s="1794">
        <v>696.56</v>
      </c>
      <c r="AI151" s="1794">
        <v>0</v>
      </c>
      <c r="AJ151" s="1794">
        <v>0</v>
      </c>
      <c r="AK151" s="1794">
        <v>0</v>
      </c>
      <c r="AL151" s="1794">
        <v>0</v>
      </c>
      <c r="AM151" s="1794">
        <v>0</v>
      </c>
      <c r="AN151" s="1797"/>
      <c r="AO151" s="1797"/>
      <c r="AP151" s="1808">
        <f t="shared" si="75"/>
        <v>0.55783805384596097</v>
      </c>
      <c r="AQ151" s="1810">
        <f>IF(AP151&gt;[11]核心假设及结论!$B$59,[11]核心假设及结论!$D$59,IF(AP151&lt;=[11]核心假设及结论!$B$58,[11]核心假设及结论!$D$57,[11]核心假设及结论!$D$58))</f>
        <v>1.0342640124442799</v>
      </c>
      <c r="AR151" s="1809">
        <f t="shared" si="76"/>
        <v>678.35</v>
      </c>
      <c r="AS151" s="1809">
        <f>AH151*(AS$2&lt;=YEAR($K151))+AR151*$AQ151*(AS$2=YEAR($K151)+1)+INDEX([11]核心假设及结论!$E$17:$E$21,MATCH($D151,[11]核心假设及结论!$B$17:$B$21,0))*(AS$2&gt;YEAR($K151)+1)*AR151</f>
        <v>696.56</v>
      </c>
      <c r="AT151" s="1811">
        <f>AI151*(AT$2&lt;=YEAR($K151))+AS151*$AQ151*(AT$2=YEAR($K151)+1)+INDEX([11]核心假设及结论!$E$17:$E$21,MATCH($D151,[11]核心假设及结论!$B$17:$B$21,0))*(AT$2&gt;YEAR($K151)+1)*AS151</f>
        <v>720.4269405081875</v>
      </c>
      <c r="AU151" s="1809">
        <f>AJ151*(AU$2&lt;=YEAR($K151))+AT151*$AQ151*(AU$2=YEAR($K151)+1)+INDEX([11]核心假设及结论!$E$17:$E$21,MATCH($D151,[11]核心假设及结论!$B$17:$B$21,0))*(AU$2&gt;YEAR($K151)+1)*AT151</f>
        <v>739.93213323034263</v>
      </c>
      <c r="AV151" s="1809">
        <f>AK151*(AV$2&lt;=YEAR($K151))+AU151*$AQ151*(AV$2=YEAR($K151)+1)+INDEX([11]核心假设及结论!$E$17:$E$21,MATCH($D151,[11]核心假设及结论!$B$17:$B$21,0))*(AV$2&gt;YEAR($K151)+1)*AU151</f>
        <v>759.96541911744805</v>
      </c>
      <c r="AW151" s="1809">
        <f>AL151*(AW$2&lt;=YEAR($K151))+AV151*$AQ151*(AW$2=YEAR($K151)+1)+INDEX([11]核心假设及结论!$E$17:$E$21,MATCH($D151,[11]核心假设及结论!$B$17:$B$21,0))*(AW$2&gt;YEAR($K151)+1)*AV151</f>
        <v>780.54109602314918</v>
      </c>
      <c r="AX151" s="1809">
        <f>AM151*(AX$2&lt;=YEAR($K151))+AW151*$AQ151*(AX$2=YEAR($K151)+1)+INDEX([11]核心假设及结论!$E$17:$E$21,MATCH($D151,[11]核心假设及结论!$B$17:$B$21,0))*(AX$2&gt;YEAR($K151)+1)*AW151</f>
        <v>801.67384890820142</v>
      </c>
      <c r="AZ151" s="1746">
        <f t="shared" si="66"/>
        <v>46191</v>
      </c>
      <c r="BA151" s="1817">
        <f t="shared" si="67"/>
        <v>45658</v>
      </c>
      <c r="BB151" s="1817">
        <f t="shared" si="68"/>
        <v>45826</v>
      </c>
      <c r="BC151" s="1817">
        <f t="shared" si="69"/>
        <v>46022</v>
      </c>
      <c r="BD151" s="1818">
        <f t="shared" si="70"/>
        <v>169</v>
      </c>
      <c r="BE151" s="1818">
        <f t="shared" si="71"/>
        <v>196</v>
      </c>
      <c r="BG151" s="1777">
        <f t="shared" si="86"/>
        <v>198.1810139178082</v>
      </c>
      <c r="BH151" s="1777">
        <f t="shared" si="84"/>
        <v>204.30035139124979</v>
      </c>
      <c r="BI151" s="1777">
        <f t="shared" si="84"/>
        <v>210.49947700000243</v>
      </c>
      <c r="BJ151" s="1777">
        <f t="shared" si="84"/>
        <v>216.19864319706559</v>
      </c>
      <c r="BK151" s="1777">
        <f t="shared" si="84"/>
        <v>222.05211141807987</v>
      </c>
      <c r="BL151" s="1777">
        <f t="shared" si="84"/>
        <v>228.0640593118051</v>
      </c>
      <c r="BM151" s="1777">
        <f t="shared" si="84"/>
        <v>106.90156047687665</v>
      </c>
      <c r="BO151" s="1739">
        <f t="shared" si="72"/>
        <v>2026</v>
      </c>
      <c r="BP151" s="1742">
        <f>_xlfn.IFNA(INDEX($AR151:$AX151,MATCH(BO151,$AR$2:$AX$2,0))*12/365*[11]核心假设及结论!$C$70*$H151,0)</f>
        <v>164884.33972602739</v>
      </c>
      <c r="BR151" s="1739">
        <f t="shared" si="77"/>
        <v>2029</v>
      </c>
      <c r="BS151" s="1742">
        <f>_xlfn.IFNA(INDEX($AR151:$AX151,MATCH(BR151,$AR$2:$AX$2,0))*12/365*[11]核心假设及结论!$C$70*$H151,0)</f>
        <v>179893.18414177399</v>
      </c>
      <c r="BU151" s="1739">
        <f t="shared" si="78"/>
        <v>2032</v>
      </c>
      <c r="BV151" s="1742">
        <f>_xlfn.IFNA(INDEX($AR151:$AX151,MATCH(BU151,$AR$2:$AX$2,0))*12/365*[11]核心假设及结论!$C$70*$H151,0)</f>
        <v>0</v>
      </c>
      <c r="BX151" s="1739">
        <f t="shared" si="79"/>
        <v>2035</v>
      </c>
      <c r="BY151" s="1742">
        <f>_xlfn.IFNA(INDEX($AR151:$AX151,MATCH(BX151,$AR$2:$AX$2,0))*12/365*[11]核心假设及结论!$C$70*$H151,0)</f>
        <v>0</v>
      </c>
      <c r="CA151" s="1739">
        <f t="shared" si="80"/>
        <v>2038</v>
      </c>
      <c r="CB151" s="1742">
        <f>_xlfn.IFNA(INDEX($AR151:$AX151,MATCH(CA151,$AR$2:$AX$2,0))*12/365*[11]核心假设及结论!$C$70*$H151,0)</f>
        <v>0</v>
      </c>
    </row>
    <row r="152" spans="1:80" ht="30" customHeight="1">
      <c r="A152" s="1756" t="s">
        <v>1662</v>
      </c>
      <c r="B152" s="1757" t="s">
        <v>1993</v>
      </c>
      <c r="C152" s="1756" t="s">
        <v>1994</v>
      </c>
      <c r="D152" s="1756" t="s">
        <v>1685</v>
      </c>
      <c r="E152" s="1758" t="s">
        <v>1718</v>
      </c>
      <c r="F152" s="1759"/>
      <c r="G152" s="1760" t="s">
        <v>1661</v>
      </c>
      <c r="H152" s="1761">
        <v>237</v>
      </c>
      <c r="I152" s="1761" t="s">
        <v>1913</v>
      </c>
      <c r="J152" s="1773">
        <v>44690</v>
      </c>
      <c r="K152" s="1773">
        <v>45785</v>
      </c>
      <c r="L152" s="1764">
        <f t="shared" si="62"/>
        <v>36</v>
      </c>
      <c r="M152" s="1774">
        <f t="shared" si="73"/>
        <v>235990.67032500001</v>
      </c>
      <c r="N152" s="1775">
        <f t="shared" si="74"/>
        <v>882.12</v>
      </c>
      <c r="O152" s="1760">
        <v>209062.44</v>
      </c>
      <c r="P152" s="1776">
        <v>0.18</v>
      </c>
      <c r="Q152" s="1783">
        <f t="shared" si="63"/>
        <v>95</v>
      </c>
      <c r="R152" s="1784">
        <v>22515</v>
      </c>
      <c r="S152" s="1777">
        <f t="shared" si="64"/>
        <v>18.621225000000003</v>
      </c>
      <c r="T152" s="1784">
        <v>4413.2303250000004</v>
      </c>
      <c r="U152" s="1777"/>
      <c r="V152" s="1785">
        <v>596592.33333333302</v>
      </c>
      <c r="W152" s="1785">
        <f t="shared" si="65"/>
        <v>2517.2672292545699</v>
      </c>
      <c r="X152" s="1786">
        <f t="shared" si="85"/>
        <v>0.38816697275694145</v>
      </c>
      <c r="Y152" s="1789">
        <f>VLOOKUP(E152,[11]核心假设及结论!$C$25:$E$45,3,0)</f>
        <v>0.2</v>
      </c>
      <c r="Z152" s="1790">
        <f t="shared" si="83"/>
        <v>209062.44</v>
      </c>
      <c r="AA152" s="1790">
        <f t="shared" si="83"/>
        <v>0</v>
      </c>
      <c r="AB152" s="1790">
        <f t="shared" si="83"/>
        <v>0</v>
      </c>
      <c r="AC152" s="1790">
        <f t="shared" si="82"/>
        <v>0</v>
      </c>
      <c r="AD152" s="1790">
        <f t="shared" si="82"/>
        <v>0</v>
      </c>
      <c r="AE152" s="1790">
        <f t="shared" si="82"/>
        <v>0</v>
      </c>
      <c r="AF152" s="1790">
        <f t="shared" si="82"/>
        <v>0</v>
      </c>
      <c r="AG152" s="1794">
        <v>882.12</v>
      </c>
      <c r="AH152" s="1794">
        <v>0</v>
      </c>
      <c r="AI152" s="1794">
        <v>0</v>
      </c>
      <c r="AJ152" s="1794">
        <v>0</v>
      </c>
      <c r="AK152" s="1794">
        <v>0</v>
      </c>
      <c r="AL152" s="1794">
        <v>0</v>
      </c>
      <c r="AM152" s="1794">
        <v>0</v>
      </c>
      <c r="AN152" s="1797"/>
      <c r="AO152" s="1797"/>
      <c r="AP152" s="1808">
        <f t="shared" si="75"/>
        <v>1.9408348637847073</v>
      </c>
      <c r="AQ152" s="1810">
        <f>IF(AP152&gt;[11]核心假设及结论!$B$59,[11]核心假设及结论!$D$59,IF(AP152&lt;=[11]核心假设及结论!$B$58,[11]核心假设及结论!$D$57,[11]核心假设及结论!$D$58))</f>
        <v>1</v>
      </c>
      <c r="AR152" s="1809">
        <f t="shared" si="76"/>
        <v>882.12</v>
      </c>
      <c r="AS152" s="1811">
        <f>AH152*(AS$2&lt;=YEAR($K152))+AR152*$AQ152*(AS$2=YEAR($K152)+1)+INDEX([11]核心假设及结论!$E$17:$E$21,MATCH($D152,[11]核心假设及结论!$B$17:$B$21,0))*(AS$2&gt;YEAR($K152)+1)*AR152</f>
        <v>882.12</v>
      </c>
      <c r="AT152" s="1809">
        <f>AI152*(AT$2&lt;=YEAR($K152))+AS152*$AQ152*(AT$2=YEAR($K152)+1)+INDEX([11]核心假设及结论!$E$17:$E$21,MATCH($D152,[11]核心假设及结论!$B$17:$B$21,0))*(AT$2&gt;YEAR($K152)+1)*AS152</f>
        <v>906.00295000729773</v>
      </c>
      <c r="AU152" s="1809">
        <f>AJ152*(AU$2&lt;=YEAR($K152))+AT152*$AQ152*(AU$2=YEAR($K152)+1)+INDEX([11]核心假设及结论!$E$17:$E$21,MATCH($D152,[11]核心假设及结论!$B$17:$B$21,0))*(AU$2&gt;YEAR($K152)+1)*AT152</f>
        <v>930.53251872979422</v>
      </c>
      <c r="AV152" s="1809">
        <f>AK152*(AV$2&lt;=YEAR($K152))+AU152*$AQ152*(AV$2=YEAR($K152)+1)+INDEX([11]核心假设及结论!$E$17:$E$21,MATCH($D152,[11]核心假设及结论!$B$17:$B$21,0))*(AV$2&gt;YEAR($K152)+1)*AU152</f>
        <v>955.72621304007919</v>
      </c>
      <c r="AW152" s="1809">
        <f>AL152*(AW$2&lt;=YEAR($K152))+AV152*$AQ152*(AW$2=YEAR($K152)+1)+INDEX([11]核心假设及结论!$E$17:$E$21,MATCH($D152,[11]核心假设及结论!$B$17:$B$21,0))*(AW$2&gt;YEAR($K152)+1)*AV152</f>
        <v>981.60201380040678</v>
      </c>
      <c r="AX152" s="1809">
        <f>AM152*(AX$2&lt;=YEAR($K152))+AW152*$AQ152*(AX$2=YEAR($K152)+1)+INDEX([11]核心假设及结论!$E$17:$E$21,MATCH($D152,[11]核心假设及结论!$B$17:$B$21,0))*(AX$2&gt;YEAR($K152)+1)*AW152</f>
        <v>1008.1783886957248</v>
      </c>
      <c r="AZ152" s="1746">
        <f t="shared" si="66"/>
        <v>45785</v>
      </c>
      <c r="BA152" s="1817">
        <f t="shared" si="67"/>
        <v>45658</v>
      </c>
      <c r="BB152" s="1817">
        <f t="shared" si="68"/>
        <v>45785</v>
      </c>
      <c r="BC152" s="1817">
        <f t="shared" si="69"/>
        <v>46022</v>
      </c>
      <c r="BD152" s="1818">
        <f t="shared" si="70"/>
        <v>128</v>
      </c>
      <c r="BE152" s="1818">
        <f t="shared" si="71"/>
        <v>237</v>
      </c>
      <c r="BG152" s="1777">
        <f t="shared" si="86"/>
        <v>250.87492800000004</v>
      </c>
      <c r="BH152" s="1777">
        <f t="shared" si="84"/>
        <v>255.28527787055313</v>
      </c>
      <c r="BI152" s="1777">
        <f t="shared" si="84"/>
        <v>262.19699683053761</v>
      </c>
      <c r="BJ152" s="1777">
        <f t="shared" si="84"/>
        <v>269.29584706334873</v>
      </c>
      <c r="BK152" s="1777">
        <f t="shared" si="84"/>
        <v>276.58689505294979</v>
      </c>
      <c r="BL152" s="1777">
        <f t="shared" si="84"/>
        <v>284.07534445577858</v>
      </c>
      <c r="BM152" s="1777">
        <f t="shared" si="84"/>
        <v>100.55046443662525</v>
      </c>
      <c r="BO152" s="1739">
        <f t="shared" si="72"/>
        <v>2025</v>
      </c>
      <c r="BP152" s="1742">
        <f>_xlfn.IFNA(INDEX($AR152:$AX152,MATCH(BO152,$AR$2:$AX$2,0))*12/365*[11]核心假设及结论!$C$70*$H152,0)</f>
        <v>206198.57095890414</v>
      </c>
      <c r="BR152" s="1739">
        <f t="shared" si="77"/>
        <v>2028</v>
      </c>
      <c r="BS152" s="1742">
        <f>_xlfn.IFNA(INDEX($AR152:$AX152,MATCH(BR152,$AR$2:$AX$2,0))*12/365*[11]核心假设及结论!$C$70*$H152,0)</f>
        <v>217515.16300829055</v>
      </c>
      <c r="BU152" s="1739">
        <f t="shared" si="78"/>
        <v>2031</v>
      </c>
      <c r="BV152" s="1742">
        <f>_xlfn.IFNA(INDEX($AR152:$AX152,MATCH(BU152,$AR$2:$AX$2,0))*12/365*[11]核心假设及结论!$C$70*$H152,0)</f>
        <v>235665.15102334038</v>
      </c>
      <c r="BX152" s="1739">
        <f t="shared" si="79"/>
        <v>2034</v>
      </c>
      <c r="BY152" s="1742">
        <f>_xlfn.IFNA(INDEX($AR152:$AX152,MATCH(BX152,$AR$2:$AX$2,0))*12/365*[11]核心假设及结论!$C$70*$H152,0)</f>
        <v>0</v>
      </c>
      <c r="CA152" s="1739">
        <f t="shared" si="80"/>
        <v>2037</v>
      </c>
      <c r="CB152" s="1742">
        <f>_xlfn.IFNA(INDEX($AR152:$AX152,MATCH(CA152,$AR$2:$AX$2,0))*12/365*[11]核心假设及结论!$C$70*$H152,0)</f>
        <v>0</v>
      </c>
    </row>
    <row r="153" spans="1:80" ht="30" customHeight="1">
      <c r="A153" s="1756" t="s">
        <v>1662</v>
      </c>
      <c r="B153" s="1757" t="s">
        <v>1995</v>
      </c>
      <c r="C153" s="1756" t="s">
        <v>1996</v>
      </c>
      <c r="D153" s="1756" t="s">
        <v>1685</v>
      </c>
      <c r="E153" s="1758" t="s">
        <v>1718</v>
      </c>
      <c r="F153" s="1759"/>
      <c r="G153" s="1760" t="s">
        <v>1661</v>
      </c>
      <c r="H153" s="1761">
        <v>237</v>
      </c>
      <c r="I153" s="1761" t="s">
        <v>1913</v>
      </c>
      <c r="J153" s="1773">
        <v>45675</v>
      </c>
      <c r="K153" s="1773">
        <v>46731</v>
      </c>
      <c r="L153" s="1764">
        <f t="shared" si="62"/>
        <v>35</v>
      </c>
      <c r="M153" s="1774">
        <f t="shared" si="73"/>
        <v>199791</v>
      </c>
      <c r="N153" s="1775">
        <f t="shared" si="74"/>
        <v>730</v>
      </c>
      <c r="O153" s="1760">
        <v>173010</v>
      </c>
      <c r="P153" s="1776">
        <v>0.15</v>
      </c>
      <c r="Q153" s="1783">
        <f t="shared" si="63"/>
        <v>95</v>
      </c>
      <c r="R153" s="1784">
        <v>22515</v>
      </c>
      <c r="S153" s="1777">
        <f t="shared" si="64"/>
        <v>18</v>
      </c>
      <c r="T153" s="1784">
        <v>4266</v>
      </c>
      <c r="U153" s="1777"/>
      <c r="V153" s="1785">
        <v>2119254.4608333302</v>
      </c>
      <c r="W153" s="1785">
        <f t="shared" si="65"/>
        <v>8942.0019444444315</v>
      </c>
      <c r="X153" s="1786">
        <f t="shared" si="85"/>
        <v>9.2261219034129552E-2</v>
      </c>
      <c r="Y153" s="1789">
        <f>VLOOKUP(E153,[11]核心假设及结论!$C$25:$E$45,3,0)</f>
        <v>0.2</v>
      </c>
      <c r="Z153" s="1790">
        <f t="shared" si="83"/>
        <v>173010</v>
      </c>
      <c r="AA153" s="1790">
        <f t="shared" si="83"/>
        <v>176614.77000000002</v>
      </c>
      <c r="AB153" s="1790">
        <f t="shared" si="83"/>
        <v>180219.53999999998</v>
      </c>
      <c r="AC153" s="1790">
        <f t="shared" si="82"/>
        <v>0</v>
      </c>
      <c r="AD153" s="1790">
        <f t="shared" si="82"/>
        <v>0</v>
      </c>
      <c r="AE153" s="1790">
        <f t="shared" si="82"/>
        <v>0</v>
      </c>
      <c r="AF153" s="1790">
        <f t="shared" si="82"/>
        <v>0</v>
      </c>
      <c r="AG153" s="1794">
        <v>730</v>
      </c>
      <c r="AH153" s="1794">
        <v>745.21</v>
      </c>
      <c r="AI153" s="1794">
        <v>760.42</v>
      </c>
      <c r="AJ153" s="1794">
        <v>0</v>
      </c>
      <c r="AK153" s="1794">
        <v>0</v>
      </c>
      <c r="AL153" s="1794">
        <v>0</v>
      </c>
      <c r="AM153" s="1794">
        <v>0</v>
      </c>
      <c r="AN153" s="1797"/>
      <c r="AO153" s="1797"/>
      <c r="AP153" s="1808">
        <f t="shared" si="75"/>
        <v>0.46130609517064775</v>
      </c>
      <c r="AQ153" s="1810">
        <f>IF(AP153&gt;[11]核心假设及结论!$B$59,[11]核心假设及结论!$D$59,IF(AP153&lt;=[11]核心假设及结论!$B$58,[11]核心假设及结论!$D$57,[11]核心假设及结论!$D$58))</f>
        <v>1.0342640124442799</v>
      </c>
      <c r="AR153" s="1809">
        <f t="shared" si="76"/>
        <v>730</v>
      </c>
      <c r="AS153" s="1809">
        <f>AH153*(AS$2&lt;=YEAR($K153))+AR153*$AQ153*(AS$2=YEAR($K153)+1)+INDEX([11]核心假设及结论!$E$17:$E$21,MATCH($D153,[11]核心假设及结论!$B$17:$B$21,0))*(AS$2&gt;YEAR($K153)+1)*AR153</f>
        <v>745.21</v>
      </c>
      <c r="AT153" s="1809">
        <f>AI153*(AT$2&lt;=YEAR($K153))+AS153*$AQ153*(AT$2=YEAR($K153)+1)+INDEX([11]核心假设及结论!$E$17:$E$21,MATCH($D153,[11]核心假设及结论!$B$17:$B$21,0))*(AT$2&gt;YEAR($K153)+1)*AS153</f>
        <v>760.42</v>
      </c>
      <c r="AU153" s="1811">
        <f>AJ153*(AU$2&lt;=YEAR($K153))+AT153*$AQ153*(AU$2=YEAR($K153)+1)+INDEX([11]核心假设及结论!$E$17:$E$21,MATCH($D153,[11]核心假设及结论!$B$17:$B$21,0))*(AU$2&gt;YEAR($K153)+1)*AT153</f>
        <v>786.47504034287931</v>
      </c>
      <c r="AV153" s="1809">
        <f>AK153*(AV$2&lt;=YEAR($K153))+AU153*$AQ153*(AV$2=YEAR($K153)+1)+INDEX([11]核心假设及结论!$E$17:$E$21,MATCH($D153,[11]核心假设及结论!$B$17:$B$21,0))*(AV$2&gt;YEAR($K153)+1)*AU153</f>
        <v>807.76845175005349</v>
      </c>
      <c r="AW153" s="1809">
        <f>AL153*(AW$2&lt;=YEAR($K153))+AV153*$AQ153*(AW$2=YEAR($K153)+1)+INDEX([11]核心假设及结论!$E$17:$E$21,MATCH($D153,[11]核心假设及结论!$B$17:$B$21,0))*(AW$2&gt;YEAR($K153)+1)*AV153</f>
        <v>829.63837143288447</v>
      </c>
      <c r="AX153" s="1809">
        <f>AM153*(AX$2&lt;=YEAR($K153))+AW153*$AQ153*(AX$2=YEAR($K153)+1)+INDEX([11]核心假设及结论!$E$17:$E$21,MATCH($D153,[11]核心假设及结论!$B$17:$B$21,0))*(AX$2&gt;YEAR($K153)+1)*AW153</f>
        <v>852.10040805949711</v>
      </c>
      <c r="AZ153" s="1746">
        <f t="shared" si="66"/>
        <v>46731</v>
      </c>
      <c r="BA153" s="1817">
        <f t="shared" si="67"/>
        <v>45658</v>
      </c>
      <c r="BB153" s="1817">
        <f t="shared" si="68"/>
        <v>46001</v>
      </c>
      <c r="BC153" s="1817">
        <f t="shared" si="69"/>
        <v>46022</v>
      </c>
      <c r="BD153" s="1818">
        <f t="shared" si="70"/>
        <v>344</v>
      </c>
      <c r="BE153" s="1818">
        <f t="shared" si="71"/>
        <v>21</v>
      </c>
      <c r="BG153" s="1777">
        <f t="shared" si="86"/>
        <v>207.86087727123288</v>
      </c>
      <c r="BH153" s="1777">
        <f t="shared" si="84"/>
        <v>212.18660127123286</v>
      </c>
      <c r="BI153" s="1777">
        <f t="shared" si="84"/>
        <v>216.68977984368169</v>
      </c>
      <c r="BJ153" s="1777">
        <f t="shared" si="84"/>
        <v>224.02192002224967</v>
      </c>
      <c r="BK153" s="1777">
        <f t="shared" si="84"/>
        <v>230.08719948131446</v>
      </c>
      <c r="BL153" s="1777">
        <f t="shared" si="84"/>
        <v>236.31669329455011</v>
      </c>
      <c r="BM153" s="1777">
        <f t="shared" si="84"/>
        <v>228.39465885460166</v>
      </c>
      <c r="BO153" s="1739">
        <f t="shared" si="72"/>
        <v>2027</v>
      </c>
      <c r="BP153" s="1742">
        <f>_xlfn.IFNA(INDEX($AR153:$AX153,MATCH(BO153,$AR$2:$AX$2,0))*12/365*[11]核心假设及结论!$C$70*$H153,0)</f>
        <v>177750.77917808216</v>
      </c>
      <c r="BR153" s="1739">
        <f t="shared" si="77"/>
        <v>2030</v>
      </c>
      <c r="BS153" s="1742">
        <f>_xlfn.IFNA(INDEX($AR153:$AX153,MATCH(BR153,$AR$2:$AX$2,0))*12/365*[11]核心假设及结论!$C$70*$H153,0)</f>
        <v>193930.81054973617</v>
      </c>
      <c r="BU153" s="1739">
        <f t="shared" si="78"/>
        <v>2033</v>
      </c>
      <c r="BV153" s="1742">
        <f>_xlfn.IFNA(INDEX($AR153:$AX153,MATCH(BU153,$AR$2:$AX$2,0))*12/365*[11]核心假设及结论!$C$70*$H153,0)</f>
        <v>0</v>
      </c>
      <c r="BX153" s="1739">
        <f t="shared" si="79"/>
        <v>2036</v>
      </c>
      <c r="BY153" s="1742">
        <f>_xlfn.IFNA(INDEX($AR153:$AX153,MATCH(BX153,$AR$2:$AX$2,0))*12/365*[11]核心假设及结论!$C$70*$H153,0)</f>
        <v>0</v>
      </c>
      <c r="CA153" s="1739">
        <f t="shared" si="80"/>
        <v>2039</v>
      </c>
      <c r="CB153" s="1742">
        <f>_xlfn.IFNA(INDEX($AR153:$AX153,MATCH(CA153,$AR$2:$AX$2,0))*12/365*[11]核心假设及结论!$C$70*$H153,0)</f>
        <v>0</v>
      </c>
    </row>
    <row r="154" spans="1:80" ht="30" customHeight="1">
      <c r="A154" s="1756" t="s">
        <v>1666</v>
      </c>
      <c r="B154" s="1757" t="s">
        <v>1997</v>
      </c>
      <c r="C154" s="1756" t="s">
        <v>1998</v>
      </c>
      <c r="D154" s="1756" t="s">
        <v>1698</v>
      </c>
      <c r="E154" s="1758" t="s">
        <v>1698</v>
      </c>
      <c r="F154" s="1759"/>
      <c r="G154" s="1760" t="s">
        <v>1661</v>
      </c>
      <c r="H154" s="1761">
        <v>237</v>
      </c>
      <c r="I154" s="1761" t="s">
        <v>1913</v>
      </c>
      <c r="J154" s="1773">
        <v>44880</v>
      </c>
      <c r="K154" s="1773">
        <v>45975</v>
      </c>
      <c r="L154" s="1764">
        <f t="shared" si="62"/>
        <v>36</v>
      </c>
      <c r="M154" s="1774">
        <f t="shared" si="73"/>
        <v>153106.74</v>
      </c>
      <c r="N154" s="1775">
        <f t="shared" si="74"/>
        <v>532.4</v>
      </c>
      <c r="O154" s="1760">
        <v>126178.8</v>
      </c>
      <c r="P154" s="1776">
        <v>0.13</v>
      </c>
      <c r="Q154" s="1783">
        <f t="shared" si="63"/>
        <v>95</v>
      </c>
      <c r="R154" s="1784">
        <v>22515</v>
      </c>
      <c r="S154" s="1777">
        <f t="shared" si="64"/>
        <v>18.619999999999997</v>
      </c>
      <c r="T154" s="1777">
        <v>4412.9399999999996</v>
      </c>
      <c r="U154" s="1777"/>
      <c r="V154" s="1785">
        <v>556784.78666666697</v>
      </c>
      <c r="W154" s="1785">
        <f t="shared" si="65"/>
        <v>2349.3028973277087</v>
      </c>
      <c r="X154" s="1786">
        <f t="shared" si="85"/>
        <v>0.2670579433216792</v>
      </c>
      <c r="Y154" s="1789">
        <f>VLOOKUP(E154,[11]核心假设及结论!$C$25:$E$45,3,0)</f>
        <v>0.2</v>
      </c>
      <c r="Z154" s="1790">
        <f t="shared" si="83"/>
        <v>129736.17</v>
      </c>
      <c r="AA154" s="1790">
        <f t="shared" si="83"/>
        <v>0</v>
      </c>
      <c r="AB154" s="1790">
        <f t="shared" si="83"/>
        <v>0</v>
      </c>
      <c r="AC154" s="1790">
        <f t="shared" si="82"/>
        <v>0</v>
      </c>
      <c r="AD154" s="1790">
        <f t="shared" si="82"/>
        <v>0</v>
      </c>
      <c r="AE154" s="1790">
        <f t="shared" si="82"/>
        <v>0</v>
      </c>
      <c r="AF154" s="1790">
        <f t="shared" si="82"/>
        <v>0</v>
      </c>
      <c r="AG154" s="1794">
        <v>547.41</v>
      </c>
      <c r="AH154" s="1794">
        <v>0</v>
      </c>
      <c r="AI154" s="1794">
        <v>0</v>
      </c>
      <c r="AJ154" s="1794">
        <v>0</v>
      </c>
      <c r="AK154" s="1794">
        <v>0</v>
      </c>
      <c r="AL154" s="1794">
        <v>0</v>
      </c>
      <c r="AM154" s="1794">
        <v>0</v>
      </c>
      <c r="AN154" s="1795"/>
      <c r="AO154" s="1795"/>
      <c r="AP154" s="1808">
        <f t="shared" si="75"/>
        <v>1.3352897166083959</v>
      </c>
      <c r="AQ154" s="1812">
        <f>IF(AP154&gt;[11]核心假设及结论!$B$62,[11]核心假设及结论!$D$62,IF(AP154&lt;=[11]核心假设及结论!$B$61,[11]核心假设及结论!$D$60,[11]核心假设及结论!$D$61))</f>
        <v>1.0489999999999999</v>
      </c>
      <c r="AR154" s="1809">
        <f t="shared" si="76"/>
        <v>547.41</v>
      </c>
      <c r="AS154" s="1811">
        <f>AH154*(AS$2&lt;=YEAR($K154))+AR154*$AQ154*(AS$2=YEAR($K154)+1)+INDEX([11]核心假设及结论!$E$17:$E$21,MATCH($D154,[11]核心假设及结论!$B$17:$B$21,0))*(AS$2&gt;YEAR($K154)+1)*AR154</f>
        <v>574.23308999999995</v>
      </c>
      <c r="AT154" s="1809">
        <f>AI154*(AT$2&lt;=YEAR($K154))+AS154*$AQ154*(AT$2=YEAR($K154)+1)+INDEX([11]核心假设及结论!$E$17:$E$21,MATCH($D154,[11]核心假设及结论!$B$17:$B$21,0))*(AT$2&gt;YEAR($K154)+1)*AS154</f>
        <v>591.81461729002115</v>
      </c>
      <c r="AU154" s="1809">
        <f>AJ154*(AU$2&lt;=YEAR($K154))+AT154*$AQ154*(AU$2=YEAR($K154)+1)+INDEX([11]核心假设及结论!$E$17:$E$21,MATCH($D154,[11]核心假设及结论!$B$17:$B$21,0))*(AU$2&gt;YEAR($K154)+1)*AT154</f>
        <v>609.93444532800117</v>
      </c>
      <c r="AV154" s="1809">
        <f>AK154*(AV$2&lt;=YEAR($K154))+AU154*$AQ154*(AV$2=YEAR($K154)+1)+INDEX([11]核心假设及结论!$E$17:$E$21,MATCH($D154,[11]核心假设及结论!$B$17:$B$21,0))*(AV$2&gt;YEAR($K154)+1)*AU154</f>
        <v>628.60905548614824</v>
      </c>
      <c r="AW154" s="1809">
        <f>AL154*(AW$2&lt;=YEAR($K154))+AV154*$AQ154*(AW$2=YEAR($K154)+1)+INDEX([11]核心假设及结论!$E$17:$E$21,MATCH($D154,[11]核心假设及结论!$B$17:$B$21,0))*(AW$2&gt;YEAR($K154)+1)*AV154</f>
        <v>647.85543375352415</v>
      </c>
      <c r="AX154" s="1809">
        <f>AM154*(AX$2&lt;=YEAR($K154))+AW154*$AQ154*(AX$2=YEAR($K154)+1)+INDEX([11]核心假设及结论!$E$17:$E$21,MATCH($D154,[11]核心假设及结论!$B$17:$B$21,0))*(AX$2&gt;YEAR($K154)+1)*AW154</f>
        <v>667.69108618610358</v>
      </c>
      <c r="AZ154" s="1746">
        <f t="shared" si="66"/>
        <v>45975</v>
      </c>
      <c r="BA154" s="1817">
        <f t="shared" si="67"/>
        <v>45658</v>
      </c>
      <c r="BB154" s="1817">
        <f t="shared" si="68"/>
        <v>45975</v>
      </c>
      <c r="BC154" s="1817">
        <f t="shared" si="69"/>
        <v>46022</v>
      </c>
      <c r="BD154" s="1818">
        <f t="shared" si="70"/>
        <v>318</v>
      </c>
      <c r="BE154" s="1818">
        <f t="shared" si="71"/>
        <v>47</v>
      </c>
      <c r="BG154" s="1777">
        <f t="shared" si="86"/>
        <v>156.66570229975889</v>
      </c>
      <c r="BH154" s="1777">
        <f t="shared" si="84"/>
        <v>163.95575040964451</v>
      </c>
      <c r="BI154" s="1777">
        <f t="shared" si="84"/>
        <v>168.97565008171509</v>
      </c>
      <c r="BJ154" s="1777">
        <f t="shared" si="84"/>
        <v>174.14924605693264</v>
      </c>
      <c r="BK154" s="1777">
        <f t="shared" si="84"/>
        <v>179.48124411731359</v>
      </c>
      <c r="BL154" s="1777">
        <f t="shared" si="84"/>
        <v>184.97649412370993</v>
      </c>
      <c r="BM154" s="1777">
        <f t="shared" si="84"/>
        <v>165.43958268986918</v>
      </c>
      <c r="BO154" s="1739">
        <f t="shared" si="72"/>
        <v>2025</v>
      </c>
      <c r="BP154" s="1742">
        <f>_xlfn.IFNA(INDEX($AR154:$AX154,MATCH(BO154,$AR$2:$AX$2,0))*12/365*[11]核心假设及结论!$C$70*$H154,0)</f>
        <v>127958.96219178083</v>
      </c>
      <c r="BR154" s="1739">
        <f t="shared" si="77"/>
        <v>2028</v>
      </c>
      <c r="BS154" s="1742">
        <f>_xlfn.IFNA(INDEX($AR154:$AX154,MATCH(BR154,$AR$2:$AX$2,0))*12/365*[11]核心假设及结论!$C$70*$H154,0)</f>
        <v>142574.26541201386</v>
      </c>
      <c r="BU154" s="1739">
        <f t="shared" si="78"/>
        <v>2031</v>
      </c>
      <c r="BV154" s="1742">
        <f>_xlfn.IFNA(INDEX($AR154:$AX154,MATCH(BU154,$AR$2:$AX$2,0))*12/365*[11]核心假设及结论!$C$70*$H154,0)</f>
        <v>156075.07800931056</v>
      </c>
      <c r="BX154" s="1739">
        <f t="shared" si="79"/>
        <v>2034</v>
      </c>
      <c r="BY154" s="1742">
        <f>_xlfn.IFNA(INDEX($AR154:$AX154,MATCH(BX154,$AR$2:$AX$2,0))*12/365*[11]核心假设及结论!$C$70*$H154,0)</f>
        <v>0</v>
      </c>
      <c r="CA154" s="1739">
        <f t="shared" si="80"/>
        <v>2037</v>
      </c>
      <c r="CB154" s="1742">
        <f>_xlfn.IFNA(INDEX($AR154:$AX154,MATCH(CA154,$AR$2:$AX$2,0))*12/365*[11]核心假设及结论!$C$70*$H154,0)</f>
        <v>0</v>
      </c>
    </row>
    <row r="155" spans="1:80" ht="30" customHeight="1">
      <c r="A155" s="1756" t="s">
        <v>1662</v>
      </c>
      <c r="B155" s="1757" t="s">
        <v>1999</v>
      </c>
      <c r="C155" s="1756" t="s">
        <v>2000</v>
      </c>
      <c r="D155" s="1756" t="s">
        <v>1685</v>
      </c>
      <c r="E155" s="1758" t="s">
        <v>1692</v>
      </c>
      <c r="F155" s="1759"/>
      <c r="G155" s="1760" t="s">
        <v>1661</v>
      </c>
      <c r="H155" s="1761">
        <v>235</v>
      </c>
      <c r="I155" s="1761" t="s">
        <v>1913</v>
      </c>
      <c r="J155" s="1773">
        <v>44864</v>
      </c>
      <c r="K155" s="1773">
        <v>46324</v>
      </c>
      <c r="L155" s="1764">
        <f t="shared" si="62"/>
        <v>48</v>
      </c>
      <c r="M155" s="1774">
        <f t="shared" si="73"/>
        <v>198274.2</v>
      </c>
      <c r="N155" s="1775">
        <f t="shared" si="74"/>
        <v>730.1</v>
      </c>
      <c r="O155" s="1760">
        <v>171573.5</v>
      </c>
      <c r="P155" s="1776">
        <v>0.18</v>
      </c>
      <c r="Q155" s="1783">
        <f t="shared" si="63"/>
        <v>95</v>
      </c>
      <c r="R155" s="1784">
        <v>22325</v>
      </c>
      <c r="S155" s="1777">
        <f t="shared" si="64"/>
        <v>18.62</v>
      </c>
      <c r="T155" s="1777">
        <v>4375.7</v>
      </c>
      <c r="U155" s="1777"/>
      <c r="V155" s="1785">
        <v>552711.16666666698</v>
      </c>
      <c r="W155" s="1785">
        <f t="shared" si="65"/>
        <v>2351.9624113475193</v>
      </c>
      <c r="X155" s="1786">
        <f>(N155+Q155+S155)*H155/V155</f>
        <v>0.358730222868062</v>
      </c>
      <c r="Y155" s="1789">
        <f>VLOOKUP(E155,[11]核心假设及结论!$C$25:$E$45,3,0)</f>
        <v>0.2</v>
      </c>
      <c r="Z155" s="1790">
        <f t="shared" si="83"/>
        <v>182273.05</v>
      </c>
      <c r="AA155" s="1790">
        <f t="shared" si="83"/>
        <v>189419.4</v>
      </c>
      <c r="AB155" s="1790">
        <f t="shared" si="83"/>
        <v>0</v>
      </c>
      <c r="AC155" s="1790">
        <f t="shared" si="82"/>
        <v>0</v>
      </c>
      <c r="AD155" s="1790">
        <f t="shared" si="82"/>
        <v>0</v>
      </c>
      <c r="AE155" s="1790">
        <f t="shared" si="82"/>
        <v>0</v>
      </c>
      <c r="AF155" s="1790">
        <f t="shared" si="82"/>
        <v>0</v>
      </c>
      <c r="AG155" s="1794">
        <v>775.63</v>
      </c>
      <c r="AH155" s="1794">
        <v>806.04</v>
      </c>
      <c r="AI155" s="1794">
        <v>0</v>
      </c>
      <c r="AJ155" s="1794">
        <v>0</v>
      </c>
      <c r="AK155" s="1794">
        <v>0</v>
      </c>
      <c r="AL155" s="1794">
        <v>0</v>
      </c>
      <c r="AM155" s="1794">
        <v>0</v>
      </c>
      <c r="AN155" s="1795"/>
      <c r="AO155" s="1795"/>
      <c r="AP155" s="1808">
        <f t="shared" si="75"/>
        <v>1.79365111434031</v>
      </c>
      <c r="AQ155" s="1810">
        <f>IF(AP155&gt;[11]核心假设及结论!$B$59,[11]核心假设及结论!$D$59,IF(AP155&lt;=[11]核心假设及结论!$B$58,[11]核心假设及结论!$D$57,[11]核心假设及结论!$D$58))</f>
        <v>1</v>
      </c>
      <c r="AR155" s="1809">
        <f t="shared" si="76"/>
        <v>775.63</v>
      </c>
      <c r="AS155" s="1809">
        <f>AH155*(AS$2&lt;=YEAR($K155))+AR155*$AQ155*(AS$2=YEAR($K155)+1)+INDEX([11]核心假设及结论!$E$17:$E$21,MATCH($D155,[11]核心假设及结论!$B$17:$B$21,0))*(AS$2&gt;YEAR($K155)+1)*AR155</f>
        <v>806.04</v>
      </c>
      <c r="AT155" s="1811">
        <f>AI155*(AT$2&lt;=YEAR($K155))+AS155*$AQ155*(AT$2=YEAR($K155)+1)+INDEX([11]核心假设及结论!$E$17:$E$21,MATCH($D155,[11]核心假设及结论!$B$17:$B$21,0))*(AT$2&gt;YEAR($K155)+1)*AS155</f>
        <v>806.04</v>
      </c>
      <c r="AU155" s="1809">
        <f>AJ155*(AU$2&lt;=YEAR($K155))+AT155*$AQ155*(AU$2=YEAR($K155)+1)+INDEX([11]核心假设及结论!$E$17:$E$21,MATCH($D155,[11]核心假设及结论!$B$17:$B$21,0))*(AU$2&gt;YEAR($K155)+1)*AT155</f>
        <v>827.86312273146768</v>
      </c>
      <c r="AV155" s="1809">
        <f>AK155*(AV$2&lt;=YEAR($K155))+AU155*$AQ155*(AV$2=YEAR($K155)+1)+INDEX([11]核心假设及结论!$E$17:$E$21,MATCH($D155,[11]核心假设及结论!$B$17:$B$21,0))*(AV$2&gt;YEAR($K155)+1)*AU155</f>
        <v>850.27709540307819</v>
      </c>
      <c r="AW155" s="1809">
        <f>AL155*(AW$2&lt;=YEAR($K155))+AV155*$AQ155*(AW$2=YEAR($K155)+1)+INDEX([11]核心假设及结论!$E$17:$E$21,MATCH($D155,[11]核心假设及结论!$B$17:$B$21,0))*(AW$2&gt;YEAR($K155)+1)*AV155</f>
        <v>873.2979149762225</v>
      </c>
      <c r="AX155" s="1809">
        <f>AM155*(AX$2&lt;=YEAR($K155))+AW155*$AQ155*(AX$2=YEAR($K155)+1)+INDEX([11]核心假设及结论!$E$17:$E$21,MATCH($D155,[11]核心假设及结论!$B$17:$B$21,0))*(AX$2&gt;YEAR($K155)+1)*AW155</f>
        <v>896.94201152187895</v>
      </c>
      <c r="AZ155" s="1746">
        <f t="shared" si="66"/>
        <v>46324</v>
      </c>
      <c r="BA155" s="1817">
        <f t="shared" si="67"/>
        <v>45658</v>
      </c>
      <c r="BB155" s="1817">
        <f t="shared" si="68"/>
        <v>45959</v>
      </c>
      <c r="BC155" s="1817">
        <f t="shared" si="69"/>
        <v>46022</v>
      </c>
      <c r="BD155" s="1818">
        <f t="shared" si="70"/>
        <v>302</v>
      </c>
      <c r="BE155" s="1818">
        <f t="shared" si="71"/>
        <v>63</v>
      </c>
      <c r="BG155" s="1777">
        <f t="shared" si="86"/>
        <v>220.20783550684931</v>
      </c>
      <c r="BH155" s="1777">
        <f t="shared" si="84"/>
        <v>227.30327999999997</v>
      </c>
      <c r="BI155" s="1777">
        <f t="shared" si="84"/>
        <v>228.36549807793767</v>
      </c>
      <c r="BJ155" s="1777">
        <f t="shared" si="84"/>
        <v>234.54837770201041</v>
      </c>
      <c r="BK155" s="1777">
        <f t="shared" si="84"/>
        <v>240.89865564486388</v>
      </c>
      <c r="BL155" s="1777">
        <f t="shared" si="84"/>
        <v>247.42086413077456</v>
      </c>
      <c r="BM155" s="1777">
        <f t="shared" si="84"/>
        <v>209.27991635410768</v>
      </c>
      <c r="BO155" s="1739">
        <f t="shared" si="72"/>
        <v>2026</v>
      </c>
      <c r="BP155" s="1742">
        <f>_xlfn.IFNA(INDEX($AR155:$AX155,MATCH(BO155,$AR$2:$AX$2,0))*12/365*[11]核心假设及结论!$C$70*$H155,0)</f>
        <v>186824.61369863016</v>
      </c>
      <c r="BR155" s="1739">
        <f t="shared" si="77"/>
        <v>2030</v>
      </c>
      <c r="BS155" s="1742">
        <f>_xlfn.IFNA(INDEX($AR155:$AX155,MATCH(BR155,$AR$2:$AX$2,0))*12/365*[11]核心假设及结论!$C$70*$H155,0)</f>
        <v>202413.70851229707</v>
      </c>
      <c r="BU155" s="1739">
        <f t="shared" si="78"/>
        <v>2034</v>
      </c>
      <c r="BV155" s="1742">
        <f>_xlfn.IFNA(INDEX($AR155:$AX155,MATCH(BU155,$AR$2:$AX$2,0))*12/365*[11]核心假设及结论!$C$70*$H155,0)</f>
        <v>0</v>
      </c>
      <c r="BX155" s="1739">
        <f t="shared" si="79"/>
        <v>2038</v>
      </c>
      <c r="BY155" s="1742">
        <f>_xlfn.IFNA(INDEX($AR155:$AX155,MATCH(BX155,$AR$2:$AX$2,0))*12/365*[11]核心假设及结论!$C$70*$H155,0)</f>
        <v>0</v>
      </c>
      <c r="CA155" s="1739">
        <f t="shared" si="80"/>
        <v>2042</v>
      </c>
      <c r="CB155" s="1742">
        <f>_xlfn.IFNA(INDEX($AR155:$AX155,MATCH(CA155,$AR$2:$AX$2,0))*12/365*[11]核心假设及结论!$C$70*$H155,0)</f>
        <v>0</v>
      </c>
    </row>
    <row r="156" spans="1:80" ht="30" customHeight="1">
      <c r="A156" s="1756" t="s">
        <v>1687</v>
      </c>
      <c r="B156" s="1757" t="s">
        <v>2001</v>
      </c>
      <c r="C156" s="1756" t="s">
        <v>2002</v>
      </c>
      <c r="D156" s="1756" t="s">
        <v>1685</v>
      </c>
      <c r="E156" s="1758" t="s">
        <v>1692</v>
      </c>
      <c r="F156" s="1759"/>
      <c r="G156" s="1760" t="s">
        <v>1661</v>
      </c>
      <c r="H156" s="1761">
        <v>234</v>
      </c>
      <c r="I156" s="1761" t="s">
        <v>1913</v>
      </c>
      <c r="J156" s="1773">
        <v>44977</v>
      </c>
      <c r="K156" s="1773">
        <v>46072</v>
      </c>
      <c r="L156" s="1764">
        <f t="shared" si="62"/>
        <v>36</v>
      </c>
      <c r="M156" s="1774">
        <f t="shared" si="73"/>
        <v>190143.72</v>
      </c>
      <c r="N156" s="1775">
        <f t="shared" si="74"/>
        <v>699.58</v>
      </c>
      <c r="O156" s="1760">
        <v>163701.72</v>
      </c>
      <c r="P156" s="1776">
        <v>0.18</v>
      </c>
      <c r="Q156" s="1783">
        <f t="shared" si="63"/>
        <v>95</v>
      </c>
      <c r="R156" s="1784">
        <v>22230</v>
      </c>
      <c r="S156" s="1777">
        <f t="shared" si="64"/>
        <v>18</v>
      </c>
      <c r="T156" s="1777">
        <v>4212</v>
      </c>
      <c r="U156" s="1777"/>
      <c r="V156" s="1785">
        <v>856310.72499999998</v>
      </c>
      <c r="W156" s="1785">
        <f t="shared" si="65"/>
        <v>3659.4475427350426</v>
      </c>
      <c r="X156" s="1786">
        <f>(N156+Q156)*H156/V156</f>
        <v>0.21713113542984061</v>
      </c>
      <c r="Y156" s="1789">
        <f>VLOOKUP(E156,[11]核心假设及结论!$C$25:$E$45,3,0)</f>
        <v>0.2</v>
      </c>
      <c r="Z156" s="1790">
        <f t="shared" si="83"/>
        <v>163701.72</v>
      </c>
      <c r="AA156" s="1790">
        <f t="shared" si="83"/>
        <v>170820</v>
      </c>
      <c r="AB156" s="1790">
        <f t="shared" si="83"/>
        <v>0</v>
      </c>
      <c r="AC156" s="1790">
        <f t="shared" si="82"/>
        <v>0</v>
      </c>
      <c r="AD156" s="1790">
        <f t="shared" si="82"/>
        <v>0</v>
      </c>
      <c r="AE156" s="1790">
        <f t="shared" si="82"/>
        <v>0</v>
      </c>
      <c r="AF156" s="1790">
        <f t="shared" si="82"/>
        <v>0</v>
      </c>
      <c r="AG156" s="1794">
        <v>699.58</v>
      </c>
      <c r="AH156" s="1794">
        <v>730</v>
      </c>
      <c r="AI156" s="1794">
        <v>0</v>
      </c>
      <c r="AJ156" s="1794">
        <v>0</v>
      </c>
      <c r="AK156" s="1794">
        <v>0</v>
      </c>
      <c r="AL156" s="1794">
        <v>0</v>
      </c>
      <c r="AM156" s="1794">
        <v>0</v>
      </c>
      <c r="AN156" s="1795"/>
      <c r="AO156" s="1795"/>
      <c r="AP156" s="1808">
        <f t="shared" si="75"/>
        <v>1.085655677149203</v>
      </c>
      <c r="AQ156" s="1810">
        <f>IF(AP156&gt;[11]核心假设及结论!$B$59,[11]核心假设及结论!$D$59,IF(AP156&lt;=[11]核心假设及结论!$B$58,[11]核心假设及结论!$D$57,[11]核心假设及结论!$D$58))</f>
        <v>1.0069999999999999</v>
      </c>
      <c r="AR156" s="1809">
        <f t="shared" si="76"/>
        <v>699.58</v>
      </c>
      <c r="AS156" s="1809">
        <f>AH156*(AS$2&lt;=YEAR($K156))+AR156*$AQ156*(AS$2=YEAR($K156)+1)+INDEX([11]核心假设及结论!$E$17:$E$21,MATCH($D156,[11]核心假设及结论!$B$17:$B$21,0))*(AS$2&gt;YEAR($K156)+1)*AR156</f>
        <v>730</v>
      </c>
      <c r="AT156" s="1811">
        <f>AI156*(AT$2&lt;=YEAR($K156))+AS156*$AQ156*(AT$2=YEAR($K156)+1)+INDEX([11]核心假设及结论!$E$17:$E$21,MATCH($D156,[11]核心假设及结论!$B$17:$B$21,0))*(AT$2&gt;YEAR($K156)+1)*AS156</f>
        <v>735.1099999999999</v>
      </c>
      <c r="AU156" s="1809">
        <f>AJ156*(AU$2&lt;=YEAR($K156))+AT156*$AQ156*(AU$2=YEAR($K156)+1)+INDEX([11]核心假设及结论!$E$17:$E$21,MATCH($D156,[11]核心假设及结论!$B$17:$B$21,0))*(AU$2&gt;YEAR($K156)+1)*AT156</f>
        <v>755.01272908432475</v>
      </c>
      <c r="AV156" s="1809">
        <f>AK156*(AV$2&lt;=YEAR($K156))+AU156*$AQ156*(AV$2=YEAR($K156)+1)+INDEX([11]核心假设及结论!$E$17:$E$21,MATCH($D156,[11]核心假设及结论!$B$17:$B$21,0))*(AV$2&gt;YEAR($K156)+1)*AU156</f>
        <v>775.45431442826248</v>
      </c>
      <c r="AW156" s="1809">
        <f>AL156*(AW$2&lt;=YEAR($K156))+AV156*$AQ156*(AW$2=YEAR($K156)+1)+INDEX([11]核心假设及结论!$E$17:$E$21,MATCH($D156,[11]核心假设及结论!$B$17:$B$21,0))*(AW$2&gt;YEAR($K156)+1)*AV156</f>
        <v>796.44934529076818</v>
      </c>
      <c r="AX156" s="1809">
        <f>AM156*(AX$2&lt;=YEAR($K156))+AW156*$AQ156*(AX$2=YEAR($K156)+1)+INDEX([11]核心假设及结论!$E$17:$E$21,MATCH($D156,[11]核心假设及结论!$B$17:$B$21,0))*(AX$2&gt;YEAR($K156)+1)*AW156</f>
        <v>818.01280592755734</v>
      </c>
      <c r="AZ156" s="1746">
        <f t="shared" si="66"/>
        <v>46072</v>
      </c>
      <c r="BA156" s="1817">
        <f t="shared" si="67"/>
        <v>45658</v>
      </c>
      <c r="BB156" s="1817">
        <f t="shared" si="68"/>
        <v>45707</v>
      </c>
      <c r="BC156" s="1817">
        <f t="shared" si="69"/>
        <v>46022</v>
      </c>
      <c r="BD156" s="1818">
        <f t="shared" si="70"/>
        <v>50</v>
      </c>
      <c r="BE156" s="1818">
        <f t="shared" si="71"/>
        <v>315</v>
      </c>
      <c r="BG156" s="1777">
        <f t="shared" si="86"/>
        <v>203.81387178082193</v>
      </c>
      <c r="BH156" s="1777">
        <f t="shared" si="84"/>
        <v>206.22232799999998</v>
      </c>
      <c r="BI156" s="1777">
        <f t="shared" si="84"/>
        <v>211.242000857443</v>
      </c>
      <c r="BJ156" s="1777">
        <f t="shared" si="84"/>
        <v>216.96127051000713</v>
      </c>
      <c r="BK156" s="1777">
        <f t="shared" si="84"/>
        <v>222.83538647734747</v>
      </c>
      <c r="BL156" s="1777">
        <f t="shared" si="84"/>
        <v>228.86854114462105</v>
      </c>
      <c r="BM156" s="1777">
        <f t="shared" si="84"/>
        <v>31.465478891021661</v>
      </c>
      <c r="BO156" s="1739">
        <f t="shared" si="72"/>
        <v>2026</v>
      </c>
      <c r="BP156" s="1742">
        <f>_xlfn.IFNA(INDEX($AR156:$AX156,MATCH(BO156,$AR$2:$AX$2,0))*12/365*[11]核心假设及结论!$C$70*$H156,0)</f>
        <v>168480</v>
      </c>
      <c r="BR156" s="1739">
        <f t="shared" si="77"/>
        <v>2029</v>
      </c>
      <c r="BS156" s="1742">
        <f>_xlfn.IFNA(INDEX($AR156:$AX156,MATCH(BR156,$AR$2:$AX$2,0))*12/365*[11]核心假设及结论!$C$70*$H156,0)</f>
        <v>178970.60670530639</v>
      </c>
      <c r="BU156" s="1739">
        <f t="shared" si="78"/>
        <v>2032</v>
      </c>
      <c r="BV156" s="1742">
        <f>_xlfn.IFNA(INDEX($AR156:$AX156,MATCH(BU156,$AR$2:$AX$2,0))*12/365*[11]核心假设及结论!$C$70*$H156,0)</f>
        <v>0</v>
      </c>
      <c r="BX156" s="1739">
        <f t="shared" si="79"/>
        <v>2035</v>
      </c>
      <c r="BY156" s="1742">
        <f>_xlfn.IFNA(INDEX($AR156:$AX156,MATCH(BX156,$AR$2:$AX$2,0))*12/365*[11]核心假设及结论!$C$70*$H156,0)</f>
        <v>0</v>
      </c>
      <c r="CA156" s="1739">
        <f t="shared" si="80"/>
        <v>2038</v>
      </c>
      <c r="CB156" s="1742">
        <f>_xlfn.IFNA(INDEX($AR156:$AX156,MATCH(CA156,$AR$2:$AX$2,0))*12/365*[11]核心假设及结论!$C$70*$H156,0)</f>
        <v>0</v>
      </c>
    </row>
    <row r="157" spans="1:80" ht="30" customHeight="1">
      <c r="A157" s="1756" t="s">
        <v>1687</v>
      </c>
      <c r="B157" s="1757" t="s">
        <v>2003</v>
      </c>
      <c r="C157" s="1756" t="s">
        <v>2004</v>
      </c>
      <c r="D157" s="1756" t="s">
        <v>1698</v>
      </c>
      <c r="E157" s="1758" t="s">
        <v>1698</v>
      </c>
      <c r="F157" s="1759"/>
      <c r="G157" s="1760" t="s">
        <v>1661</v>
      </c>
      <c r="H157" s="1761">
        <v>232</v>
      </c>
      <c r="I157" s="1761" t="s">
        <v>1913</v>
      </c>
      <c r="J157" s="1773">
        <v>44872</v>
      </c>
      <c r="K157" s="1773">
        <v>46332</v>
      </c>
      <c r="L157" s="1764">
        <f t="shared" si="62"/>
        <v>48</v>
      </c>
      <c r="M157" s="1774">
        <f t="shared" si="73"/>
        <v>156915.51999999999</v>
      </c>
      <c r="N157" s="1775">
        <f t="shared" si="74"/>
        <v>562.74</v>
      </c>
      <c r="O157" s="1760">
        <v>130555.68</v>
      </c>
      <c r="P157" s="1776">
        <v>0.15</v>
      </c>
      <c r="Q157" s="1783">
        <f t="shared" si="63"/>
        <v>95</v>
      </c>
      <c r="R157" s="1784">
        <v>22040</v>
      </c>
      <c r="S157" s="1777">
        <f t="shared" si="64"/>
        <v>18.62</v>
      </c>
      <c r="T157" s="1777">
        <v>4319.84</v>
      </c>
      <c r="U157" s="1777"/>
      <c r="V157" s="1785">
        <v>716118.45750000002</v>
      </c>
      <c r="W157" s="1785">
        <f t="shared" si="65"/>
        <v>3086.7174892241378</v>
      </c>
      <c r="X157" s="1786">
        <f>(N157+Q157)*H157/V157</f>
        <v>0.213087204221377</v>
      </c>
      <c r="Y157" s="1789">
        <f>VLOOKUP(E157,[11]核心假设及结论!$C$25:$E$45,3,0)</f>
        <v>0.2</v>
      </c>
      <c r="Z157" s="1790">
        <f t="shared" si="83"/>
        <v>134077.44</v>
      </c>
      <c r="AA157" s="1790">
        <f t="shared" si="83"/>
        <v>138098</v>
      </c>
      <c r="AB157" s="1790">
        <f t="shared" si="83"/>
        <v>0</v>
      </c>
      <c r="AC157" s="1790">
        <f t="shared" si="82"/>
        <v>0</v>
      </c>
      <c r="AD157" s="1790">
        <f t="shared" si="82"/>
        <v>0</v>
      </c>
      <c r="AE157" s="1790">
        <f t="shared" si="82"/>
        <v>0</v>
      </c>
      <c r="AF157" s="1790">
        <f t="shared" si="82"/>
        <v>0</v>
      </c>
      <c r="AG157" s="1794">
        <v>577.91999999999996</v>
      </c>
      <c r="AH157" s="1794">
        <v>595.25</v>
      </c>
      <c r="AI157" s="1794">
        <v>0</v>
      </c>
      <c r="AJ157" s="1794">
        <v>0</v>
      </c>
      <c r="AK157" s="1794">
        <v>0</v>
      </c>
      <c r="AL157" s="1794">
        <v>0</v>
      </c>
      <c r="AM157" s="1794">
        <v>0</v>
      </c>
      <c r="AN157" s="1795"/>
      <c r="AO157" s="1795"/>
      <c r="AP157" s="1808">
        <f t="shared" si="75"/>
        <v>1.065436021106885</v>
      </c>
      <c r="AQ157" s="1812">
        <f>IF(AP157&gt;[11]核心假设及结论!$B$62,[11]核心假设及结论!$D$62,IF(AP157&lt;=[11]核心假设及结论!$B$61,[11]核心假设及结论!$D$60,[11]核心假设及结论!$D$61))</f>
        <v>1.0489999999999999</v>
      </c>
      <c r="AR157" s="1809">
        <f t="shared" si="76"/>
        <v>577.91999999999996</v>
      </c>
      <c r="AS157" s="1809">
        <f>AH157*(AS$2&lt;=YEAR($K157))+AR157*$AQ157*(AS$2=YEAR($K157)+1)+INDEX([11]核心假设及结论!$E$17:$E$21,MATCH($D157,[11]核心假设及结论!$B$17:$B$21,0))*(AS$2&gt;YEAR($K157)+1)*AR157</f>
        <v>595.25</v>
      </c>
      <c r="AT157" s="1811">
        <f>AI157*(AT$2&lt;=YEAR($K157))+AS157*$AQ157*(AT$2=YEAR($K157)+1)+INDEX([11]核心假设及结论!$E$17:$E$21,MATCH($D157,[11]核心假设及结论!$B$17:$B$21,0))*(AT$2&gt;YEAR($K157)+1)*AS157</f>
        <v>624.41724999999997</v>
      </c>
      <c r="AU157" s="1809">
        <f>AJ157*(AU$2&lt;=YEAR($K157))+AT157*$AQ157*(AU$2=YEAR($K157)+1)+INDEX([11]核心假设及结论!$E$17:$E$21,MATCH($D157,[11]核心假设及结论!$B$17:$B$21,0))*(AU$2&gt;YEAR($K157)+1)*AT157</f>
        <v>643.535286059599</v>
      </c>
      <c r="AV157" s="1809">
        <f>AK157*(AV$2&lt;=YEAR($K157))+AU157*$AQ157*(AV$2=YEAR($K157)+1)+INDEX([11]核心假设及结论!$E$17:$E$21,MATCH($D157,[11]核心假设及结论!$B$17:$B$21,0))*(AV$2&gt;YEAR($K157)+1)*AU157</f>
        <v>663.2386667790006</v>
      </c>
      <c r="AW157" s="1809">
        <f>AL157*(AW$2&lt;=YEAR($K157))+AV157*$AQ157*(AW$2=YEAR($K157)+1)+INDEX([11]核心假设及结论!$E$17:$E$21,MATCH($D157,[11]核心假设及结论!$B$17:$B$21,0))*(AW$2&gt;YEAR($K157)+1)*AV157</f>
        <v>683.54531389293174</v>
      </c>
      <c r="AX157" s="1809">
        <f>AM157*(AX$2&lt;=YEAR($K157))+AW157*$AQ157*(AX$2=YEAR($K157)+1)+INDEX([11]核心假设及结论!$E$17:$E$21,MATCH($D157,[11]核心假设及结论!$B$17:$B$21,0))*(AX$2&gt;YEAR($K157)+1)*AW157</f>
        <v>704.47369785313629</v>
      </c>
      <c r="AZ157" s="1746">
        <f t="shared" si="66"/>
        <v>46332</v>
      </c>
      <c r="BA157" s="1817">
        <f t="shared" si="67"/>
        <v>45658</v>
      </c>
      <c r="BB157" s="1817">
        <f t="shared" si="68"/>
        <v>45967</v>
      </c>
      <c r="BC157" s="1817">
        <f t="shared" si="69"/>
        <v>46022</v>
      </c>
      <c r="BD157" s="1818">
        <f t="shared" si="70"/>
        <v>310</v>
      </c>
      <c r="BE157" s="1818">
        <f t="shared" si="71"/>
        <v>55</v>
      </c>
      <c r="BG157" s="1777">
        <f t="shared" si="86"/>
        <v>161.61993336986299</v>
      </c>
      <c r="BH157" s="1777">
        <f t="shared" si="84"/>
        <v>166.94118611506849</v>
      </c>
      <c r="BI157" s="1777">
        <f t="shared" si="84"/>
        <v>174.63977710724541</v>
      </c>
      <c r="BJ157" s="1777">
        <f t="shared" si="84"/>
        <v>179.98679395563749</v>
      </c>
      <c r="BK157" s="1777">
        <f t="shared" si="84"/>
        <v>185.49752258636559</v>
      </c>
      <c r="BL157" s="1777">
        <f t="shared" si="84"/>
        <v>191.17697542943233</v>
      </c>
      <c r="BM157" s="1777">
        <f t="shared" si="84"/>
        <v>166.57232334114263</v>
      </c>
      <c r="BO157" s="1739">
        <f t="shared" si="72"/>
        <v>2026</v>
      </c>
      <c r="BP157" s="1742">
        <f>_xlfn.IFNA(INDEX($AR157:$AX157,MATCH(BO157,$AR$2:$AX$2,0))*12/365*[11]核心假设及结论!$C$70*$H157,0)</f>
        <v>136206.24657534246</v>
      </c>
      <c r="BR157" s="1739">
        <f t="shared" si="77"/>
        <v>2030</v>
      </c>
      <c r="BS157" s="1742">
        <f>_xlfn.IFNA(INDEX($AR157:$AX157,MATCH(BR157,$AR$2:$AX$2,0))*12/365*[11]核心假设及结论!$C$70*$H157,0)</f>
        <v>156410.14963380183</v>
      </c>
      <c r="BU157" s="1739">
        <f t="shared" si="78"/>
        <v>2034</v>
      </c>
      <c r="BV157" s="1742">
        <f>_xlfn.IFNA(INDEX($AR157:$AX157,MATCH(BU157,$AR$2:$AX$2,0))*12/365*[11]核心假设及结论!$C$70*$H157,0)</f>
        <v>0</v>
      </c>
      <c r="BX157" s="1739">
        <f t="shared" si="79"/>
        <v>2038</v>
      </c>
      <c r="BY157" s="1742">
        <f>_xlfn.IFNA(INDEX($AR157:$AX157,MATCH(BX157,$AR$2:$AX$2,0))*12/365*[11]核心假设及结论!$C$70*$H157,0)</f>
        <v>0</v>
      </c>
      <c r="CA157" s="1739">
        <f t="shared" si="80"/>
        <v>2042</v>
      </c>
      <c r="CB157" s="1742">
        <f>_xlfn.IFNA(INDEX($AR157:$AX157,MATCH(CA157,$AR$2:$AX$2,0))*12/365*[11]核心假设及结论!$C$70*$H157,0)</f>
        <v>0</v>
      </c>
    </row>
    <row r="158" spans="1:80" ht="30" customHeight="1">
      <c r="A158" s="1756" t="s">
        <v>1662</v>
      </c>
      <c r="B158" s="1757" t="s">
        <v>2005</v>
      </c>
      <c r="C158" s="1756" t="s">
        <v>2006</v>
      </c>
      <c r="D158" s="1756" t="s">
        <v>1685</v>
      </c>
      <c r="E158" s="1758" t="s">
        <v>1718</v>
      </c>
      <c r="F158" s="1759"/>
      <c r="G158" s="1760" t="s">
        <v>1661</v>
      </c>
      <c r="H158" s="1761">
        <v>230</v>
      </c>
      <c r="I158" s="1761" t="s">
        <v>1913</v>
      </c>
      <c r="J158" s="1773">
        <v>45237</v>
      </c>
      <c r="K158" s="1773">
        <v>46332</v>
      </c>
      <c r="L158" s="1764">
        <f t="shared" si="62"/>
        <v>36</v>
      </c>
      <c r="M158" s="1774">
        <f t="shared" si="73"/>
        <v>270843.40000000002</v>
      </c>
      <c r="N158" s="1775">
        <f t="shared" si="74"/>
        <v>1064.58</v>
      </c>
      <c r="O158" s="1760">
        <v>244853.4</v>
      </c>
      <c r="P158" s="1776">
        <v>0.16</v>
      </c>
      <c r="Q158" s="1783">
        <f t="shared" si="63"/>
        <v>95</v>
      </c>
      <c r="R158" s="1784">
        <v>21850</v>
      </c>
      <c r="S158" s="1777">
        <f t="shared" si="64"/>
        <v>18</v>
      </c>
      <c r="T158" s="1777">
        <v>4140</v>
      </c>
      <c r="U158" s="1777"/>
      <c r="V158" s="1785">
        <v>736915.80416666705</v>
      </c>
      <c r="W158" s="1785">
        <f t="shared" si="65"/>
        <v>3203.9817572463785</v>
      </c>
      <c r="X158" s="1786">
        <f>(N158+Q158+S158)*H158/V158</f>
        <v>0.36753642474295983</v>
      </c>
      <c r="Y158" s="1789">
        <f>VLOOKUP(E158,[11]核心假设及结论!$C$25:$E$45,3,0)</f>
        <v>0.2</v>
      </c>
      <c r="Z158" s="1790">
        <f t="shared" si="83"/>
        <v>244853.4</v>
      </c>
      <c r="AA158" s="1790">
        <f t="shared" si="83"/>
        <v>251850</v>
      </c>
      <c r="AB158" s="1790">
        <f t="shared" si="83"/>
        <v>0</v>
      </c>
      <c r="AC158" s="1790">
        <f t="shared" si="82"/>
        <v>0</v>
      </c>
      <c r="AD158" s="1790">
        <f t="shared" si="82"/>
        <v>0</v>
      </c>
      <c r="AE158" s="1790">
        <f t="shared" si="82"/>
        <v>0</v>
      </c>
      <c r="AF158" s="1790">
        <f t="shared" si="82"/>
        <v>0</v>
      </c>
      <c r="AG158" s="1794">
        <v>1064.58</v>
      </c>
      <c r="AH158" s="1794">
        <v>1095</v>
      </c>
      <c r="AI158" s="1794">
        <v>0</v>
      </c>
      <c r="AJ158" s="1794">
        <v>0</v>
      </c>
      <c r="AK158" s="1794">
        <v>0</v>
      </c>
      <c r="AL158" s="1794">
        <v>0</v>
      </c>
      <c r="AM158" s="1794">
        <v>0</v>
      </c>
      <c r="AN158" s="1795"/>
      <c r="AO158" s="1795"/>
      <c r="AP158" s="1808">
        <f t="shared" si="75"/>
        <v>1.8376821237147991</v>
      </c>
      <c r="AQ158" s="1810">
        <f>IF(AP158&gt;[11]核心假设及结论!$B$59,[11]核心假设及结论!$D$59,IF(AP158&lt;=[11]核心假设及结论!$B$58,[11]核心假设及结论!$D$57,[11]核心假设及结论!$D$58))</f>
        <v>1</v>
      </c>
      <c r="AR158" s="1809">
        <f t="shared" si="76"/>
        <v>1064.58</v>
      </c>
      <c r="AS158" s="1809">
        <f>AH158*(AS$2&lt;=YEAR($K158))+AR158*$AQ158*(AS$2=YEAR($K158)+1)+INDEX([11]核心假设及结论!$E$17:$E$21,MATCH($D158,[11]核心假设及结论!$B$17:$B$21,0))*(AS$2&gt;YEAR($K158)+1)*AR158</f>
        <v>1095</v>
      </c>
      <c r="AT158" s="1811">
        <f>AI158*(AT$2&lt;=YEAR($K158))+AS158*$AQ158*(AT$2=YEAR($K158)+1)+INDEX([11]核心假设及结论!$E$17:$E$21,MATCH($D158,[11]核心假设及结论!$B$17:$B$21,0))*(AT$2&gt;YEAR($K158)+1)*AS158</f>
        <v>1095</v>
      </c>
      <c r="AU158" s="1809">
        <f>AJ158*(AU$2&lt;=YEAR($K158))+AT158*$AQ158*(AU$2=YEAR($K158)+1)+INDEX([11]核心假设及结论!$E$17:$E$21,MATCH($D158,[11]核心假设及结论!$B$17:$B$21,0))*(AU$2&gt;YEAR($K158)+1)*AT158</f>
        <v>1124.6465676529169</v>
      </c>
      <c r="AV158" s="1809">
        <f>AK158*(AV$2&lt;=YEAR($K158))+AU158*$AQ158*(AV$2=YEAR($K158)+1)+INDEX([11]核心假设及结论!$E$17:$E$21,MATCH($D158,[11]核心假设及结论!$B$17:$B$21,0))*(AV$2&gt;YEAR($K158)+1)*AU158</f>
        <v>1155.095801035148</v>
      </c>
      <c r="AW158" s="1809">
        <f>AL158*(AW$2&lt;=YEAR($K158))+AV158*$AQ158*(AW$2=YEAR($K158)+1)+INDEX([11]核心假设及结论!$E$17:$E$21,MATCH($D158,[11]核心假设及结论!$B$17:$B$21,0))*(AW$2&gt;YEAR($K158)+1)*AV158</f>
        <v>1186.3694319127633</v>
      </c>
      <c r="AX158" s="1809">
        <f>AM158*(AX$2&lt;=YEAR($K158))+AW158*$AQ158*(AX$2=YEAR($K158)+1)+INDEX([11]核心假设及结论!$E$17:$E$21,MATCH($D158,[11]核心假设及结论!$B$17:$B$21,0))*(AX$2&gt;YEAR($K158)+1)*AW158</f>
        <v>1218.489780428338</v>
      </c>
      <c r="AZ158" s="1746">
        <f t="shared" si="66"/>
        <v>46332</v>
      </c>
      <c r="BA158" s="1817">
        <f t="shared" si="67"/>
        <v>45658</v>
      </c>
      <c r="BB158" s="1817">
        <f t="shared" si="68"/>
        <v>45967</v>
      </c>
      <c r="BC158" s="1817">
        <f t="shared" si="69"/>
        <v>46022</v>
      </c>
      <c r="BD158" s="1818">
        <f t="shared" si="70"/>
        <v>310</v>
      </c>
      <c r="BE158" s="1818">
        <f t="shared" si="71"/>
        <v>55</v>
      </c>
      <c r="BG158" s="1777">
        <f t="shared" si="86"/>
        <v>295.08921863013694</v>
      </c>
      <c r="BH158" s="1777">
        <f t="shared" si="84"/>
        <v>302.22000000000003</v>
      </c>
      <c r="BI158" s="1777">
        <f t="shared" si="84"/>
        <v>303.45297232046926</v>
      </c>
      <c r="BJ158" s="1777">
        <f t="shared" si="84"/>
        <v>311.66880709067703</v>
      </c>
      <c r="BK158" s="1777">
        <f t="shared" si="84"/>
        <v>320.10708140548769</v>
      </c>
      <c r="BL158" s="1777">
        <f t="shared" si="84"/>
        <v>328.77381770235121</v>
      </c>
      <c r="BM158" s="1777">
        <f t="shared" si="84"/>
        <v>285.62735784506464</v>
      </c>
      <c r="BO158" s="1739">
        <f t="shared" si="72"/>
        <v>2026</v>
      </c>
      <c r="BP158" s="1742">
        <f>_xlfn.IFNA(INDEX($AR158:$AX158,MATCH(BO158,$AR$2:$AX$2,0))*12/365*[11]核心假设及结论!$C$70*$H158,0)</f>
        <v>248400</v>
      </c>
      <c r="BR158" s="1739">
        <f t="shared" si="77"/>
        <v>2029</v>
      </c>
      <c r="BS158" s="1742">
        <f>_xlfn.IFNA(INDEX($AR158:$AX158,MATCH(BR158,$AR$2:$AX$2,0))*12/365*[11]核心假设及结论!$C$70*$H158,0)</f>
        <v>262032.69130331578</v>
      </c>
      <c r="BU158" s="1739">
        <f t="shared" si="78"/>
        <v>2032</v>
      </c>
      <c r="BV158" s="1742">
        <f>_xlfn.IFNA(INDEX($AR158:$AX158,MATCH(BU158,$AR$2:$AX$2,0))*12/365*[11]核心假设及结论!$C$70*$H158,0)</f>
        <v>0</v>
      </c>
      <c r="BX158" s="1739">
        <f t="shared" si="79"/>
        <v>2035</v>
      </c>
      <c r="BY158" s="1742">
        <f>_xlfn.IFNA(INDEX($AR158:$AX158,MATCH(BX158,$AR$2:$AX$2,0))*12/365*[11]核心假设及结论!$C$70*$H158,0)</f>
        <v>0</v>
      </c>
      <c r="CA158" s="1739">
        <f t="shared" si="80"/>
        <v>2038</v>
      </c>
      <c r="CB158" s="1742">
        <f>_xlfn.IFNA(INDEX($AR158:$AX158,MATCH(CA158,$AR$2:$AX$2,0))*12/365*[11]核心假设及结论!$C$70*$H158,0)</f>
        <v>0</v>
      </c>
    </row>
    <row r="159" spans="1:80" ht="30" customHeight="1">
      <c r="A159" s="1756" t="s">
        <v>1662</v>
      </c>
      <c r="B159" s="1757" t="s">
        <v>2007</v>
      </c>
      <c r="C159" s="1756" t="s">
        <v>2008</v>
      </c>
      <c r="D159" s="1756" t="s">
        <v>1698</v>
      </c>
      <c r="E159" s="1758" t="s">
        <v>1698</v>
      </c>
      <c r="F159" s="1759"/>
      <c r="G159" s="1760" t="s">
        <v>1661</v>
      </c>
      <c r="H159" s="1761">
        <v>230</v>
      </c>
      <c r="I159" s="1761" t="s">
        <v>1913</v>
      </c>
      <c r="J159" s="1773">
        <v>45367</v>
      </c>
      <c r="K159" s="1773">
        <v>46827</v>
      </c>
      <c r="L159" s="1764">
        <f t="shared" si="62"/>
        <v>48</v>
      </c>
      <c r="M159" s="1774">
        <f t="shared" si="73"/>
        <v>150765</v>
      </c>
      <c r="N159" s="1775">
        <f t="shared" si="74"/>
        <v>547.5</v>
      </c>
      <c r="O159" s="1760">
        <v>125925</v>
      </c>
      <c r="P159" s="1776">
        <v>0.1</v>
      </c>
      <c r="Q159" s="1783">
        <f t="shared" si="63"/>
        <v>90</v>
      </c>
      <c r="R159" s="1784">
        <v>20700</v>
      </c>
      <c r="S159" s="1777">
        <f t="shared" si="64"/>
        <v>18</v>
      </c>
      <c r="T159" s="1777">
        <v>4140</v>
      </c>
      <c r="U159" s="1777"/>
      <c r="V159" s="1785">
        <v>1819682.84</v>
      </c>
      <c r="W159" s="1785">
        <f t="shared" si="65"/>
        <v>7911.6645217391306</v>
      </c>
      <c r="X159" s="1786">
        <f t="shared" ref="X159:X163" si="87">(N159+Q159)*H159/V159</f>
        <v>8.0577228502083362E-2</v>
      </c>
      <c r="Y159" s="1789">
        <f>VLOOKUP(E159,[11]核心假设及结论!$C$25:$E$45,3,0)</f>
        <v>0.2</v>
      </c>
      <c r="Z159" s="1790">
        <f t="shared" si="83"/>
        <v>125925</v>
      </c>
      <c r="AA159" s="1790">
        <f t="shared" si="83"/>
        <v>132222.39999999999</v>
      </c>
      <c r="AB159" s="1790">
        <f t="shared" si="83"/>
        <v>138867.1</v>
      </c>
      <c r="AC159" s="1790">
        <f t="shared" si="82"/>
        <v>145792.4</v>
      </c>
      <c r="AD159" s="1790">
        <f t="shared" si="82"/>
        <v>0</v>
      </c>
      <c r="AE159" s="1790">
        <f t="shared" si="82"/>
        <v>0</v>
      </c>
      <c r="AF159" s="1790">
        <f t="shared" si="82"/>
        <v>0</v>
      </c>
      <c r="AG159" s="1794">
        <v>547.5</v>
      </c>
      <c r="AH159" s="1794">
        <v>574.88</v>
      </c>
      <c r="AI159" s="1794">
        <v>603.77</v>
      </c>
      <c r="AJ159" s="1794">
        <v>633.88</v>
      </c>
      <c r="AK159" s="1794">
        <v>0</v>
      </c>
      <c r="AL159" s="1794">
        <v>0</v>
      </c>
      <c r="AM159" s="1794">
        <v>0</v>
      </c>
      <c r="AN159" s="1795"/>
      <c r="AO159" s="1795"/>
      <c r="AP159" s="1808">
        <f t="shared" si="75"/>
        <v>0.40288614251041677</v>
      </c>
      <c r="AQ159" s="1812">
        <f>IF(AP159&gt;[11]核心假设及结论!$B$62,[11]核心假设及结论!$D$62,IF(AP159&lt;=[11]核心假设及结论!$B$61,[11]核心假设及结论!$D$60,[11]核心假设及结论!$D$61))</f>
        <v>1.0811176582269599</v>
      </c>
      <c r="AR159" s="1809">
        <f t="shared" si="76"/>
        <v>547.5</v>
      </c>
      <c r="AS159" s="1809">
        <f>AH159*(AS$2&lt;=YEAR($K159))+AR159*$AQ159*(AS$2=YEAR($K159)+1)+INDEX([11]核心假设及结论!$E$17:$E$21,MATCH($D159,[11]核心假设及结论!$B$17:$B$21,0))*(AS$2&gt;YEAR($K159)+1)*AR159</f>
        <v>574.88</v>
      </c>
      <c r="AT159" s="1809">
        <f>AI159*(AT$2&lt;=YEAR($K159))+AS159*$AQ159*(AT$2=YEAR($K159)+1)+INDEX([11]核心假设及结论!$E$17:$E$21,MATCH($D159,[11]核心假设及结论!$B$17:$B$21,0))*(AT$2&gt;YEAR($K159)+1)*AS159</f>
        <v>603.77</v>
      </c>
      <c r="AU159" s="1809">
        <f>AJ159*(AU$2&lt;=YEAR($K159))+AT159*$AQ159*(AU$2=YEAR($K159)+1)+INDEX([11]核心假设及结论!$E$17:$E$21,MATCH($D159,[11]核心假设及结论!$B$17:$B$21,0))*(AU$2&gt;YEAR($K159)+1)*AT159</f>
        <v>633.88</v>
      </c>
      <c r="AV159" s="1811">
        <f>AK159*(AV$2&lt;=YEAR($K159))+AU159*$AQ159*(AV$2=YEAR($K159)+1)+INDEX([11]核心假设及结论!$E$17:$E$21,MATCH($D159,[11]核心假设及结论!$B$17:$B$21,0))*(AV$2&gt;YEAR($K159)+1)*AU159</f>
        <v>685.29886119690536</v>
      </c>
      <c r="AW159" s="1809">
        <f>AL159*(AW$2&lt;=YEAR($K159))+AV159*$AQ159*(AW$2=YEAR($K159)+1)+INDEX([11]核心假设及结论!$E$17:$E$21,MATCH($D159,[11]核心假设及结论!$B$17:$B$21,0))*(AW$2&gt;YEAR($K159)+1)*AV159</f>
        <v>706.28093422574079</v>
      </c>
      <c r="AX159" s="1809">
        <f>AM159*(AX$2&lt;=YEAR($K159))+AW159*$AQ159*(AX$2=YEAR($K159)+1)+INDEX([11]核心假设及结论!$E$17:$E$21,MATCH($D159,[11]核心假设及结论!$B$17:$B$21,0))*(AX$2&gt;YEAR($K159)+1)*AW159</f>
        <v>727.90542388987967</v>
      </c>
      <c r="AZ159" s="1746">
        <f t="shared" si="66"/>
        <v>46827</v>
      </c>
      <c r="BA159" s="1817">
        <f t="shared" si="67"/>
        <v>45658</v>
      </c>
      <c r="BB159" s="1817">
        <f t="shared" si="68"/>
        <v>45731</v>
      </c>
      <c r="BC159" s="1817">
        <f t="shared" si="69"/>
        <v>46022</v>
      </c>
      <c r="BD159" s="1818">
        <f t="shared" si="70"/>
        <v>74</v>
      </c>
      <c r="BE159" s="1818">
        <f t="shared" si="71"/>
        <v>291</v>
      </c>
      <c r="BG159" s="1777">
        <f t="shared" si="86"/>
        <v>157.13480021917806</v>
      </c>
      <c r="BH159" s="1777">
        <f t="shared" si="84"/>
        <v>165.0239464109589</v>
      </c>
      <c r="BI159" s="1777">
        <f t="shared" si="84"/>
        <v>173.26603989041095</v>
      </c>
      <c r="BJ159" s="1777">
        <f t="shared" si="84"/>
        <v>186.26528344079634</v>
      </c>
      <c r="BK159" s="1777">
        <f t="shared" si="84"/>
        <v>193.75946151879504</v>
      </c>
      <c r="BL159" s="1777">
        <f t="shared" si="84"/>
        <v>199.69187349524958</v>
      </c>
      <c r="BM159" s="1777">
        <f t="shared" si="84"/>
        <v>40.730795554868223</v>
      </c>
      <c r="BO159" s="1739">
        <f t="shared" si="72"/>
        <v>2028</v>
      </c>
      <c r="BP159" s="1742">
        <f>_xlfn.IFNA(INDEX($AR159:$AX159,MATCH(BO159,$AR$2:$AX$2,0))*12/365*[11]核心假设及结论!$C$70*$H159,0)</f>
        <v>143795.24383561642</v>
      </c>
      <c r="BR159" s="1739">
        <f t="shared" si="77"/>
        <v>2032</v>
      </c>
      <c r="BS159" s="1742">
        <f>_xlfn.IFNA(INDEX($AR159:$AX159,MATCH(BR159,$AR$2:$AX$2,0))*12/365*[11]核心假设及结论!$C$70*$H159,0)</f>
        <v>0</v>
      </c>
      <c r="BU159" s="1739">
        <f t="shared" si="78"/>
        <v>2036</v>
      </c>
      <c r="BV159" s="1742">
        <f>_xlfn.IFNA(INDEX($AR159:$AX159,MATCH(BU159,$AR$2:$AX$2,0))*12/365*[11]核心假设及结论!$C$70*$H159,0)</f>
        <v>0</v>
      </c>
      <c r="BX159" s="1739">
        <f t="shared" si="79"/>
        <v>2040</v>
      </c>
      <c r="BY159" s="1742">
        <f>_xlfn.IFNA(INDEX($AR159:$AX159,MATCH(BX159,$AR$2:$AX$2,0))*12/365*[11]核心假设及结论!$C$70*$H159,0)</f>
        <v>0</v>
      </c>
      <c r="CA159" s="1739">
        <f t="shared" si="80"/>
        <v>2044</v>
      </c>
      <c r="CB159" s="1742">
        <f>_xlfn.IFNA(INDEX($AR159:$AX159,MATCH(CA159,$AR$2:$AX$2,0))*12/365*[11]核心假设及结论!$C$70*$H159,0)</f>
        <v>0</v>
      </c>
    </row>
    <row r="160" spans="1:80" ht="30" customHeight="1">
      <c r="A160" s="1756" t="s">
        <v>1687</v>
      </c>
      <c r="B160" s="1757" t="s">
        <v>2009</v>
      </c>
      <c r="C160" s="1756" t="s">
        <v>2010</v>
      </c>
      <c r="D160" s="1756" t="s">
        <v>1676</v>
      </c>
      <c r="E160" s="1758" t="s">
        <v>1758</v>
      </c>
      <c r="F160" s="1759"/>
      <c r="G160" s="1760" t="s">
        <v>1661</v>
      </c>
      <c r="H160" s="1761">
        <v>230</v>
      </c>
      <c r="I160" s="1761" t="s">
        <v>1913</v>
      </c>
      <c r="J160" s="1773">
        <v>43791</v>
      </c>
      <c r="K160" s="1773">
        <v>45982</v>
      </c>
      <c r="L160" s="1764">
        <f t="shared" si="62"/>
        <v>72</v>
      </c>
      <c r="M160" s="1774">
        <f t="shared" si="73"/>
        <v>99590</v>
      </c>
      <c r="N160" s="1775">
        <f t="shared" si="74"/>
        <v>319.38</v>
      </c>
      <c r="O160" s="1760">
        <v>73457.399999999994</v>
      </c>
      <c r="P160" s="1776">
        <v>0.1</v>
      </c>
      <c r="Q160" s="1783">
        <f t="shared" si="63"/>
        <v>95</v>
      </c>
      <c r="R160" s="1784">
        <v>21850</v>
      </c>
      <c r="S160" s="1777">
        <f t="shared" si="64"/>
        <v>18.62</v>
      </c>
      <c r="T160" s="1784">
        <v>4282.6000000000004</v>
      </c>
      <c r="U160" s="1777"/>
      <c r="V160" s="1785">
        <v>296706.27250000002</v>
      </c>
      <c r="W160" s="1785">
        <f t="shared" si="65"/>
        <v>1290.0272717391306</v>
      </c>
      <c r="X160" s="1786">
        <f t="shared" si="87"/>
        <v>0.32121801536905487</v>
      </c>
      <c r="Y160" s="1789">
        <f>VLOOKUP(E160,[11]核心假设及结论!$C$25:$E$45,3,0)</f>
        <v>0.2</v>
      </c>
      <c r="Z160" s="1790">
        <f t="shared" si="83"/>
        <v>58765</v>
      </c>
      <c r="AA160" s="1790">
        <f t="shared" si="83"/>
        <v>0</v>
      </c>
      <c r="AB160" s="1790">
        <f t="shared" si="83"/>
        <v>0</v>
      </c>
      <c r="AC160" s="1790">
        <f t="shared" si="82"/>
        <v>0</v>
      </c>
      <c r="AD160" s="1790">
        <f t="shared" si="82"/>
        <v>0</v>
      </c>
      <c r="AE160" s="1790">
        <f t="shared" si="82"/>
        <v>0</v>
      </c>
      <c r="AF160" s="1790">
        <f t="shared" si="82"/>
        <v>0</v>
      </c>
      <c r="AG160" s="1794">
        <v>255.5</v>
      </c>
      <c r="AH160" s="1794">
        <v>0</v>
      </c>
      <c r="AI160" s="1794">
        <v>0</v>
      </c>
      <c r="AJ160" s="1794">
        <v>0</v>
      </c>
      <c r="AK160" s="1794">
        <v>0</v>
      </c>
      <c r="AL160" s="1794">
        <v>0</v>
      </c>
      <c r="AM160" s="1794">
        <v>0</v>
      </c>
      <c r="AN160" s="1797"/>
      <c r="AO160" s="1797"/>
      <c r="AP160" s="1808">
        <f t="shared" si="75"/>
        <v>1.6060900768452742</v>
      </c>
      <c r="AQ160" s="1808">
        <f>IF(AP160&gt;[11]核心假设及结论!$B$65,[11]核心假设及结论!$D$65,IF(AP160&lt;=[11]核心假设及结论!$B$64,[11]核心假设及结论!$D$63,[11]核心假设及结论!$D$64))</f>
        <v>0.72793038402688603</v>
      </c>
      <c r="AR160" s="1809">
        <f t="shared" si="76"/>
        <v>255.5</v>
      </c>
      <c r="AS160" s="1811">
        <f>AH160*(AS$2&lt;=YEAR($K160))+AR160*$AQ160*(AS$2=YEAR($K160)+1)+INDEX([11]核心假设及结论!$E$17:$E$21,MATCH($D160,[11]核心假设及结论!$B$17:$B$21,0))*(AS$2&gt;YEAR($K160)+1)*AR160</f>
        <v>185.98621311886939</v>
      </c>
      <c r="AT160" s="1809">
        <f>AI160*(AT$2&lt;=YEAR($K160))+AS160*$AQ160*(AT$2=YEAR($K160)+1)+INDEX([11]核心假设及结论!$E$17:$E$21,MATCH($D160,[11]核心假设及结论!$B$17:$B$21,0))*(AT$2&gt;YEAR($K160)+1)*AS160</f>
        <v>192.41670271078297</v>
      </c>
      <c r="AU160" s="1809">
        <f>AJ160*(AU$2&lt;=YEAR($K160))+AT160*$AQ160*(AU$2=YEAR($K160)+1)+INDEX([11]核心假设及结论!$E$17:$E$21,MATCH($D160,[11]核心假设及结论!$B$17:$B$21,0))*(AU$2&gt;YEAR($K160)+1)*AT160</f>
        <v>199.06952704298874</v>
      </c>
      <c r="AV160" s="1809">
        <f>AK160*(AV$2&lt;=YEAR($K160))+AU160*$AQ160*(AV$2=YEAR($K160)+1)+INDEX([11]核心假设及结论!$E$17:$E$21,MATCH($D160,[11]核心假设及结论!$B$17:$B$21,0))*(AV$2&gt;YEAR($K160)+1)*AU160</f>
        <v>205.95237335858602</v>
      </c>
      <c r="AW160" s="1809">
        <f>AL160*(AW$2&lt;=YEAR($K160))+AV160*$AQ160*(AW$2=YEAR($K160)+1)+INDEX([11]核心假设及结论!$E$17:$E$21,MATCH($D160,[11]核心假设及结论!$B$17:$B$21,0))*(AW$2&gt;YEAR($K160)+1)*AV160</f>
        <v>213.07319468777689</v>
      </c>
      <c r="AX160" s="1809">
        <f>AM160*(AX$2&lt;=YEAR($K160))+AW160*$AQ160*(AX$2=YEAR($K160)+1)+INDEX([11]核心假设及结论!$E$17:$E$21,MATCH($D160,[11]核心假设及结论!$B$17:$B$21,0))*(AX$2&gt;YEAR($K160)+1)*AW160</f>
        <v>220.44021903747861</v>
      </c>
      <c r="AZ160" s="1746">
        <f t="shared" si="66"/>
        <v>45982</v>
      </c>
      <c r="BA160" s="1817">
        <f t="shared" si="67"/>
        <v>45658</v>
      </c>
      <c r="BB160" s="1817">
        <f t="shared" si="68"/>
        <v>45982</v>
      </c>
      <c r="BC160" s="1817">
        <f t="shared" si="69"/>
        <v>46022</v>
      </c>
      <c r="BD160" s="1818">
        <f t="shared" si="70"/>
        <v>325</v>
      </c>
      <c r="BE160" s="1818">
        <f t="shared" si="71"/>
        <v>40</v>
      </c>
      <c r="BG160" s="1777">
        <f t="shared" si="86"/>
        <v>68.415446007759769</v>
      </c>
      <c r="BH160" s="1777">
        <f t="shared" si="84"/>
        <v>51.526695108738707</v>
      </c>
      <c r="BI160" s="1777">
        <f t="shared" si="84"/>
        <v>53.308235100580355</v>
      </c>
      <c r="BJ160" s="1777">
        <f t="shared" si="84"/>
        <v>55.151371993520229</v>
      </c>
      <c r="BK160" s="1777">
        <f t="shared" si="84"/>
        <v>57.058235505803346</v>
      </c>
      <c r="BL160" s="1777">
        <f t="shared" si="84"/>
        <v>59.031028990869444</v>
      </c>
      <c r="BM160" s="1777">
        <f t="shared" si="84"/>
        <v>54.173938760717355</v>
      </c>
      <c r="BO160" s="1739">
        <f t="shared" si="72"/>
        <v>2025</v>
      </c>
      <c r="BP160" s="1742">
        <f>_xlfn.IFNA(INDEX($AR160:$AX160,MATCH(BO160,$AR$2:$AX$2,0))*12/365*[11]核心假设及结论!$C$70*$H160,0)</f>
        <v>57960</v>
      </c>
      <c r="BR160" s="1739">
        <f t="shared" si="77"/>
        <v>2031</v>
      </c>
      <c r="BS160" s="1742">
        <f>_xlfn.IFNA(INDEX($AR160:$AX160,MATCH(BR160,$AR$2:$AX$2,0))*12/365*[11]核心假设及结论!$C$70*$H160,0)</f>
        <v>50006.712702200624</v>
      </c>
      <c r="BU160" s="1739">
        <f t="shared" si="78"/>
        <v>2037</v>
      </c>
      <c r="BV160" s="1742">
        <f>_xlfn.IFNA(INDEX($AR160:$AX160,MATCH(BU160,$AR$2:$AX$2,0))*12/365*[11]核心假设及结论!$C$70*$H160,0)</f>
        <v>0</v>
      </c>
      <c r="BX160" s="1739">
        <f t="shared" si="79"/>
        <v>2043</v>
      </c>
      <c r="BY160" s="1742">
        <f>_xlfn.IFNA(INDEX($AR160:$AX160,MATCH(BX160,$AR$2:$AX$2,0))*12/365*[11]核心假设及结论!$C$70*$H160,0)</f>
        <v>0</v>
      </c>
      <c r="CA160" s="1739">
        <f t="shared" si="80"/>
        <v>2049</v>
      </c>
      <c r="CB160" s="1742">
        <f>_xlfn.IFNA(INDEX($AR160:$AX160,MATCH(CA160,$AR$2:$AX$2,0))*12/365*[11]核心假设及结论!$C$70*$H160,0)</f>
        <v>0</v>
      </c>
    </row>
    <row r="161" spans="1:80" ht="30" customHeight="1">
      <c r="A161" s="1756" t="s">
        <v>1687</v>
      </c>
      <c r="B161" s="1757" t="s">
        <v>2011</v>
      </c>
      <c r="C161" s="1756" t="s">
        <v>2012</v>
      </c>
      <c r="D161" s="1756" t="s">
        <v>1685</v>
      </c>
      <c r="E161" s="1758" t="s">
        <v>1692</v>
      </c>
      <c r="F161" s="1759"/>
      <c r="G161" s="1760" t="s">
        <v>1661</v>
      </c>
      <c r="H161" s="1761">
        <v>229</v>
      </c>
      <c r="I161" s="1761" t="s">
        <v>1913</v>
      </c>
      <c r="J161" s="1773">
        <v>45160</v>
      </c>
      <c r="K161" s="1773">
        <v>46255</v>
      </c>
      <c r="L161" s="1764">
        <f t="shared" si="62"/>
        <v>36</v>
      </c>
      <c r="M161" s="1774">
        <f t="shared" si="73"/>
        <v>186080.82</v>
      </c>
      <c r="N161" s="1775">
        <f t="shared" si="74"/>
        <v>699.58</v>
      </c>
      <c r="O161" s="1760">
        <v>160203.82</v>
      </c>
      <c r="P161" s="1776">
        <v>0.18</v>
      </c>
      <c r="Q161" s="1783">
        <f t="shared" si="63"/>
        <v>95</v>
      </c>
      <c r="R161" s="1784">
        <v>21755</v>
      </c>
      <c r="S161" s="1777">
        <f t="shared" si="64"/>
        <v>18</v>
      </c>
      <c r="T161" s="1777">
        <v>4122</v>
      </c>
      <c r="U161" s="1777"/>
      <c r="V161" s="1785">
        <v>283456.34416666703</v>
      </c>
      <c r="W161" s="1785">
        <f t="shared" si="65"/>
        <v>1237.8006295487644</v>
      </c>
      <c r="X161" s="1786">
        <f t="shared" si="87"/>
        <v>0.64192890279080017</v>
      </c>
      <c r="Y161" s="1789">
        <f>VLOOKUP(E161,[11]核心假设及结论!$C$25:$E$45,3,0)</f>
        <v>0.2</v>
      </c>
      <c r="Z161" s="1790">
        <f t="shared" si="83"/>
        <v>160203.82</v>
      </c>
      <c r="AA161" s="1790">
        <f t="shared" si="83"/>
        <v>167170</v>
      </c>
      <c r="AB161" s="1790">
        <f t="shared" si="83"/>
        <v>0</v>
      </c>
      <c r="AC161" s="1790">
        <f t="shared" si="82"/>
        <v>0</v>
      </c>
      <c r="AD161" s="1790">
        <f t="shared" si="82"/>
        <v>0</v>
      </c>
      <c r="AE161" s="1790">
        <f t="shared" si="82"/>
        <v>0</v>
      </c>
      <c r="AF161" s="1790">
        <f t="shared" si="82"/>
        <v>0</v>
      </c>
      <c r="AG161" s="1794">
        <v>699.58</v>
      </c>
      <c r="AH161" s="1794">
        <v>730</v>
      </c>
      <c r="AI161" s="1794">
        <v>0</v>
      </c>
      <c r="AJ161" s="1794">
        <v>0</v>
      </c>
      <c r="AK161" s="1794">
        <v>0</v>
      </c>
      <c r="AL161" s="1794">
        <v>0</v>
      </c>
      <c r="AM161" s="1794">
        <v>0</v>
      </c>
      <c r="AN161" s="1795"/>
      <c r="AO161" s="1795"/>
      <c r="AP161" s="1808">
        <f t="shared" si="75"/>
        <v>3.2096445139540006</v>
      </c>
      <c r="AQ161" s="1810">
        <f>IF(AP161&gt;[11]核心假设及结论!$B$59,[11]核心假设及结论!$D$59,IF(AP161&lt;=[11]核心假设及结论!$B$58,[11]核心假设及结论!$D$57,[11]核心假设及结论!$D$58))</f>
        <v>1</v>
      </c>
      <c r="AR161" s="1809">
        <f t="shared" si="76"/>
        <v>699.58</v>
      </c>
      <c r="AS161" s="1809">
        <f>AH161*(AS$2&lt;=YEAR($K161))+AR161*$AQ161*(AS$2=YEAR($K161)+1)+INDEX([11]核心假设及结论!$E$17:$E$21,MATCH($D161,[11]核心假设及结论!$B$17:$B$21,0))*(AS$2&gt;YEAR($K161)+1)*AR161</f>
        <v>730</v>
      </c>
      <c r="AT161" s="1811">
        <f>AI161*(AT$2&lt;=YEAR($K161))+AS161*$AQ161*(AT$2=YEAR($K161)+1)+INDEX([11]核心假设及结论!$E$17:$E$21,MATCH($D161,[11]核心假设及结论!$B$17:$B$21,0))*(AT$2&gt;YEAR($K161)+1)*AS161</f>
        <v>730</v>
      </c>
      <c r="AU161" s="1809">
        <f>AJ161*(AU$2&lt;=YEAR($K161))+AT161*$AQ161*(AU$2=YEAR($K161)+1)+INDEX([11]核心假设及结论!$E$17:$E$21,MATCH($D161,[11]核心假设及结论!$B$17:$B$21,0))*(AU$2&gt;YEAR($K161)+1)*AT161</f>
        <v>749.76437843527788</v>
      </c>
      <c r="AV161" s="1809">
        <f>AK161*(AV$2&lt;=YEAR($K161))+AU161*$AQ161*(AV$2=YEAR($K161)+1)+INDEX([11]核心假设及结论!$E$17:$E$21,MATCH($D161,[11]核心假设及结论!$B$17:$B$21,0))*(AV$2&gt;YEAR($K161)+1)*AU161</f>
        <v>770.06386735676517</v>
      </c>
      <c r="AW161" s="1809">
        <f>AL161*(AW$2&lt;=YEAR($K161))+AV161*$AQ161*(AW$2=YEAR($K161)+1)+INDEX([11]核心假设及结论!$E$17:$E$21,MATCH($D161,[11]核心假设及结论!$B$17:$B$21,0))*(AW$2&gt;YEAR($K161)+1)*AV161</f>
        <v>790.9129546085087</v>
      </c>
      <c r="AX161" s="1809">
        <f>AM161*(AX$2&lt;=YEAR($K161))+AW161*$AQ161*(AX$2=YEAR($K161)+1)+INDEX([11]核心假设及结论!$E$17:$E$21,MATCH($D161,[11]核心假设及结论!$B$17:$B$21,0))*(AX$2&gt;YEAR($K161)+1)*AW161</f>
        <v>812.32652028555844</v>
      </c>
      <c r="AZ161" s="1746">
        <f t="shared" si="66"/>
        <v>46255</v>
      </c>
      <c r="BA161" s="1817">
        <f t="shared" si="67"/>
        <v>45658</v>
      </c>
      <c r="BB161" s="1817">
        <f t="shared" si="68"/>
        <v>45890</v>
      </c>
      <c r="BC161" s="1817">
        <f t="shared" si="69"/>
        <v>46022</v>
      </c>
      <c r="BD161" s="1818">
        <f t="shared" si="70"/>
        <v>233</v>
      </c>
      <c r="BE161" s="1818">
        <f t="shared" si="71"/>
        <v>132</v>
      </c>
      <c r="BG161" s="1777">
        <f t="shared" si="86"/>
        <v>195.26771526575342</v>
      </c>
      <c r="BH161" s="1777">
        <f t="shared" si="84"/>
        <v>200.60400000000001</v>
      </c>
      <c r="BI161" s="1777">
        <f t="shared" si="84"/>
        <v>202.56817851399973</v>
      </c>
      <c r="BJ161" s="1777">
        <f t="shared" si="84"/>
        <v>208.05260884152796</v>
      </c>
      <c r="BK161" s="1777">
        <f t="shared" si="84"/>
        <v>213.68552732863864</v>
      </c>
      <c r="BL161" s="1777">
        <f t="shared" si="84"/>
        <v>219.47095421667308</v>
      </c>
      <c r="BM161" s="1777">
        <f t="shared" si="84"/>
        <v>142.49854074370367</v>
      </c>
      <c r="BO161" s="1739">
        <f t="shared" si="72"/>
        <v>2026</v>
      </c>
      <c r="BP161" s="1742">
        <f>_xlfn.IFNA(INDEX($AR161:$AX161,MATCH(BO161,$AR$2:$AX$2,0))*12/365*[11]核心假设及结论!$C$70*$H161,0)</f>
        <v>164880</v>
      </c>
      <c r="BR161" s="1739">
        <f t="shared" si="77"/>
        <v>2029</v>
      </c>
      <c r="BS161" s="1742">
        <f>_xlfn.IFNA(INDEX($AR161:$AX161,MATCH(BR161,$AR$2:$AX$2,0))*12/365*[11]核心假设及结论!$C$70*$H161,0)</f>
        <v>173928.94582162116</v>
      </c>
      <c r="BU161" s="1739">
        <f t="shared" si="78"/>
        <v>2032</v>
      </c>
      <c r="BV161" s="1742">
        <f>_xlfn.IFNA(INDEX($AR161:$AX161,MATCH(BU161,$AR$2:$AX$2,0))*12/365*[11]核心假设及结论!$C$70*$H161,0)</f>
        <v>0</v>
      </c>
      <c r="BX161" s="1739">
        <f t="shared" si="79"/>
        <v>2035</v>
      </c>
      <c r="BY161" s="1742">
        <f>_xlfn.IFNA(INDEX($AR161:$AX161,MATCH(BX161,$AR$2:$AX$2,0))*12/365*[11]核心假设及结论!$C$70*$H161,0)</f>
        <v>0</v>
      </c>
      <c r="CA161" s="1739">
        <f t="shared" si="80"/>
        <v>2038</v>
      </c>
      <c r="CB161" s="1742">
        <f>_xlfn.IFNA(INDEX($AR161:$AX161,MATCH(CA161,$AR$2:$AX$2,0))*12/365*[11]核心假设及结论!$C$70*$H161,0)</f>
        <v>0</v>
      </c>
    </row>
    <row r="162" spans="1:80" ht="30" customHeight="1">
      <c r="A162" s="1756" t="s">
        <v>1687</v>
      </c>
      <c r="B162" s="1757" t="s">
        <v>2013</v>
      </c>
      <c r="C162" s="1756" t="s">
        <v>2014</v>
      </c>
      <c r="D162" s="1756" t="s">
        <v>1685</v>
      </c>
      <c r="E162" s="1758" t="s">
        <v>1709</v>
      </c>
      <c r="F162" s="1759"/>
      <c r="G162" s="1760" t="s">
        <v>1661</v>
      </c>
      <c r="H162" s="1761">
        <v>229</v>
      </c>
      <c r="I162" s="1761" t="s">
        <v>1913</v>
      </c>
      <c r="J162" s="1773">
        <v>45505</v>
      </c>
      <c r="K162" s="1773">
        <v>46331</v>
      </c>
      <c r="L162" s="1764">
        <f t="shared" si="62"/>
        <v>28</v>
      </c>
      <c r="M162" s="1774">
        <f t="shared" si="73"/>
        <v>169363.82</v>
      </c>
      <c r="N162" s="1775">
        <f t="shared" si="74"/>
        <v>626.58000000000004</v>
      </c>
      <c r="O162" s="1760">
        <v>143486.82</v>
      </c>
      <c r="P162" s="1776">
        <v>0.16</v>
      </c>
      <c r="Q162" s="1783">
        <f t="shared" si="63"/>
        <v>95</v>
      </c>
      <c r="R162" s="1784">
        <v>21755</v>
      </c>
      <c r="S162" s="1777">
        <f t="shared" si="64"/>
        <v>18</v>
      </c>
      <c r="T162" s="1777">
        <v>4122</v>
      </c>
      <c r="U162" s="1777"/>
      <c r="V162" s="1785">
        <v>620734.14</v>
      </c>
      <c r="W162" s="1785">
        <f t="shared" si="65"/>
        <v>2710.6294323144107</v>
      </c>
      <c r="X162" s="1786">
        <f t="shared" si="87"/>
        <v>0.26620385339204961</v>
      </c>
      <c r="Y162" s="1789">
        <f>VLOOKUP(E162,[11]核心假设及结论!$C$25:$E$45,3,0)</f>
        <v>0.2</v>
      </c>
      <c r="Z162" s="1790">
        <f t="shared" si="83"/>
        <v>147666.07</v>
      </c>
      <c r="AA162" s="1790">
        <f t="shared" si="83"/>
        <v>152193.4</v>
      </c>
      <c r="AB162" s="1790">
        <f t="shared" si="83"/>
        <v>0</v>
      </c>
      <c r="AC162" s="1790">
        <f t="shared" si="82"/>
        <v>0</v>
      </c>
      <c r="AD162" s="1790">
        <f t="shared" si="82"/>
        <v>0</v>
      </c>
      <c r="AE162" s="1790">
        <f t="shared" si="82"/>
        <v>0</v>
      </c>
      <c r="AF162" s="1790">
        <f t="shared" si="82"/>
        <v>0</v>
      </c>
      <c r="AG162" s="1794">
        <v>644.83000000000004</v>
      </c>
      <c r="AH162" s="1794">
        <v>664.6</v>
      </c>
      <c r="AI162" s="1794">
        <v>0</v>
      </c>
      <c r="AJ162" s="1794">
        <v>0</v>
      </c>
      <c r="AK162" s="1794">
        <v>0</v>
      </c>
      <c r="AL162" s="1794">
        <v>0</v>
      </c>
      <c r="AM162" s="1794">
        <v>0</v>
      </c>
      <c r="AN162" s="1795"/>
      <c r="AO162" s="1795"/>
      <c r="AP162" s="1808">
        <f t="shared" si="75"/>
        <v>1.3310192669602479</v>
      </c>
      <c r="AQ162" s="1810">
        <f>IF(AP162&gt;[11]核心假设及结论!$B$59,[11]核心假设及结论!$D$59,IF(AP162&lt;=[11]核心假设及结论!$B$58,[11]核心假设及结论!$D$57,[11]核心假设及结论!$D$58))</f>
        <v>1.0069999999999999</v>
      </c>
      <c r="AR162" s="1809">
        <f t="shared" si="76"/>
        <v>644.83000000000004</v>
      </c>
      <c r="AS162" s="1809">
        <f>AH162*(AS$2&lt;=YEAR($K162))+AR162*$AQ162*(AS$2=YEAR($K162)+1)+INDEX([11]核心假设及结论!$E$17:$E$21,MATCH($D162,[11]核心假设及结论!$B$17:$B$21,0))*(AS$2&gt;YEAR($K162)+1)*AR162</f>
        <v>664.6</v>
      </c>
      <c r="AT162" s="1811">
        <f>AI162*(AT$2&lt;=YEAR($K162))+AS162*$AQ162*(AT$2=YEAR($K162)+1)+INDEX([11]核心假设及结论!$E$17:$E$21,MATCH($D162,[11]核心假设及结论!$B$17:$B$21,0))*(AT$2&gt;YEAR($K162)+1)*AS162</f>
        <v>669.2521999999999</v>
      </c>
      <c r="AU162" s="1809">
        <f>AJ162*(AU$2&lt;=YEAR($K162))+AT162*$AQ162*(AU$2=YEAR($K162)+1)+INDEX([11]核心假设及结论!$E$17:$E$21,MATCH($D162,[11]核心假设及结论!$B$17:$B$21,0))*(AU$2&gt;YEAR($K162)+1)*AT162</f>
        <v>687.37186267046877</v>
      </c>
      <c r="AV162" s="1809">
        <f>AK162*(AV$2&lt;=YEAR($K162))+AU162*$AQ162*(AV$2=YEAR($K162)+1)+INDEX([11]核心假设及结论!$E$17:$E$21,MATCH($D162,[11]核心假设及结论!$B$17:$B$21,0))*(AV$2&gt;YEAR($K162)+1)*AU162</f>
        <v>705.98210598496337</v>
      </c>
      <c r="AW162" s="1809">
        <f>AL162*(AW$2&lt;=YEAR($K162))+AV162*$AQ162*(AW$2=YEAR($K162)+1)+INDEX([11]核心假设及结论!$E$17:$E$21,MATCH($D162,[11]核心假设及结论!$B$17:$B$21,0))*(AW$2&gt;YEAR($K162)+1)*AV162</f>
        <v>725.09621216471862</v>
      </c>
      <c r="AX162" s="1809">
        <f>AM162*(AX$2&lt;=YEAR($K162))+AW162*$AQ162*(AX$2=YEAR($K162)+1)+INDEX([11]核心假设及结论!$E$17:$E$21,MATCH($D162,[11]核心假设及结论!$B$17:$B$21,0))*(AX$2&gt;YEAR($K162)+1)*AW162</f>
        <v>744.72782304034888</v>
      </c>
      <c r="AZ162" s="1746">
        <f t="shared" si="66"/>
        <v>46331</v>
      </c>
      <c r="BA162" s="1817">
        <f t="shared" si="67"/>
        <v>45658</v>
      </c>
      <c r="BB162" s="1817">
        <f t="shared" si="68"/>
        <v>45966</v>
      </c>
      <c r="BC162" s="1817">
        <f t="shared" si="69"/>
        <v>46022</v>
      </c>
      <c r="BD162" s="1818">
        <f t="shared" si="70"/>
        <v>309</v>
      </c>
      <c r="BE162" s="1818">
        <f t="shared" si="71"/>
        <v>56</v>
      </c>
      <c r="BG162" s="1777">
        <f t="shared" si="86"/>
        <v>178.03280886575345</v>
      </c>
      <c r="BH162" s="1777">
        <f t="shared" si="84"/>
        <v>182.82822185030136</v>
      </c>
      <c r="BI162" s="1777">
        <f t="shared" si="84"/>
        <v>184.67444939535153</v>
      </c>
      <c r="BJ162" s="1777">
        <f t="shared" si="84"/>
        <v>189.67441611477108</v>
      </c>
      <c r="BK162" s="1777">
        <f t="shared" si="84"/>
        <v>194.80975438817208</v>
      </c>
      <c r="BL162" s="1777">
        <f t="shared" si="84"/>
        <v>200.08412933147534</v>
      </c>
      <c r="BM162" s="1777">
        <f t="shared" si="84"/>
        <v>173.25266461202671</v>
      </c>
      <c r="BO162" s="1739">
        <f t="shared" si="72"/>
        <v>2026</v>
      </c>
      <c r="BP162" s="1742">
        <f>_xlfn.IFNA(INDEX($AR162:$AX162,MATCH(BO162,$AR$2:$AX$2,0))*12/365*[11]核心假设及结论!$C$70*$H162,0)</f>
        <v>150108.55890410961</v>
      </c>
      <c r="BR162" s="1739">
        <f t="shared" si="77"/>
        <v>2028</v>
      </c>
      <c r="BS162" s="1742">
        <f>_xlfn.IFNA(INDEX($AR162:$AX162,MATCH(BR162,$AR$2:$AX$2,0))*12/365*[11]核心假设及结论!$C$70*$H162,0)</f>
        <v>155251.88043439301</v>
      </c>
      <c r="BU162" s="1739">
        <f t="shared" si="78"/>
        <v>2030</v>
      </c>
      <c r="BV162" s="1742">
        <f>_xlfn.IFNA(INDEX($AR162:$AX162,MATCH(BU162,$AR$2:$AX$2,0))*12/365*[11]核心假设及结论!$C$70*$H162,0)</f>
        <v>163772.41570098468</v>
      </c>
      <c r="BX162" s="1739">
        <f t="shared" si="79"/>
        <v>2032</v>
      </c>
      <c r="BY162" s="1742">
        <f>_xlfn.IFNA(INDEX($AR162:$AX162,MATCH(BX162,$AR$2:$AX$2,0))*12/365*[11]核心假设及结论!$C$70*$H162,0)</f>
        <v>0</v>
      </c>
      <c r="CA162" s="1739">
        <f t="shared" si="80"/>
        <v>2034</v>
      </c>
      <c r="CB162" s="1742">
        <f>_xlfn.IFNA(INDEX($AR162:$AX162,MATCH(CA162,$AR$2:$AX$2,0))*12/365*[11]核心假设及结论!$C$70*$H162,0)</f>
        <v>0</v>
      </c>
    </row>
    <row r="163" spans="1:80" ht="30" customHeight="1">
      <c r="A163" s="1756" t="s">
        <v>1687</v>
      </c>
      <c r="B163" s="1757" t="s">
        <v>2015</v>
      </c>
      <c r="C163" s="1756" t="s">
        <v>2016</v>
      </c>
      <c r="D163" s="1756" t="s">
        <v>1676</v>
      </c>
      <c r="E163" s="1758" t="s">
        <v>1758</v>
      </c>
      <c r="F163" s="1759"/>
      <c r="G163" s="1760" t="s">
        <v>1661</v>
      </c>
      <c r="H163" s="1761">
        <v>229</v>
      </c>
      <c r="I163" s="1761" t="s">
        <v>1913</v>
      </c>
      <c r="J163" s="1773">
        <v>44679</v>
      </c>
      <c r="K163" s="1773">
        <v>46139</v>
      </c>
      <c r="L163" s="1764">
        <f t="shared" si="62"/>
        <v>48</v>
      </c>
      <c r="M163" s="1774">
        <f t="shared" si="73"/>
        <v>103026.487425</v>
      </c>
      <c r="N163" s="1775">
        <f t="shared" si="74"/>
        <v>335.34999999999997</v>
      </c>
      <c r="O163" s="1760">
        <v>76795.149999999994</v>
      </c>
      <c r="P163" s="1776">
        <v>0.12</v>
      </c>
      <c r="Q163" s="1783">
        <f t="shared" si="63"/>
        <v>95</v>
      </c>
      <c r="R163" s="1784">
        <v>21755</v>
      </c>
      <c r="S163" s="1777">
        <f t="shared" si="64"/>
        <v>19.547324999999997</v>
      </c>
      <c r="T163" s="1777">
        <v>4476.3374249999997</v>
      </c>
      <c r="U163" s="1777"/>
      <c r="V163" s="1785">
        <v>390874.16666666698</v>
      </c>
      <c r="W163" s="1785">
        <f t="shared" si="65"/>
        <v>1706.874090247454</v>
      </c>
      <c r="X163" s="1786">
        <f t="shared" si="87"/>
        <v>0.2521275602335788</v>
      </c>
      <c r="Y163" s="1789">
        <f>VLOOKUP(E163,[11]核心假设及结论!$C$25:$E$45,3,0)</f>
        <v>0.2</v>
      </c>
      <c r="Z163" s="1790">
        <f t="shared" si="83"/>
        <v>76795.150000000009</v>
      </c>
      <c r="AA163" s="1790">
        <f t="shared" si="83"/>
        <v>80672.12</v>
      </c>
      <c r="AB163" s="1790">
        <f t="shared" si="83"/>
        <v>0</v>
      </c>
      <c r="AC163" s="1790">
        <f t="shared" si="82"/>
        <v>0</v>
      </c>
      <c r="AD163" s="1790">
        <f t="shared" si="82"/>
        <v>0</v>
      </c>
      <c r="AE163" s="1790">
        <f t="shared" si="82"/>
        <v>0</v>
      </c>
      <c r="AF163" s="1790">
        <f t="shared" si="82"/>
        <v>0</v>
      </c>
      <c r="AG163" s="1794">
        <v>335.35</v>
      </c>
      <c r="AH163" s="1794">
        <v>352.28</v>
      </c>
      <c r="AI163" s="1794">
        <v>0</v>
      </c>
      <c r="AJ163" s="1794">
        <v>0</v>
      </c>
      <c r="AK163" s="1794">
        <v>0</v>
      </c>
      <c r="AL163" s="1794">
        <v>0</v>
      </c>
      <c r="AM163" s="1794">
        <v>0</v>
      </c>
      <c r="AN163" s="1795"/>
      <c r="AO163" s="1795"/>
      <c r="AP163" s="1808">
        <f t="shared" si="75"/>
        <v>1.2606378011678938</v>
      </c>
      <c r="AQ163" s="1808">
        <f>IF(AP163&gt;[11]核心假设及结论!$B$65,[11]核心假设及结论!$D$65,IF(AP163&lt;=[11]核心假设及结论!$B$64,[11]核心假设及结论!$D$63,[11]核心假设及结论!$D$64))</f>
        <v>0.754</v>
      </c>
      <c r="AR163" s="1809">
        <f t="shared" si="76"/>
        <v>335.35</v>
      </c>
      <c r="AS163" s="1809">
        <f>AH163*(AS$2&lt;=YEAR($K163))+AR163*$AQ163*(AS$2=YEAR($K163)+1)+INDEX([11]核心假设及结论!$E$17:$E$21,MATCH($D163,[11]核心假设及结论!$B$17:$B$21,0))*(AS$2&gt;YEAR($K163)+1)*AR163</f>
        <v>352.28</v>
      </c>
      <c r="AT163" s="1811">
        <f>AI163*(AT$2&lt;=YEAR($K163))+AS163*$AQ163*(AT$2=YEAR($K163)+1)+INDEX([11]核心假设及结论!$E$17:$E$21,MATCH($D163,[11]核心假设及结论!$B$17:$B$21,0))*(AT$2&gt;YEAR($K163)+1)*AS163</f>
        <v>265.61911999999995</v>
      </c>
      <c r="AU163" s="1809">
        <f>AJ163*(AU$2&lt;=YEAR($K163))+AT163*$AQ163*(AU$2=YEAR($K163)+1)+INDEX([11]核心假设及结论!$E$17:$E$21,MATCH($D163,[11]核心假设及结论!$B$17:$B$21,0))*(AU$2&gt;YEAR($K163)+1)*AT163</f>
        <v>274.80292431500891</v>
      </c>
      <c r="AV163" s="1809">
        <f>AK163*(AV$2&lt;=YEAR($K163))+AU163*$AQ163*(AV$2=YEAR($K163)+1)+INDEX([11]核心假设及结论!$E$17:$E$21,MATCH($D163,[11]核心假设及结论!$B$17:$B$21,0))*(AV$2&gt;YEAR($K163)+1)*AU163</f>
        <v>284.30425946776921</v>
      </c>
      <c r="AW163" s="1809">
        <f>AL163*(AW$2&lt;=YEAR($K163))+AV163*$AQ163*(AW$2=YEAR($K163)+1)+INDEX([11]核心假设及结论!$E$17:$E$21,MATCH($D163,[11]核心假设及结论!$B$17:$B$21,0))*(AW$2&gt;YEAR($K163)+1)*AV163</f>
        <v>294.13410411477923</v>
      </c>
      <c r="AX163" s="1809">
        <f>AM163*(AX$2&lt;=YEAR($K163))+AW163*$AQ163*(AX$2=YEAR($K163)+1)+INDEX([11]核心假设及结论!$E$17:$E$21,MATCH($D163,[11]核心假设及结论!$B$17:$B$21,0))*(AX$2&gt;YEAR($K163)+1)*AW163</f>
        <v>304.30381650054647</v>
      </c>
      <c r="AZ163" s="1746">
        <f t="shared" si="66"/>
        <v>46139</v>
      </c>
      <c r="BA163" s="1817">
        <f t="shared" si="67"/>
        <v>45658</v>
      </c>
      <c r="BB163" s="1817">
        <f t="shared" si="68"/>
        <v>45774</v>
      </c>
      <c r="BC163" s="1817">
        <f t="shared" si="69"/>
        <v>46022</v>
      </c>
      <c r="BD163" s="1818">
        <f t="shared" si="70"/>
        <v>117</v>
      </c>
      <c r="BE163" s="1818">
        <f t="shared" si="71"/>
        <v>248</v>
      </c>
      <c r="BG163" s="1777">
        <f t="shared" si="86"/>
        <v>95.315238279452061</v>
      </c>
      <c r="BH163" s="1777">
        <f t="shared" si="84"/>
        <v>80.625794311364373</v>
      </c>
      <c r="BI163" s="1777">
        <f t="shared" si="84"/>
        <v>74.706873731039948</v>
      </c>
      <c r="BJ163" s="1777">
        <f t="shared" si="84"/>
        <v>77.289870426955332</v>
      </c>
      <c r="BK163" s="1777">
        <f t="shared" si="84"/>
        <v>79.962174459637765</v>
      </c>
      <c r="BL163" s="1777">
        <f t="shared" si="84"/>
        <v>82.726873638070074</v>
      </c>
      <c r="BM163" s="1777">
        <f t="shared" si="84"/>
        <v>26.805081059175258</v>
      </c>
      <c r="BO163" s="1739">
        <f t="shared" si="72"/>
        <v>2026</v>
      </c>
      <c r="BP163" s="1742">
        <f>_xlfn.IFNA(INDEX($AR163:$AX163,MATCH(BO163,$AR$2:$AX$2,0))*12/365*[11]核心假设及结论!$C$70*$H163,0)</f>
        <v>79567.022465753413</v>
      </c>
      <c r="BR163" s="1739">
        <f t="shared" si="77"/>
        <v>2030</v>
      </c>
      <c r="BS163" s="1742">
        <f>_xlfn.IFNA(INDEX($AR163:$AX163,MATCH(BR163,$AR$2:$AX$2,0))*12/365*[11]核心假设及结论!$C$70*$H163,0)</f>
        <v>66434.015186910678</v>
      </c>
      <c r="BU163" s="1739">
        <f t="shared" si="78"/>
        <v>2034</v>
      </c>
      <c r="BV163" s="1742">
        <f>_xlfn.IFNA(INDEX($AR163:$AX163,MATCH(BU163,$AR$2:$AX$2,0))*12/365*[11]核心假设及结论!$C$70*$H163,0)</f>
        <v>0</v>
      </c>
      <c r="BX163" s="1739">
        <f t="shared" si="79"/>
        <v>2038</v>
      </c>
      <c r="BY163" s="1742">
        <f>_xlfn.IFNA(INDEX($AR163:$AX163,MATCH(BX163,$AR$2:$AX$2,0))*12/365*[11]核心假设及结论!$C$70*$H163,0)</f>
        <v>0</v>
      </c>
      <c r="CA163" s="1739">
        <f t="shared" si="80"/>
        <v>2042</v>
      </c>
      <c r="CB163" s="1742">
        <f>_xlfn.IFNA(INDEX($AR163:$AX163,MATCH(CA163,$AR$2:$AX$2,0))*12/365*[11]核心假设及结论!$C$70*$H163,0)</f>
        <v>0</v>
      </c>
    </row>
    <row r="164" spans="1:80" ht="30" customHeight="1">
      <c r="A164" s="1763" t="s">
        <v>1662</v>
      </c>
      <c r="B164" s="1757" t="s">
        <v>2017</v>
      </c>
      <c r="C164" s="1764" t="s">
        <v>2018</v>
      </c>
      <c r="D164" s="1764" t="s">
        <v>1685</v>
      </c>
      <c r="E164" s="1764" t="s">
        <v>1718</v>
      </c>
      <c r="F164" s="1765"/>
      <c r="G164" s="1760" t="s">
        <v>1661</v>
      </c>
      <c r="H164" s="1761">
        <v>229</v>
      </c>
      <c r="I164" s="1763" t="s">
        <v>1913</v>
      </c>
      <c r="J164" s="1773">
        <v>45712</v>
      </c>
      <c r="K164" s="1773">
        <v>46806</v>
      </c>
      <c r="L164" s="1764">
        <f t="shared" si="62"/>
        <v>36</v>
      </c>
      <c r="M164" s="1774">
        <f t="shared" si="73"/>
        <v>25897</v>
      </c>
      <c r="N164" s="1775">
        <f t="shared" si="74"/>
        <v>0</v>
      </c>
      <c r="O164" s="1777">
        <v>0</v>
      </c>
      <c r="P164" s="1763" t="s">
        <v>2019</v>
      </c>
      <c r="Q164" s="1783">
        <f t="shared" si="63"/>
        <v>95.08733624454149</v>
      </c>
      <c r="R164" s="1763">
        <v>21775</v>
      </c>
      <c r="S164" s="1777">
        <f t="shared" si="64"/>
        <v>18</v>
      </c>
      <c r="T164" s="1763">
        <v>4122</v>
      </c>
      <c r="U164" s="1763"/>
      <c r="V164" s="1785"/>
      <c r="W164" s="1785">
        <f t="shared" si="65"/>
        <v>0</v>
      </c>
      <c r="X164" s="1786" t="e">
        <f>(N164+Q164+S164)*H164/V164</f>
        <v>#DIV/0!</v>
      </c>
      <c r="Y164" s="1789">
        <f>VLOOKUP(E164,[11]核心假设及结论!$C$25:$E$45,3,0)</f>
        <v>0.2</v>
      </c>
      <c r="Z164" s="1790">
        <f t="shared" si="83"/>
        <v>181100.07</v>
      </c>
      <c r="AA164" s="1790">
        <f t="shared" si="83"/>
        <v>181100.07</v>
      </c>
      <c r="AB164" s="1790">
        <f t="shared" si="83"/>
        <v>188066.25</v>
      </c>
      <c r="AC164" s="1790">
        <f t="shared" si="82"/>
        <v>195032.43</v>
      </c>
      <c r="AD164" s="1790">
        <f t="shared" si="82"/>
        <v>0</v>
      </c>
      <c r="AE164" s="1790">
        <f t="shared" si="82"/>
        <v>0</v>
      </c>
      <c r="AF164" s="1790">
        <f t="shared" si="82"/>
        <v>0</v>
      </c>
      <c r="AG164" s="1794">
        <f>AH164</f>
        <v>790.83</v>
      </c>
      <c r="AH164" s="1794">
        <v>790.83</v>
      </c>
      <c r="AI164" s="1794">
        <v>821.25</v>
      </c>
      <c r="AJ164" s="1794">
        <v>851.67</v>
      </c>
      <c r="AK164" s="1794">
        <v>0</v>
      </c>
      <c r="AL164" s="1794">
        <v>0</v>
      </c>
      <c r="AM164" s="1794">
        <v>0</v>
      </c>
      <c r="AN164" s="1764"/>
      <c r="AO164" s="1764"/>
      <c r="AP164" s="1808">
        <f t="shared" si="75"/>
        <v>1.25</v>
      </c>
      <c r="AQ164" s="1810">
        <f>IF(AP164&gt;[11]核心假设及结论!$B$59,[11]核心假设及结论!$D$59,IF(AP164&lt;=[11]核心假设及结论!$B$58,[11]核心假设及结论!$D$57,[11]核心假设及结论!$D$58))</f>
        <v>1.0069999999999999</v>
      </c>
      <c r="AR164" s="1809">
        <f t="shared" si="76"/>
        <v>790.83</v>
      </c>
      <c r="AS164" s="1809">
        <f>AH164*(AS$2&lt;=YEAR($K164))+AR164*$AQ164*(AS$2=YEAR($K164)+1)+INDEX([11]核心假设及结论!$E$17:$E$21,MATCH($D164,[11]核心假设及结论!$B$17:$B$21,0))*(AS$2&gt;YEAR($K164)+1)*AR164</f>
        <v>790.83</v>
      </c>
      <c r="AT164" s="1809">
        <f>AI164*(AT$2&lt;=YEAR($K164))+AS164*$AQ164*(AT$2=YEAR($K164)+1)+INDEX([11]核心假设及结论!$E$17:$E$21,MATCH($D164,[11]核心假设及结论!$B$17:$B$21,0))*(AT$2&gt;YEAR($K164)+1)*AS164</f>
        <v>821.25</v>
      </c>
      <c r="AU164" s="1809">
        <f>AJ164*(AU$2&lt;=YEAR($K164))+AT164*$AQ164*(AU$2=YEAR($K164)+1)+INDEX([11]核心假设及结论!$E$17:$E$21,MATCH($D164,[11]核心假设及结论!$B$17:$B$21,0))*(AU$2&gt;YEAR($K164)+1)*AT164</f>
        <v>851.67</v>
      </c>
      <c r="AV164" s="1811">
        <f>AK164*(AV$2&lt;=YEAR($K164))+AU164*$AQ164*(AV$2=YEAR($K164)+1)+INDEX([11]核心假设及结论!$E$17:$E$21,MATCH($D164,[11]核心假设及结论!$B$17:$B$21,0))*(AV$2&gt;YEAR($K164)+1)*AU164</f>
        <v>857.63168999999982</v>
      </c>
      <c r="AW164" s="1809">
        <f>AL164*(AW$2&lt;=YEAR($K164))+AV164*$AQ164*(AW$2=YEAR($K164)+1)+INDEX([11]核心假设及结论!$E$17:$E$21,MATCH($D164,[11]核心假设及结论!$B$17:$B$21,0))*(AW$2&gt;YEAR($K164)+1)*AV164</f>
        <v>880.85163147842036</v>
      </c>
      <c r="AX164" s="1809">
        <f>AM164*(AX$2&lt;=YEAR($K164))+AW164*$AQ164*(AX$2=YEAR($K164)+1)+INDEX([11]核心假设及结论!$E$17:$E$21,MATCH($D164,[11]核心假设及结论!$B$17:$B$21,0))*(AX$2&gt;YEAR($K164)+1)*AW164</f>
        <v>904.70024105358675</v>
      </c>
      <c r="AZ164" s="1746">
        <f t="shared" si="66"/>
        <v>46806</v>
      </c>
      <c r="BA164" s="1817">
        <f t="shared" si="67"/>
        <v>45658</v>
      </c>
      <c r="BB164" s="1817">
        <f t="shared" si="68"/>
        <v>45711</v>
      </c>
      <c r="BC164" s="1817">
        <f t="shared" si="69"/>
        <v>46022</v>
      </c>
      <c r="BD164" s="1818">
        <f t="shared" si="70"/>
        <v>54</v>
      </c>
      <c r="BE164" s="1818">
        <f t="shared" si="71"/>
        <v>311</v>
      </c>
      <c r="BG164" s="1777">
        <f t="shared" si="86"/>
        <v>217.32008399999998</v>
      </c>
      <c r="BH164" s="1777">
        <f t="shared" si="84"/>
        <v>224.44276448219176</v>
      </c>
      <c r="BI164" s="1777">
        <f t="shared" si="84"/>
        <v>232.80218048219177</v>
      </c>
      <c r="BJ164" s="1777">
        <f t="shared" si="84"/>
        <v>235.43481386337533</v>
      </c>
      <c r="BK164" s="1777">
        <f t="shared" si="84"/>
        <v>241.11401365743001</v>
      </c>
      <c r="BL164" s="1777">
        <f t="shared" si="84"/>
        <v>247.64205285191522</v>
      </c>
      <c r="BM164" s="1777">
        <f t="shared" si="84"/>
        <v>36.780898128883244</v>
      </c>
      <c r="BO164" s="1739">
        <f t="shared" si="72"/>
        <v>2028</v>
      </c>
      <c r="BP164" s="1742">
        <f>_xlfn.IFNA(INDEX($AR164:$AX164,MATCH(BO164,$AR$2:$AX$2,0))*12/365*[11]核心假设及结论!$C$70*$H164,0)</f>
        <v>192360.7528767123</v>
      </c>
      <c r="BR164" s="1739">
        <f t="shared" si="77"/>
        <v>2031</v>
      </c>
      <c r="BS164" s="1742">
        <f>_xlfn.IFNA(INDEX($AR164:$AX164,MATCH(BR164,$AR$2:$AX$2,0))*12/365*[11]核心假设及结论!$C$70*$H164,0)</f>
        <v>204338.32293824025</v>
      </c>
      <c r="BU164" s="1739">
        <f t="shared" si="78"/>
        <v>2034</v>
      </c>
      <c r="BV164" s="1742">
        <f>_xlfn.IFNA(INDEX($AR164:$AX164,MATCH(BU164,$AR$2:$AX$2,0))*12/365*[11]核心假设及结论!$C$70*$H164,0)</f>
        <v>0</v>
      </c>
      <c r="BX164" s="1739">
        <f t="shared" si="79"/>
        <v>2037</v>
      </c>
      <c r="BY164" s="1742">
        <f>_xlfn.IFNA(INDEX($AR164:$AX164,MATCH(BX164,$AR$2:$AX$2,0))*12/365*[11]核心假设及结论!$C$70*$H164,0)</f>
        <v>0</v>
      </c>
      <c r="CA164" s="1739">
        <f t="shared" si="80"/>
        <v>2040</v>
      </c>
      <c r="CB164" s="1742">
        <f>_xlfn.IFNA(INDEX($AR164:$AX164,MATCH(CA164,$AR$2:$AX$2,0))*12/365*[11]核心假设及结论!$C$70*$H164,0)</f>
        <v>0</v>
      </c>
    </row>
    <row r="165" spans="1:80" ht="30" customHeight="1">
      <c r="A165" s="1756" t="s">
        <v>1662</v>
      </c>
      <c r="B165" s="1757" t="s">
        <v>2020</v>
      </c>
      <c r="C165" s="1756" t="s">
        <v>2021</v>
      </c>
      <c r="D165" s="1756" t="s">
        <v>1685</v>
      </c>
      <c r="E165" s="1758" t="s">
        <v>1692</v>
      </c>
      <c r="F165" s="1759"/>
      <c r="G165" s="1760" t="s">
        <v>1661</v>
      </c>
      <c r="H165" s="1761">
        <v>226</v>
      </c>
      <c r="I165" s="1761" t="s">
        <v>1913</v>
      </c>
      <c r="J165" s="1773">
        <v>45379</v>
      </c>
      <c r="K165" s="1773">
        <v>46473</v>
      </c>
      <c r="L165" s="1764">
        <f t="shared" si="62"/>
        <v>36</v>
      </c>
      <c r="M165" s="1774">
        <f t="shared" si="73"/>
        <v>176770.42</v>
      </c>
      <c r="N165" s="1775">
        <f t="shared" si="74"/>
        <v>669.17000000000007</v>
      </c>
      <c r="O165" s="1760">
        <v>151232.42000000001</v>
      </c>
      <c r="P165" s="1776">
        <v>0.18</v>
      </c>
      <c r="Q165" s="1783">
        <f t="shared" si="63"/>
        <v>95</v>
      </c>
      <c r="R165" s="1784">
        <v>21470</v>
      </c>
      <c r="S165" s="1777">
        <f t="shared" si="64"/>
        <v>18</v>
      </c>
      <c r="T165" s="1777">
        <v>4068</v>
      </c>
      <c r="U165" s="1777"/>
      <c r="V165" s="1785">
        <v>631621.03636363603</v>
      </c>
      <c r="W165" s="1785">
        <f t="shared" si="65"/>
        <v>2794.7833467417522</v>
      </c>
      <c r="X165" s="1786">
        <f>(N165+Q165+S165)*H165/V165</f>
        <v>0.27986784768553841</v>
      </c>
      <c r="Y165" s="1789">
        <f>VLOOKUP(E165,[11]核心假设及结论!$C$25:$E$45,3,0)</f>
        <v>0.2</v>
      </c>
      <c r="Z165" s="1790">
        <f t="shared" si="83"/>
        <v>151232.41999999998</v>
      </c>
      <c r="AA165" s="1790">
        <f t="shared" si="83"/>
        <v>158105.08000000002</v>
      </c>
      <c r="AB165" s="1790">
        <f t="shared" si="83"/>
        <v>164980</v>
      </c>
      <c r="AC165" s="1790">
        <f t="shared" si="82"/>
        <v>0</v>
      </c>
      <c r="AD165" s="1790">
        <f t="shared" si="82"/>
        <v>0</v>
      </c>
      <c r="AE165" s="1790">
        <f t="shared" si="82"/>
        <v>0</v>
      </c>
      <c r="AF165" s="1790">
        <f t="shared" si="82"/>
        <v>0</v>
      </c>
      <c r="AG165" s="1794">
        <v>669.17</v>
      </c>
      <c r="AH165" s="1794">
        <v>699.58</v>
      </c>
      <c r="AI165" s="1794">
        <v>730</v>
      </c>
      <c r="AJ165" s="1794">
        <v>0</v>
      </c>
      <c r="AK165" s="1794">
        <v>0</v>
      </c>
      <c r="AL165" s="1794">
        <v>0</v>
      </c>
      <c r="AM165" s="1794">
        <v>0</v>
      </c>
      <c r="AN165" s="1795"/>
      <c r="AO165" s="1795"/>
      <c r="AP165" s="1808">
        <f t="shared" si="75"/>
        <v>1.3993392384276919</v>
      </c>
      <c r="AQ165" s="1810">
        <f>IF(AP165&gt;[11]核心假设及结论!$B$59,[11]核心假设及结论!$D$59,IF(AP165&lt;=[11]核心假设及结论!$B$58,[11]核心假设及结论!$D$57,[11]核心假设及结论!$D$58))</f>
        <v>1.0069999999999999</v>
      </c>
      <c r="AR165" s="1809">
        <f t="shared" si="76"/>
        <v>669.17</v>
      </c>
      <c r="AS165" s="1809">
        <f>AH165*(AS$2&lt;=YEAR($K165))+AR165*$AQ165*(AS$2=YEAR($K165)+1)+INDEX([11]核心假设及结论!$E$17:$E$21,MATCH($D165,[11]核心假设及结论!$B$17:$B$21,0))*(AS$2&gt;YEAR($K165)+1)*AR165</f>
        <v>699.58</v>
      </c>
      <c r="AT165" s="1809">
        <f>AI165*(AT$2&lt;=YEAR($K165))+AS165*$AQ165*(AT$2=YEAR($K165)+1)+INDEX([11]核心假设及结论!$E$17:$E$21,MATCH($D165,[11]核心假设及结论!$B$17:$B$21,0))*(AT$2&gt;YEAR($K165)+1)*AS165</f>
        <v>730</v>
      </c>
      <c r="AU165" s="1811">
        <f>AJ165*(AU$2&lt;=YEAR($K165))+AT165*$AQ165*(AU$2=YEAR($K165)+1)+INDEX([11]核心假设及结论!$E$17:$E$21,MATCH($D165,[11]核心假设及结论!$B$17:$B$21,0))*(AU$2&gt;YEAR($K165)+1)*AT165</f>
        <v>735.1099999999999</v>
      </c>
      <c r="AV165" s="1809">
        <f>AK165*(AV$2&lt;=YEAR($K165))+AU165*$AQ165*(AV$2=YEAR($K165)+1)+INDEX([11]核心假设及结论!$E$17:$E$21,MATCH($D165,[11]核心假设及结论!$B$17:$B$21,0))*(AV$2&gt;YEAR($K165)+1)*AU165</f>
        <v>755.01272908432475</v>
      </c>
      <c r="AW165" s="1809">
        <f>AL165*(AW$2&lt;=YEAR($K165))+AV165*$AQ165*(AW$2=YEAR($K165)+1)+INDEX([11]核心假设及结论!$E$17:$E$21,MATCH($D165,[11]核心假设及结论!$B$17:$B$21,0))*(AW$2&gt;YEAR($K165)+1)*AV165</f>
        <v>775.45431442826248</v>
      </c>
      <c r="AX165" s="1809">
        <f>AM165*(AX$2&lt;=YEAR($K165))+AW165*$AQ165*(AX$2=YEAR($K165)+1)+INDEX([11]核心假设及结论!$E$17:$E$21,MATCH($D165,[11]核心假设及结论!$B$17:$B$21,0))*(AX$2&gt;YEAR($K165)+1)*AW165</f>
        <v>796.44934529076818</v>
      </c>
      <c r="AZ165" s="1746">
        <f t="shared" si="66"/>
        <v>46473</v>
      </c>
      <c r="BA165" s="1817">
        <f t="shared" si="67"/>
        <v>45658</v>
      </c>
      <c r="BB165" s="1817">
        <f t="shared" si="68"/>
        <v>45743</v>
      </c>
      <c r="BC165" s="1817">
        <f t="shared" si="69"/>
        <v>46022</v>
      </c>
      <c r="BD165" s="1818">
        <f t="shared" si="70"/>
        <v>86</v>
      </c>
      <c r="BE165" s="1818">
        <f t="shared" si="71"/>
        <v>279</v>
      </c>
      <c r="BG165" s="1777">
        <f t="shared" si="86"/>
        <v>187.78292199452056</v>
      </c>
      <c r="BH165" s="1777">
        <f t="shared" si="84"/>
        <v>196.03218700273973</v>
      </c>
      <c r="BI165" s="1777">
        <f t="shared" si="84"/>
        <v>199.03530720000001</v>
      </c>
      <c r="BJ165" s="1777">
        <f t="shared" si="84"/>
        <v>203.48768409758796</v>
      </c>
      <c r="BK165" s="1777">
        <f t="shared" si="84"/>
        <v>208.99700957077019</v>
      </c>
      <c r="BL165" s="1777">
        <f t="shared" si="84"/>
        <v>214.65549722693194</v>
      </c>
      <c r="BM165" s="1777">
        <f t="shared" si="84"/>
        <v>50.892458548179839</v>
      </c>
      <c r="BO165" s="1739">
        <f t="shared" si="72"/>
        <v>2027</v>
      </c>
      <c r="BP165" s="1742">
        <f>_xlfn.IFNA(INDEX($AR165:$AX165,MATCH(BO165,$AR$2:$AX$2,0))*12/365*[11]核心假设及结论!$C$70*$H165,0)</f>
        <v>162720</v>
      </c>
      <c r="BR165" s="1739">
        <f t="shared" si="77"/>
        <v>2030</v>
      </c>
      <c r="BS165" s="1742">
        <f>_xlfn.IFNA(INDEX($AR165:$AX165,MATCH(BR165,$AR$2:$AX$2,0))*12/365*[11]核心假设及结论!$C$70*$H165,0)</f>
        <v>172851.95348461217</v>
      </c>
      <c r="BU165" s="1739">
        <f t="shared" si="78"/>
        <v>2033</v>
      </c>
      <c r="BV165" s="1742">
        <f>_xlfn.IFNA(INDEX($AR165:$AX165,MATCH(BU165,$AR$2:$AX$2,0))*12/365*[11]核心假设及结论!$C$70*$H165,0)</f>
        <v>0</v>
      </c>
      <c r="BX165" s="1739">
        <f t="shared" si="79"/>
        <v>2036</v>
      </c>
      <c r="BY165" s="1742">
        <f>_xlfn.IFNA(INDEX($AR165:$AX165,MATCH(BX165,$AR$2:$AX$2,0))*12/365*[11]核心假设及结论!$C$70*$H165,0)</f>
        <v>0</v>
      </c>
      <c r="CA165" s="1739">
        <f t="shared" si="80"/>
        <v>2039</v>
      </c>
      <c r="CB165" s="1742">
        <f>_xlfn.IFNA(INDEX($AR165:$AX165,MATCH(CA165,$AR$2:$AX$2,0))*12/365*[11]核心假设及结论!$C$70*$H165,0)</f>
        <v>0</v>
      </c>
    </row>
    <row r="166" spans="1:80" ht="30" customHeight="1">
      <c r="A166" s="1756" t="s">
        <v>1687</v>
      </c>
      <c r="B166" s="1757" t="s">
        <v>2022</v>
      </c>
      <c r="C166" s="1756" t="s">
        <v>2023</v>
      </c>
      <c r="D166" s="1756" t="s">
        <v>1698</v>
      </c>
      <c r="E166" s="1758" t="s">
        <v>1698</v>
      </c>
      <c r="F166" s="1759"/>
      <c r="G166" s="1760" t="s">
        <v>1661</v>
      </c>
      <c r="H166" s="1761">
        <v>226</v>
      </c>
      <c r="I166" s="1761" t="s">
        <v>1913</v>
      </c>
      <c r="J166" s="1773">
        <v>45630</v>
      </c>
      <c r="K166" s="1773">
        <v>49202</v>
      </c>
      <c r="L166" s="1764">
        <f t="shared" si="62"/>
        <v>118</v>
      </c>
      <c r="M166" s="1774">
        <f t="shared" si="73"/>
        <v>129143.39083333329</v>
      </c>
      <c r="N166" s="1775">
        <f t="shared" si="74"/>
        <v>416.97885324483758</v>
      </c>
      <c r="O166" s="1760">
        <v>94237.220833333296</v>
      </c>
      <c r="P166" s="1776">
        <v>8.5000000000000006E-2</v>
      </c>
      <c r="Q166" s="1783">
        <f t="shared" si="63"/>
        <v>141.68216814159291</v>
      </c>
      <c r="R166" s="1784">
        <v>32020.17</v>
      </c>
      <c r="S166" s="1777">
        <f t="shared" si="64"/>
        <v>12.769911504424778</v>
      </c>
      <c r="T166" s="1784">
        <v>2886</v>
      </c>
      <c r="U166" s="1777"/>
      <c r="V166" s="1785">
        <v>501500.45833333302</v>
      </c>
      <c r="W166" s="1785">
        <f t="shared" si="65"/>
        <v>2219.0285766961638</v>
      </c>
      <c r="X166" s="1786">
        <f>(N166+Q166)*H166/V166</f>
        <v>0.25175927306812873</v>
      </c>
      <c r="Y166" s="1789">
        <f>VLOOKUP(E166,[11]核心假设及结论!$C$25:$E$45,3,0)</f>
        <v>0.2</v>
      </c>
      <c r="Z166" s="1790">
        <f t="shared" si="83"/>
        <v>94237.220833333384</v>
      </c>
      <c r="AA166" s="1790">
        <f t="shared" si="83"/>
        <v>112009.375</v>
      </c>
      <c r="AB166" s="1790">
        <f t="shared" si="83"/>
        <v>112009.375</v>
      </c>
      <c r="AC166" s="1790">
        <f t="shared" si="82"/>
        <v>118729.93749999991</v>
      </c>
      <c r="AD166" s="1790">
        <f t="shared" si="82"/>
        <v>118729.93749999991</v>
      </c>
      <c r="AE166" s="1790">
        <f t="shared" si="82"/>
        <v>125749.19166666674</v>
      </c>
      <c r="AF166" s="1790">
        <f t="shared" si="82"/>
        <v>125749.19166666674</v>
      </c>
      <c r="AG166" s="1794">
        <v>416.97885324483798</v>
      </c>
      <c r="AH166" s="1794">
        <v>495.61670353982299</v>
      </c>
      <c r="AI166" s="1794">
        <v>495.61670353982299</v>
      </c>
      <c r="AJ166" s="1794">
        <v>525.35370575221202</v>
      </c>
      <c r="AK166" s="1794">
        <v>525.35370575221202</v>
      </c>
      <c r="AL166" s="1794">
        <v>556.41235250737498</v>
      </c>
      <c r="AM166" s="1794">
        <v>556.41235250737498</v>
      </c>
      <c r="AN166" s="1797"/>
      <c r="AO166" s="1797"/>
      <c r="AP166" s="1808">
        <f t="shared" si="75"/>
        <v>1.2587963653406435</v>
      </c>
      <c r="AQ166" s="1812">
        <f>IF(AP166&gt;[11]核心假设及结论!$B$62,[11]核心假设及结论!$D$62,IF(AP166&lt;=[11]核心假设及结论!$B$61,[11]核心假设及结论!$D$60,[11]核心假设及结论!$D$61))</f>
        <v>1.0489999999999999</v>
      </c>
      <c r="AR166" s="1809">
        <f t="shared" si="76"/>
        <v>416.97885324483798</v>
      </c>
      <c r="AS166" s="1809">
        <f>AH166*(AS$2&lt;=YEAR($K166))+AR166*$AQ166*(AS$2=YEAR($K166)+1)+INDEX([11]核心假设及结论!$E$17:$E$21,MATCH($D166,[11]核心假设及结论!$B$17:$B$21,0))*(AS$2&gt;YEAR($K166)+1)*AR166</f>
        <v>495.61670353982299</v>
      </c>
      <c r="AT166" s="1809">
        <f>AI166*(AT$2&lt;=YEAR($K166))+AS166*$AQ166*(AT$2=YEAR($K166)+1)+INDEX([11]核心假设及结论!$E$17:$E$21,MATCH($D166,[11]核心假设及结论!$B$17:$B$21,0))*(AT$2&gt;YEAR($K166)+1)*AS166</f>
        <v>495.61670353982299</v>
      </c>
      <c r="AU166" s="1809">
        <f>AJ166*(AU$2&lt;=YEAR($K166))+AT166*$AQ166*(AU$2=YEAR($K166)+1)+INDEX([11]核心假设及结论!$E$17:$E$21,MATCH($D166,[11]核心假设及结论!$B$17:$B$21,0))*(AU$2&gt;YEAR($K166)+1)*AT166</f>
        <v>525.35370575221202</v>
      </c>
      <c r="AV166" s="1809">
        <f>AK166*(AV$2&lt;=YEAR($K166))+AU166*$AQ166*(AV$2=YEAR($K166)+1)+INDEX([11]核心假设及结论!$E$17:$E$21,MATCH($D166,[11]核心假设及结论!$B$17:$B$21,0))*(AV$2&gt;YEAR($K166)+1)*AU166</f>
        <v>525.35370575221202</v>
      </c>
      <c r="AW166" s="1809">
        <f>AL166*(AW$2&lt;=YEAR($K166))+AV166*$AQ166*(AW$2=YEAR($K166)+1)+INDEX([11]核心假设及结论!$E$17:$E$21,MATCH($D166,[11]核心假设及结论!$B$17:$B$21,0))*(AW$2&gt;YEAR($K166)+1)*AV166</f>
        <v>556.41235250737498</v>
      </c>
      <c r="AX166" s="1809">
        <f>AM166*(AX$2&lt;=YEAR($K166))+AW166*$AQ166*(AX$2=YEAR($K166)+1)+INDEX([11]核心假设及结论!$E$17:$E$21,MATCH($D166,[11]核心假设及结论!$B$17:$B$21,0))*(AX$2&gt;YEAR($K166)+1)*AW166</f>
        <v>556.41235250737498</v>
      </c>
      <c r="AZ166" s="1746">
        <f t="shared" si="66"/>
        <v>49202</v>
      </c>
      <c r="BA166" s="1817">
        <f t="shared" si="67"/>
        <v>45658</v>
      </c>
      <c r="BB166" s="1817">
        <f t="shared" si="68"/>
        <v>45915</v>
      </c>
      <c r="BC166" s="1817">
        <f t="shared" si="69"/>
        <v>46022</v>
      </c>
      <c r="BD166" s="1818">
        <f t="shared" si="70"/>
        <v>258</v>
      </c>
      <c r="BE166" s="1818">
        <f t="shared" si="71"/>
        <v>107</v>
      </c>
      <c r="BG166" s="1777">
        <f t="shared" si="86"/>
        <v>119.33656800000004</v>
      </c>
      <c r="BH166" s="1777">
        <f t="shared" si="84"/>
        <v>134.41125</v>
      </c>
      <c r="BI166" s="1777">
        <f t="shared" si="84"/>
        <v>136.77541499999998</v>
      </c>
      <c r="BJ166" s="1777">
        <f t="shared" si="84"/>
        <v>142.4759249999999</v>
      </c>
      <c r="BK166" s="1777">
        <f t="shared" si="84"/>
        <v>144.94516399999998</v>
      </c>
      <c r="BL166" s="1777">
        <f t="shared" si="84"/>
        <v>150.8990300000001</v>
      </c>
      <c r="BM166" s="1777">
        <f t="shared" si="84"/>
        <v>106.66287600000007</v>
      </c>
      <c r="BO166" s="1739">
        <f t="shared" si="72"/>
        <v>2034</v>
      </c>
      <c r="BP166" s="1742">
        <f>_xlfn.IFNA(INDEX($AR166:$AX166,MATCH(BO166,$AR$2:$AX$2,0))*12/365*[11]核心假设及结论!$C$70*$H166,0)</f>
        <v>0</v>
      </c>
      <c r="BR166" s="1739">
        <f t="shared" si="77"/>
        <v>2044</v>
      </c>
      <c r="BS166" s="1742">
        <f>_xlfn.IFNA(INDEX($AR166:$AX166,MATCH(BR166,$AR$2:$AX$2,0))*12/365*[11]核心假设及结论!$C$70*$H166,0)</f>
        <v>0</v>
      </c>
      <c r="BU166" s="1739">
        <f t="shared" si="78"/>
        <v>2054</v>
      </c>
      <c r="BV166" s="1742">
        <f>_xlfn.IFNA(INDEX($AR166:$AX166,MATCH(BU166,$AR$2:$AX$2,0))*12/365*[11]核心假设及结论!$C$70*$H166,0)</f>
        <v>0</v>
      </c>
      <c r="BX166" s="1739">
        <f t="shared" si="79"/>
        <v>2064</v>
      </c>
      <c r="BY166" s="1742">
        <f>_xlfn.IFNA(INDEX($AR166:$AX166,MATCH(BX166,$AR$2:$AX$2,0))*12/365*[11]核心假设及结论!$C$70*$H166,0)</f>
        <v>0</v>
      </c>
      <c r="CA166" s="1739">
        <f t="shared" si="80"/>
        <v>2074</v>
      </c>
      <c r="CB166" s="1742">
        <f>_xlfn.IFNA(INDEX($AR166:$AX166,MATCH(CA166,$AR$2:$AX$2,0))*12/365*[11]核心假设及结论!$C$70*$H166,0)</f>
        <v>0</v>
      </c>
    </row>
    <row r="167" spans="1:80" ht="30" customHeight="1">
      <c r="A167" s="1756" t="s">
        <v>1666</v>
      </c>
      <c r="B167" s="1757" t="s">
        <v>2024</v>
      </c>
      <c r="C167" s="1756" t="s">
        <v>2025</v>
      </c>
      <c r="D167" s="1756" t="s">
        <v>1698</v>
      </c>
      <c r="E167" s="1758" t="s">
        <v>1698</v>
      </c>
      <c r="F167" s="1759"/>
      <c r="G167" s="1760" t="s">
        <v>1661</v>
      </c>
      <c r="H167" s="1761">
        <v>225</v>
      </c>
      <c r="I167" s="1761" t="s">
        <v>1913</v>
      </c>
      <c r="J167" s="1773">
        <v>44788</v>
      </c>
      <c r="K167" s="1773">
        <v>46613</v>
      </c>
      <c r="L167" s="1764">
        <f t="shared" si="62"/>
        <v>60</v>
      </c>
      <c r="M167" s="1774">
        <f t="shared" si="73"/>
        <v>126165.71249999999</v>
      </c>
      <c r="N167" s="1775">
        <f t="shared" si="74"/>
        <v>447.12</v>
      </c>
      <c r="O167" s="1760">
        <v>100602</v>
      </c>
      <c r="P167" s="1776">
        <v>0.11</v>
      </c>
      <c r="Q167" s="1783">
        <f t="shared" si="63"/>
        <v>95</v>
      </c>
      <c r="R167" s="1784">
        <v>21375</v>
      </c>
      <c r="S167" s="1777">
        <f t="shared" si="64"/>
        <v>18.616499999999998</v>
      </c>
      <c r="T167" s="1784">
        <v>4188.7124999999996</v>
      </c>
      <c r="U167" s="1777"/>
      <c r="V167" s="1785">
        <v>515591.33083333302</v>
      </c>
      <c r="W167" s="1785">
        <f t="shared" si="65"/>
        <v>2291.5170259259244</v>
      </c>
      <c r="X167" s="1786">
        <f>(N167+Q167)*H167/V167</f>
        <v>0.23657690249146093</v>
      </c>
      <c r="Y167" s="1789">
        <f>VLOOKUP(E167,[11]核心假设及结论!$C$25:$E$45,3,0)</f>
        <v>0.2</v>
      </c>
      <c r="Z167" s="1790">
        <f t="shared" si="83"/>
        <v>105635.25</v>
      </c>
      <c r="AA167" s="1790">
        <f t="shared" si="83"/>
        <v>110949.75</v>
      </c>
      <c r="AB167" s="1790">
        <f t="shared" si="83"/>
        <v>116482.50000000001</v>
      </c>
      <c r="AC167" s="1790">
        <f t="shared" si="82"/>
        <v>0</v>
      </c>
      <c r="AD167" s="1790">
        <f t="shared" si="82"/>
        <v>0</v>
      </c>
      <c r="AE167" s="1790">
        <f t="shared" si="82"/>
        <v>0</v>
      </c>
      <c r="AF167" s="1790">
        <f t="shared" si="82"/>
        <v>0</v>
      </c>
      <c r="AG167" s="1794">
        <v>469.49</v>
      </c>
      <c r="AH167" s="1794">
        <v>493.11</v>
      </c>
      <c r="AI167" s="1794">
        <v>517.70000000000005</v>
      </c>
      <c r="AJ167" s="1794">
        <v>0</v>
      </c>
      <c r="AK167" s="1794">
        <v>0</v>
      </c>
      <c r="AL167" s="1794">
        <v>0</v>
      </c>
      <c r="AM167" s="1794">
        <v>0</v>
      </c>
      <c r="AN167" s="1797"/>
      <c r="AO167" s="1797"/>
      <c r="AP167" s="1808">
        <f t="shared" si="75"/>
        <v>1.1828845124573046</v>
      </c>
      <c r="AQ167" s="1812">
        <f>IF(AP167&gt;[11]核心假设及结论!$B$62,[11]核心假设及结论!$D$62,IF(AP167&lt;=[11]核心假设及结论!$B$61,[11]核心假设及结论!$D$60,[11]核心假设及结论!$D$61))</f>
        <v>1.0489999999999999</v>
      </c>
      <c r="AR167" s="1809">
        <f t="shared" si="76"/>
        <v>469.49</v>
      </c>
      <c r="AS167" s="1809">
        <f>AH167*(AS$2&lt;=YEAR($K167))+AR167*$AQ167*(AS$2=YEAR($K167)+1)+INDEX([11]核心假设及结论!$E$17:$E$21,MATCH($D167,[11]核心假设及结论!$B$17:$B$21,0))*(AS$2&gt;YEAR($K167)+1)*AR167</f>
        <v>493.11</v>
      </c>
      <c r="AT167" s="1809">
        <f>AI167*(AT$2&lt;=YEAR($K167))+AS167*$AQ167*(AT$2=YEAR($K167)+1)+INDEX([11]核心假设及结论!$E$17:$E$21,MATCH($D167,[11]核心假设及结论!$B$17:$B$21,0))*(AT$2&gt;YEAR($K167)+1)*AS167</f>
        <v>517.70000000000005</v>
      </c>
      <c r="AU167" s="1811">
        <f>AJ167*(AU$2&lt;=YEAR($K167))+AT167*$AQ167*(AU$2=YEAR($K167)+1)+INDEX([11]核心假设及结论!$E$17:$E$21,MATCH($D167,[11]核心假设及结论!$B$17:$B$21,0))*(AU$2&gt;YEAR($K167)+1)*AT167</f>
        <v>543.06730000000005</v>
      </c>
      <c r="AV167" s="1809">
        <f>AK167*(AV$2&lt;=YEAR($K167))+AU167*$AQ167*(AV$2=YEAR($K167)+1)+INDEX([11]核心假设及结论!$E$17:$E$21,MATCH($D167,[11]核心假设及结论!$B$17:$B$21,0))*(AV$2&gt;YEAR($K167)+1)*AU167</f>
        <v>559.69461166409815</v>
      </c>
      <c r="AW167" s="1809">
        <f>AL167*(AW$2&lt;=YEAR($K167))+AV167*$AQ167*(AW$2=YEAR($K167)+1)+INDEX([11]核心假设及结论!$E$17:$E$21,MATCH($D167,[11]核心假设及结论!$B$17:$B$21,0))*(AW$2&gt;YEAR($K167)+1)*AV167</f>
        <v>576.83100846953153</v>
      </c>
      <c r="AX167" s="1809">
        <f>AM167*(AX$2&lt;=YEAR($K167))+AW167*$AQ167*(AX$2=YEAR($K167)+1)+INDEX([11]核心假设及结论!$E$17:$E$21,MATCH($D167,[11]核心假设及结论!$B$17:$B$21,0))*(AX$2&gt;YEAR($K167)+1)*AW167</f>
        <v>594.49207728243732</v>
      </c>
      <c r="AZ167" s="1746">
        <f t="shared" si="66"/>
        <v>46613</v>
      </c>
      <c r="BA167" s="1817">
        <f t="shared" si="67"/>
        <v>45658</v>
      </c>
      <c r="BB167" s="1817">
        <f t="shared" si="68"/>
        <v>45883</v>
      </c>
      <c r="BC167" s="1817">
        <f t="shared" si="69"/>
        <v>46022</v>
      </c>
      <c r="BD167" s="1818">
        <f t="shared" si="70"/>
        <v>226</v>
      </c>
      <c r="BE167" s="1818">
        <f t="shared" si="71"/>
        <v>139</v>
      </c>
      <c r="BG167" s="1777">
        <f t="shared" si="86"/>
        <v>129.19095369863015</v>
      </c>
      <c r="BH167" s="1777">
        <f t="shared" si="84"/>
        <v>135.66809095890412</v>
      </c>
      <c r="BI167" s="1777">
        <f t="shared" si="84"/>
        <v>142.38731443561647</v>
      </c>
      <c r="BJ167" s="1777">
        <f t="shared" si="84"/>
        <v>148.33782307329756</v>
      </c>
      <c r="BK167" s="1777">
        <f t="shared" si="84"/>
        <v>152.87954233316378</v>
      </c>
      <c r="BL167" s="1777">
        <f t="shared" si="84"/>
        <v>157.56031725265939</v>
      </c>
      <c r="BM167" s="1777">
        <f t="shared" si="84"/>
        <v>99.386045358285841</v>
      </c>
      <c r="BO167" s="1739">
        <f t="shared" si="72"/>
        <v>2027</v>
      </c>
      <c r="BP167" s="1742">
        <f>_xlfn.IFNA(INDEX($AR167:$AX167,MATCH(BO167,$AR$2:$AX$2,0))*12/365*[11]核心假设及结论!$C$70*$H167,0)</f>
        <v>114886.8493150685</v>
      </c>
      <c r="BR167" s="1739">
        <f t="shared" si="77"/>
        <v>2032</v>
      </c>
      <c r="BS167" s="1742">
        <f>_xlfn.IFNA(INDEX($AR167:$AX167,MATCH(BR167,$AR$2:$AX$2,0))*12/365*[11]核心假设及结论!$C$70*$H167,0)</f>
        <v>0</v>
      </c>
      <c r="BU167" s="1739">
        <f t="shared" si="78"/>
        <v>2037</v>
      </c>
      <c r="BV167" s="1742">
        <f>_xlfn.IFNA(INDEX($AR167:$AX167,MATCH(BU167,$AR$2:$AX$2,0))*12/365*[11]核心假设及结论!$C$70*$H167,0)</f>
        <v>0</v>
      </c>
      <c r="BX167" s="1739">
        <f t="shared" si="79"/>
        <v>2042</v>
      </c>
      <c r="BY167" s="1742">
        <f>_xlfn.IFNA(INDEX($AR167:$AX167,MATCH(BX167,$AR$2:$AX$2,0))*12/365*[11]核心假设及结论!$C$70*$H167,0)</f>
        <v>0</v>
      </c>
      <c r="CA167" s="1739">
        <f t="shared" si="80"/>
        <v>2047</v>
      </c>
      <c r="CB167" s="1742">
        <f>_xlfn.IFNA(INDEX($AR167:$AX167,MATCH(CA167,$AR$2:$AX$2,0))*12/365*[11]核心假设及结论!$C$70*$H167,0)</f>
        <v>0</v>
      </c>
    </row>
    <row r="168" spans="1:80" ht="30" customHeight="1">
      <c r="A168" s="1756" t="s">
        <v>1662</v>
      </c>
      <c r="B168" s="1757" t="s">
        <v>2026</v>
      </c>
      <c r="C168" s="1756" t="s">
        <v>2027</v>
      </c>
      <c r="D168" s="1756" t="s">
        <v>1685</v>
      </c>
      <c r="E168" s="1758" t="s">
        <v>1718</v>
      </c>
      <c r="F168" s="1759"/>
      <c r="G168" s="1760" t="s">
        <v>1661</v>
      </c>
      <c r="H168" s="1761">
        <v>224</v>
      </c>
      <c r="I168" s="1761" t="s">
        <v>1913</v>
      </c>
      <c r="J168" s="1773">
        <v>45251</v>
      </c>
      <c r="K168" s="1773">
        <v>46346</v>
      </c>
      <c r="L168" s="1764">
        <f t="shared" si="62"/>
        <v>36</v>
      </c>
      <c r="M168" s="1774">
        <f t="shared" si="73"/>
        <v>256966.08</v>
      </c>
      <c r="N168" s="1775">
        <f t="shared" si="74"/>
        <v>1034.1699999999998</v>
      </c>
      <c r="O168" s="1760">
        <v>231654.08</v>
      </c>
      <c r="P168" s="1776">
        <v>0.16</v>
      </c>
      <c r="Q168" s="1783">
        <f t="shared" si="63"/>
        <v>95</v>
      </c>
      <c r="R168" s="1784">
        <v>21280</v>
      </c>
      <c r="S168" s="1777">
        <f t="shared" si="64"/>
        <v>18</v>
      </c>
      <c r="T168" s="1784">
        <v>4032</v>
      </c>
      <c r="U168" s="1777"/>
      <c r="V168" s="1785">
        <v>523906.98333333299</v>
      </c>
      <c r="W168" s="1785">
        <f t="shared" si="65"/>
        <v>2338.8704613095224</v>
      </c>
      <c r="X168" s="1786">
        <f>(N168+Q168+S168)*H168/V168</f>
        <v>0.49048034894489406</v>
      </c>
      <c r="Y168" s="1789">
        <f>VLOOKUP(E168,[11]核心假设及结论!$C$25:$E$45,3,0)</f>
        <v>0.2</v>
      </c>
      <c r="Z168" s="1790">
        <f t="shared" si="83"/>
        <v>231654.08000000002</v>
      </c>
      <c r="AA168" s="1790">
        <f t="shared" si="83"/>
        <v>238465.91999999998</v>
      </c>
      <c r="AB168" s="1790">
        <f t="shared" si="83"/>
        <v>0</v>
      </c>
      <c r="AC168" s="1790">
        <f t="shared" si="82"/>
        <v>0</v>
      </c>
      <c r="AD168" s="1790">
        <f t="shared" si="82"/>
        <v>0</v>
      </c>
      <c r="AE168" s="1790">
        <f t="shared" si="82"/>
        <v>0</v>
      </c>
      <c r="AF168" s="1790">
        <f t="shared" si="82"/>
        <v>0</v>
      </c>
      <c r="AG168" s="1794">
        <v>1034.17</v>
      </c>
      <c r="AH168" s="1794">
        <v>1064.58</v>
      </c>
      <c r="AI168" s="1794">
        <v>0</v>
      </c>
      <c r="AJ168" s="1794">
        <v>0</v>
      </c>
      <c r="AK168" s="1794">
        <v>0</v>
      </c>
      <c r="AL168" s="1794">
        <v>0</v>
      </c>
      <c r="AM168" s="1794">
        <v>0</v>
      </c>
      <c r="AN168" s="1797"/>
      <c r="AO168" s="1797"/>
      <c r="AP168" s="1808">
        <f t="shared" si="75"/>
        <v>2.4524017447244701</v>
      </c>
      <c r="AQ168" s="1810">
        <f>IF(AP168&gt;[11]核心假设及结论!$B$59,[11]核心假设及结论!$D$59,IF(AP168&lt;=[11]核心假设及结论!$B$58,[11]核心假设及结论!$D$57,[11]核心假设及结论!$D$58))</f>
        <v>1</v>
      </c>
      <c r="AR168" s="1809">
        <f t="shared" si="76"/>
        <v>1034.17</v>
      </c>
      <c r="AS168" s="1809">
        <f>AH168*(AS$2&lt;=YEAR($K168))+AR168*$AQ168*(AS$2=YEAR($K168)+1)+INDEX([11]核心假设及结论!$E$17:$E$21,MATCH($D168,[11]核心假设及结论!$B$17:$B$21,0))*(AS$2&gt;YEAR($K168)+1)*AR168</f>
        <v>1064.58</v>
      </c>
      <c r="AT168" s="1811">
        <f>AI168*(AT$2&lt;=YEAR($K168))+AS168*$AQ168*(AT$2=YEAR($K168)+1)+INDEX([11]核心假设及结论!$E$17:$E$21,MATCH($D168,[11]核心假设及结论!$B$17:$B$21,0))*(AT$2&gt;YEAR($K168)+1)*AS168</f>
        <v>1064.58</v>
      </c>
      <c r="AU168" s="1809">
        <f>AJ168*(AU$2&lt;=YEAR($K168))+AT168*$AQ168*(AU$2=YEAR($K168)+1)+INDEX([11]核心假设及结论!$E$17:$E$21,MATCH($D168,[11]核心假设及结论!$B$17:$B$21,0))*(AU$2&gt;YEAR($K168)+1)*AT168</f>
        <v>1093.4029616364769</v>
      </c>
      <c r="AV168" s="1809">
        <f>AK168*(AV$2&lt;=YEAR($K168))+AU168*$AQ168*(AV$2=YEAR($K168)+1)+INDEX([11]核心假设及结论!$E$17:$E$21,MATCH($D168,[11]核心假设及结论!$B$17:$B$21,0))*(AV$2&gt;YEAR($K168)+1)*AU168</f>
        <v>1123.0062902885825</v>
      </c>
      <c r="AW168" s="1809">
        <f>AL168*(AW$2&lt;=YEAR($K168))+AV168*$AQ168*(AW$2=YEAR($K168)+1)+INDEX([11]核心假设及结论!$E$17:$E$21,MATCH($D168,[11]核心假设及结论!$B$17:$B$21,0))*(AW$2&gt;YEAR($K168)+1)*AV168</f>
        <v>1153.4111139960635</v>
      </c>
      <c r="AX168" s="1809">
        <f>AM168*(AX$2&lt;=YEAR($K168))+AW168*$AQ168*(AX$2=YEAR($K168)+1)+INDEX([11]核心假设及结论!$E$17:$E$21,MATCH($D168,[11]核心假设及结论!$B$17:$B$21,0))*(AX$2&gt;YEAR($K168)+1)*AW168</f>
        <v>1184.639132829589</v>
      </c>
      <c r="AZ168" s="1746">
        <f t="shared" si="66"/>
        <v>46346</v>
      </c>
      <c r="BA168" s="1817">
        <f t="shared" si="67"/>
        <v>45658</v>
      </c>
      <c r="BB168" s="1817">
        <f t="shared" si="68"/>
        <v>45981</v>
      </c>
      <c r="BC168" s="1817">
        <f t="shared" si="69"/>
        <v>46022</v>
      </c>
      <c r="BD168" s="1818">
        <f t="shared" si="70"/>
        <v>324</v>
      </c>
      <c r="BE168" s="1818">
        <f t="shared" si="71"/>
        <v>41</v>
      </c>
      <c r="BG168" s="1777">
        <f t="shared" si="86"/>
        <v>278.90309470684929</v>
      </c>
      <c r="BH168" s="1777">
        <f t="shared" si="84"/>
        <v>286.15910400000001</v>
      </c>
      <c r="BI168" s="1777">
        <f t="shared" si="84"/>
        <v>287.02938371398159</v>
      </c>
      <c r="BJ168" s="1777">
        <f t="shared" si="84"/>
        <v>294.80055818215658</v>
      </c>
      <c r="BK168" s="1777">
        <f t="shared" si="84"/>
        <v>302.7821332435858</v>
      </c>
      <c r="BL168" s="1777">
        <f t="shared" si="84"/>
        <v>310.97980538723925</v>
      </c>
      <c r="BM168" s="1777">
        <f t="shared" si="84"/>
        <v>282.66203738380358</v>
      </c>
      <c r="BO168" s="1739">
        <f t="shared" si="72"/>
        <v>2026</v>
      </c>
      <c r="BP168" s="1742">
        <f>_xlfn.IFNA(INDEX($AR168:$AX168,MATCH(BO168,$AR$2:$AX$2,0))*12/365*[11]核心假设及结论!$C$70*$H168,0)</f>
        <v>235199.26356164386</v>
      </c>
      <c r="BR168" s="1739">
        <f t="shared" si="77"/>
        <v>2029</v>
      </c>
      <c r="BS168" s="1742">
        <f>_xlfn.IFNA(INDEX($AR168:$AX168,MATCH(BR168,$AR$2:$AX$2,0))*12/365*[11]核心假设及结论!$C$70*$H168,0)</f>
        <v>248107.47191471589</v>
      </c>
      <c r="BU168" s="1739">
        <f t="shared" si="78"/>
        <v>2032</v>
      </c>
      <c r="BV168" s="1742">
        <f>_xlfn.IFNA(INDEX($AR168:$AX168,MATCH(BU168,$AR$2:$AX$2,0))*12/365*[11]核心假设及结论!$C$70*$H168,0)</f>
        <v>0</v>
      </c>
      <c r="BX168" s="1739">
        <f t="shared" si="79"/>
        <v>2035</v>
      </c>
      <c r="BY168" s="1742">
        <f>_xlfn.IFNA(INDEX($AR168:$AX168,MATCH(BX168,$AR$2:$AX$2,0))*12/365*[11]核心假设及结论!$C$70*$H168,0)</f>
        <v>0</v>
      </c>
      <c r="CA168" s="1739">
        <f t="shared" si="80"/>
        <v>2038</v>
      </c>
      <c r="CB168" s="1742">
        <f>_xlfn.IFNA(INDEX($AR168:$AX168,MATCH(CA168,$AR$2:$AX$2,0))*12/365*[11]核心假设及结论!$C$70*$H168,0)</f>
        <v>0</v>
      </c>
    </row>
    <row r="169" spans="1:80" ht="30" customHeight="1">
      <c r="A169" s="1756" t="s">
        <v>1687</v>
      </c>
      <c r="B169" s="1757" t="s">
        <v>2028</v>
      </c>
      <c r="C169" s="1756" t="s">
        <v>2029</v>
      </c>
      <c r="D169" s="1756" t="s">
        <v>1685</v>
      </c>
      <c r="E169" s="1758" t="s">
        <v>1692</v>
      </c>
      <c r="F169" s="1759"/>
      <c r="G169" s="1760" t="s">
        <v>1661</v>
      </c>
      <c r="H169" s="1761">
        <v>224</v>
      </c>
      <c r="I169" s="1761" t="s">
        <v>1913</v>
      </c>
      <c r="J169" s="1773">
        <v>45035</v>
      </c>
      <c r="K169" s="1773">
        <v>45765</v>
      </c>
      <c r="L169" s="1764">
        <f t="shared" si="62"/>
        <v>24</v>
      </c>
      <c r="M169" s="1774">
        <f t="shared" si="73"/>
        <v>184181.76000000001</v>
      </c>
      <c r="N169" s="1775">
        <f t="shared" si="74"/>
        <v>709.24</v>
      </c>
      <c r="O169" s="1760">
        <v>158869.76000000001</v>
      </c>
      <c r="P169" s="1776">
        <v>0.18</v>
      </c>
      <c r="Q169" s="1783">
        <f t="shared" si="63"/>
        <v>95</v>
      </c>
      <c r="R169" s="1784">
        <v>21280</v>
      </c>
      <c r="S169" s="1777">
        <f t="shared" si="64"/>
        <v>18</v>
      </c>
      <c r="T169" s="1777">
        <v>4032</v>
      </c>
      <c r="U169" s="1777"/>
      <c r="V169" s="1785">
        <v>297543.99166666699</v>
      </c>
      <c r="W169" s="1785">
        <f t="shared" si="65"/>
        <v>1328.321391369049</v>
      </c>
      <c r="X169" s="1786">
        <f t="shared" ref="X169:X177" si="88">(N169+Q169)*H169/V169</f>
        <v>0.60545588230804692</v>
      </c>
      <c r="Y169" s="1789">
        <f>VLOOKUP(E169,[11]核心假设及结论!$C$25:$E$45,3,0)</f>
        <v>0.2</v>
      </c>
      <c r="Z169" s="1790">
        <f t="shared" si="83"/>
        <v>158869.76000000001</v>
      </c>
      <c r="AA169" s="1790">
        <f t="shared" si="83"/>
        <v>0</v>
      </c>
      <c r="AB169" s="1790">
        <f t="shared" si="83"/>
        <v>0</v>
      </c>
      <c r="AC169" s="1790">
        <f t="shared" si="82"/>
        <v>0</v>
      </c>
      <c r="AD169" s="1790">
        <f t="shared" si="82"/>
        <v>0</v>
      </c>
      <c r="AE169" s="1790">
        <f t="shared" si="82"/>
        <v>0</v>
      </c>
      <c r="AF169" s="1790">
        <f t="shared" si="82"/>
        <v>0</v>
      </c>
      <c r="AG169" s="1794">
        <v>709.24</v>
      </c>
      <c r="AH169" s="1794">
        <v>0</v>
      </c>
      <c r="AI169" s="1794">
        <v>0</v>
      </c>
      <c r="AJ169" s="1794">
        <v>0</v>
      </c>
      <c r="AK169" s="1794">
        <v>0</v>
      </c>
      <c r="AL169" s="1794">
        <v>0</v>
      </c>
      <c r="AM169" s="1794">
        <v>0</v>
      </c>
      <c r="AN169" s="1795"/>
      <c r="AO169" s="1795"/>
      <c r="AP169" s="1808">
        <f t="shared" si="75"/>
        <v>3.0272794115402344</v>
      </c>
      <c r="AQ169" s="1810">
        <f>IF(AP169&gt;[11]核心假设及结论!$B$59,[11]核心假设及结论!$D$59,IF(AP169&lt;=[11]核心假设及结论!$B$58,[11]核心假设及结论!$D$57,[11]核心假设及结论!$D$58))</f>
        <v>1</v>
      </c>
      <c r="AR169" s="1809">
        <f t="shared" si="76"/>
        <v>709.24</v>
      </c>
      <c r="AS169" s="1811">
        <f>AH169*(AS$2&lt;=YEAR($K169))+AR169*$AQ169*(AS$2=YEAR($K169)+1)+INDEX([11]核心假设及结论!$E$17:$E$21,MATCH($D169,[11]核心假设及结论!$B$17:$B$21,0))*(AS$2&gt;YEAR($K169)+1)*AR169</f>
        <v>709.24</v>
      </c>
      <c r="AT169" s="1809">
        <f>AI169*(AT$2&lt;=YEAR($K169))+AS169*$AQ169*(AT$2=YEAR($K169)+1)+INDEX([11]核心假设及结论!$E$17:$E$21,MATCH($D169,[11]核心假设及结论!$B$17:$B$21,0))*(AT$2&gt;YEAR($K169)+1)*AS169</f>
        <v>728.44231200196782</v>
      </c>
      <c r="AU169" s="1809">
        <f>AJ169*(AU$2&lt;=YEAR($K169))+AT169*$AQ169*(AU$2=YEAR($K169)+1)+INDEX([11]核心假设及结论!$E$17:$E$21,MATCH($D169,[11]核心假设及结论!$B$17:$B$21,0))*(AU$2&gt;YEAR($K169)+1)*AT169</f>
        <v>748.16451682755098</v>
      </c>
      <c r="AV169" s="1809">
        <f>AK169*(AV$2&lt;=YEAR($K169))+AU169*$AQ169*(AV$2=YEAR($K169)+1)+INDEX([11]核心假设及结论!$E$17:$E$21,MATCH($D169,[11]核心假设及结论!$B$17:$B$21,0))*(AV$2&gt;YEAR($K169)+1)*AU169</f>
        <v>768.42069031032713</v>
      </c>
      <c r="AW169" s="1809">
        <f>AL169*(AW$2&lt;=YEAR($K169))+AV169*$AQ169*(AW$2=YEAR($K169)+1)+INDEX([11]核心假设及结论!$E$17:$E$21,MATCH($D169,[11]核心假设及结论!$B$17:$B$21,0))*(AW$2&gt;YEAR($K169)+1)*AV169</f>
        <v>789.22528937990353</v>
      </c>
      <c r="AX169" s="1809">
        <f>AM169*(AX$2&lt;=YEAR($K169))+AW169*$AQ169*(AX$2=YEAR($K169)+1)+INDEX([11]核心假设及结论!$E$17:$E$21,MATCH($D169,[11]核心假设及结论!$B$17:$B$21,0))*(AX$2&gt;YEAR($K169)+1)*AW169</f>
        <v>810.59316237989822</v>
      </c>
      <c r="AZ169" s="1746">
        <f t="shared" si="66"/>
        <v>45765</v>
      </c>
      <c r="BA169" s="1817">
        <f t="shared" si="67"/>
        <v>45658</v>
      </c>
      <c r="BB169" s="1817">
        <f t="shared" si="68"/>
        <v>45765</v>
      </c>
      <c r="BC169" s="1817">
        <f t="shared" si="69"/>
        <v>46022</v>
      </c>
      <c r="BD169" s="1818">
        <f t="shared" si="70"/>
        <v>108</v>
      </c>
      <c r="BE169" s="1818">
        <f t="shared" si="71"/>
        <v>257</v>
      </c>
      <c r="BG169" s="1777">
        <f t="shared" si="86"/>
        <v>190.64371200000002</v>
      </c>
      <c r="BH169" s="1777">
        <f t="shared" si="84"/>
        <v>194.27803100491818</v>
      </c>
      <c r="BI169" s="1777">
        <f t="shared" si="84"/>
        <v>199.53800980826324</v>
      </c>
      <c r="BJ169" s="1777">
        <f t="shared" si="84"/>
        <v>204.94039986041761</v>
      </c>
      <c r="BK169" s="1777">
        <f t="shared" si="84"/>
        <v>210.48905687345666</v>
      </c>
      <c r="BL169" s="1777">
        <f t="shared" si="84"/>
        <v>216.18794095089734</v>
      </c>
      <c r="BM169" s="1777">
        <f t="shared" si="84"/>
        <v>64.47080477028328</v>
      </c>
      <c r="BO169" s="1739">
        <f t="shared" si="72"/>
        <v>2025</v>
      </c>
      <c r="BP169" s="1742">
        <f>_xlfn.IFNA(INDEX($AR169:$AX169,MATCH(BO169,$AR$2:$AX$2,0))*12/365*[11]核心假设及结论!$C$70*$H169,0)</f>
        <v>156693.46191780825</v>
      </c>
      <c r="BR169" s="1739">
        <f t="shared" si="77"/>
        <v>2027</v>
      </c>
      <c r="BS169" s="1742">
        <f>_xlfn.IFNA(INDEX($AR169:$AX169,MATCH(BR169,$AR$2:$AX$2,0))*12/365*[11]核心假设及结论!$C$70*$H169,0)</f>
        <v>160935.85764339365</v>
      </c>
      <c r="BU169" s="1739">
        <f t="shared" si="78"/>
        <v>2029</v>
      </c>
      <c r="BV169" s="1742">
        <f>_xlfn.IFNA(INDEX($AR169:$AX169,MATCH(BU169,$AR$2:$AX$2,0))*12/365*[11]核心假设及结论!$C$70*$H169,0)</f>
        <v>169768.34100445145</v>
      </c>
      <c r="BX169" s="1739">
        <f t="shared" si="79"/>
        <v>2031</v>
      </c>
      <c r="BY169" s="1742">
        <f>_xlfn.IFNA(INDEX($AR169:$AX169,MATCH(BX169,$AR$2:$AX$2,0))*12/365*[11]核心假设及结论!$C$70*$H169,0)</f>
        <v>179085.56880634243</v>
      </c>
      <c r="CA169" s="1739">
        <f t="shared" si="80"/>
        <v>2033</v>
      </c>
      <c r="CB169" s="1742">
        <f>_xlfn.IFNA(INDEX($AR169:$AX169,MATCH(CA169,$AR$2:$AX$2,0))*12/365*[11]核心假设及结论!$C$70*$H169,0)</f>
        <v>0</v>
      </c>
    </row>
    <row r="170" spans="1:80" ht="30" customHeight="1">
      <c r="A170" s="1756" t="s">
        <v>1687</v>
      </c>
      <c r="B170" s="1757" t="s">
        <v>2030</v>
      </c>
      <c r="C170" s="1756" t="s">
        <v>2031</v>
      </c>
      <c r="D170" s="1756" t="s">
        <v>1685</v>
      </c>
      <c r="E170" s="1758" t="s">
        <v>1692</v>
      </c>
      <c r="F170" s="1759"/>
      <c r="G170" s="1760" t="s">
        <v>1661</v>
      </c>
      <c r="H170" s="1761">
        <v>224</v>
      </c>
      <c r="I170" s="1761" t="s">
        <v>1913</v>
      </c>
      <c r="J170" s="1773">
        <v>45352</v>
      </c>
      <c r="K170" s="1773">
        <v>46446</v>
      </c>
      <c r="L170" s="1764">
        <f t="shared" si="62"/>
        <v>36</v>
      </c>
      <c r="M170" s="1774">
        <f t="shared" si="73"/>
        <v>113886.08</v>
      </c>
      <c r="N170" s="1775">
        <f t="shared" si="74"/>
        <v>395.42</v>
      </c>
      <c r="O170" s="1760">
        <v>88574.080000000002</v>
      </c>
      <c r="P170" s="1776">
        <v>0.1</v>
      </c>
      <c r="Q170" s="1783">
        <f t="shared" si="63"/>
        <v>95</v>
      </c>
      <c r="R170" s="1784">
        <v>21280</v>
      </c>
      <c r="S170" s="1777">
        <f t="shared" si="64"/>
        <v>18</v>
      </c>
      <c r="T170" s="1784">
        <v>4032</v>
      </c>
      <c r="U170" s="1777"/>
      <c r="V170" s="1785">
        <v>748459.8</v>
      </c>
      <c r="W170" s="1785">
        <f t="shared" si="65"/>
        <v>3341.3383928571429</v>
      </c>
      <c r="X170" s="1786">
        <f t="shared" si="88"/>
        <v>0.1467735207689177</v>
      </c>
      <c r="Y170" s="1789">
        <f>VLOOKUP(E170,[11]核心假设及结论!$C$25:$E$45,3,0)</f>
        <v>0.2</v>
      </c>
      <c r="Z170" s="1790">
        <f t="shared" si="83"/>
        <v>88574.080000000002</v>
      </c>
      <c r="AA170" s="1790">
        <f t="shared" si="83"/>
        <v>95385.919999999998</v>
      </c>
      <c r="AB170" s="1790">
        <f t="shared" si="83"/>
        <v>102200</v>
      </c>
      <c r="AC170" s="1790">
        <f t="shared" si="82"/>
        <v>0</v>
      </c>
      <c r="AD170" s="1790">
        <f t="shared" si="82"/>
        <v>0</v>
      </c>
      <c r="AE170" s="1790">
        <f t="shared" si="82"/>
        <v>0</v>
      </c>
      <c r="AF170" s="1790">
        <f t="shared" si="82"/>
        <v>0</v>
      </c>
      <c r="AG170" s="1794">
        <v>395.42</v>
      </c>
      <c r="AH170" s="1794">
        <v>425.83</v>
      </c>
      <c r="AI170" s="1794">
        <v>456.25</v>
      </c>
      <c r="AJ170" s="1794">
        <v>0</v>
      </c>
      <c r="AK170" s="1794">
        <v>0</v>
      </c>
      <c r="AL170" s="1794">
        <v>0</v>
      </c>
      <c r="AM170" s="1794">
        <v>0</v>
      </c>
      <c r="AN170" s="1797"/>
      <c r="AO170" s="1797"/>
      <c r="AP170" s="1808">
        <f t="shared" si="75"/>
        <v>0.73386760384458849</v>
      </c>
      <c r="AQ170" s="1810">
        <f>IF(AP170&gt;[11]核心假设及结论!$B$59,[11]核心假设及结论!$D$59,IF(AP170&lt;=[11]核心假设及结论!$B$58,[11]核心假设及结论!$D$57,[11]核心假设及结论!$D$58))</f>
        <v>1.0342640124442799</v>
      </c>
      <c r="AR170" s="1809">
        <f t="shared" si="76"/>
        <v>395.42</v>
      </c>
      <c r="AS170" s="1809">
        <f>AH170*(AS$2&lt;=YEAR($K170))+AR170*$AQ170*(AS$2=YEAR($K170)+1)+INDEX([11]核心假设及结论!$E$17:$E$21,MATCH($D170,[11]核心假设及结论!$B$17:$B$21,0))*(AS$2&gt;YEAR($K170)+1)*AR170</f>
        <v>425.83</v>
      </c>
      <c r="AT170" s="1809">
        <f>AI170*(AT$2&lt;=YEAR($K170))+AS170*$AQ170*(AT$2=YEAR($K170)+1)+INDEX([11]核心假设及结论!$E$17:$E$21,MATCH($D170,[11]核心假设及结论!$B$17:$B$21,0))*(AT$2&gt;YEAR($K170)+1)*AS170</f>
        <v>456.25</v>
      </c>
      <c r="AU170" s="1811">
        <f>AJ170*(AU$2&lt;=YEAR($K170))+AT170*$AQ170*(AU$2=YEAR($K170)+1)+INDEX([11]核心假设及结论!$E$17:$E$21,MATCH($D170,[11]核心假设及结论!$B$17:$B$21,0))*(AU$2&gt;YEAR($K170)+1)*AT170</f>
        <v>471.88295567770268</v>
      </c>
      <c r="AV170" s="1809">
        <f>AK170*(AV$2&lt;=YEAR($K170))+AU170*$AQ170*(AV$2=YEAR($K170)+1)+INDEX([11]核心假设及结论!$E$17:$E$21,MATCH($D170,[11]核心假设及结论!$B$17:$B$21,0))*(AV$2&gt;YEAR($K170)+1)*AU170</f>
        <v>484.65894651766376</v>
      </c>
      <c r="AW170" s="1809">
        <f>AL170*(AW$2&lt;=YEAR($K170))+AV170*$AQ170*(AW$2=YEAR($K170)+1)+INDEX([11]核心假设及结论!$E$17:$E$21,MATCH($D170,[11]核心假设及结论!$B$17:$B$21,0))*(AW$2&gt;YEAR($K170)+1)*AV170</f>
        <v>497.78084080672983</v>
      </c>
      <c r="AX170" s="1809">
        <f>AM170*(AX$2&lt;=YEAR($K170))+AW170*$AQ170*(AX$2=YEAR($K170)+1)+INDEX([11]核心假设及结论!$E$17:$E$21,MATCH($D170,[11]核心假设及结论!$B$17:$B$21,0))*(AX$2&gt;YEAR($K170)+1)*AW170</f>
        <v>511.25800370472302</v>
      </c>
      <c r="AZ170" s="1746">
        <f t="shared" si="66"/>
        <v>46446</v>
      </c>
      <c r="BA170" s="1817">
        <f t="shared" si="67"/>
        <v>45658</v>
      </c>
      <c r="BB170" s="1817">
        <f t="shared" si="68"/>
        <v>45716</v>
      </c>
      <c r="BC170" s="1817">
        <f t="shared" si="69"/>
        <v>46022</v>
      </c>
      <c r="BD170" s="1818">
        <f t="shared" si="70"/>
        <v>59</v>
      </c>
      <c r="BE170" s="1818">
        <f t="shared" si="71"/>
        <v>306</v>
      </c>
      <c r="BG170" s="1777">
        <f t="shared" si="86"/>
        <v>113.14179366575343</v>
      </c>
      <c r="BH170" s="1777">
        <f t="shared" si="84"/>
        <v>121.31825516712328</v>
      </c>
      <c r="BI170" s="1777">
        <f t="shared" si="84"/>
        <v>126.16288870347107</v>
      </c>
      <c r="BJ170" s="1777">
        <f t="shared" si="84"/>
        <v>129.72120977208743</v>
      </c>
      <c r="BK170" s="1777">
        <f t="shared" si="84"/>
        <v>133.2333454995088</v>
      </c>
      <c r="BL170" s="1777">
        <f t="shared" si="84"/>
        <v>136.84057051409843</v>
      </c>
      <c r="BM170" s="1777">
        <f t="shared" si="84"/>
        <v>22.214090225627242</v>
      </c>
      <c r="BO170" s="1739">
        <f t="shared" si="72"/>
        <v>2027</v>
      </c>
      <c r="BP170" s="1742">
        <f>_xlfn.IFNA(INDEX($AR170:$AX170,MATCH(BO170,$AR$2:$AX$2,0))*12/365*[11]核心假设及结论!$C$70*$H170,0)</f>
        <v>100800</v>
      </c>
      <c r="BR170" s="1739">
        <f t="shared" si="77"/>
        <v>2030</v>
      </c>
      <c r="BS170" s="1742">
        <f>_xlfn.IFNA(INDEX($AR170:$AX170,MATCH(BR170,$AR$2:$AX$2,0))*12/365*[11]核心假设及结论!$C$70*$H170,0)</f>
        <v>109975.47124014984</v>
      </c>
      <c r="BU170" s="1739">
        <f t="shared" si="78"/>
        <v>2033</v>
      </c>
      <c r="BV170" s="1742">
        <f>_xlfn.IFNA(INDEX($AR170:$AX170,MATCH(BU170,$AR$2:$AX$2,0))*12/365*[11]核心假设及结论!$C$70*$H170,0)</f>
        <v>0</v>
      </c>
      <c r="BX170" s="1739">
        <f t="shared" si="79"/>
        <v>2036</v>
      </c>
      <c r="BY170" s="1742">
        <f>_xlfn.IFNA(INDEX($AR170:$AX170,MATCH(BX170,$AR$2:$AX$2,0))*12/365*[11]核心假设及结论!$C$70*$H170,0)</f>
        <v>0</v>
      </c>
      <c r="CA170" s="1739">
        <f t="shared" si="80"/>
        <v>2039</v>
      </c>
      <c r="CB170" s="1742">
        <f>_xlfn.IFNA(INDEX($AR170:$AX170,MATCH(CA170,$AR$2:$AX$2,0))*12/365*[11]核心假设及结论!$C$70*$H170,0)</f>
        <v>0</v>
      </c>
    </row>
    <row r="171" spans="1:80" ht="30" customHeight="1">
      <c r="A171" s="1756" t="s">
        <v>1662</v>
      </c>
      <c r="B171" s="1757" t="s">
        <v>2032</v>
      </c>
      <c r="C171" s="1756" t="s">
        <v>2033</v>
      </c>
      <c r="D171" s="1756" t="s">
        <v>1685</v>
      </c>
      <c r="E171" s="1758" t="s">
        <v>1721</v>
      </c>
      <c r="F171" s="1759"/>
      <c r="G171" s="1760" t="s">
        <v>1661</v>
      </c>
      <c r="H171" s="1761">
        <v>222</v>
      </c>
      <c r="I171" s="1761" t="s">
        <v>1913</v>
      </c>
      <c r="J171" s="1773">
        <v>44500</v>
      </c>
      <c r="K171" s="1773">
        <v>45960</v>
      </c>
      <c r="L171" s="1764">
        <f t="shared" si="62"/>
        <v>48</v>
      </c>
      <c r="M171" s="1774">
        <f t="shared" si="73"/>
        <v>173779.65195</v>
      </c>
      <c r="N171" s="1775">
        <f t="shared" si="74"/>
        <v>669.17</v>
      </c>
      <c r="O171" s="1760">
        <v>148555.74</v>
      </c>
      <c r="P171" s="1776">
        <v>0.16</v>
      </c>
      <c r="Q171" s="1783">
        <f t="shared" si="63"/>
        <v>95</v>
      </c>
      <c r="R171" s="1784">
        <v>21090</v>
      </c>
      <c r="S171" s="1777">
        <f t="shared" si="64"/>
        <v>18.621224999999999</v>
      </c>
      <c r="T171" s="1784">
        <v>4133.9119499999997</v>
      </c>
      <c r="U171" s="1777"/>
      <c r="V171" s="1785">
        <v>890916.375</v>
      </c>
      <c r="W171" s="1785">
        <f t="shared" si="65"/>
        <v>4013.1368243243242</v>
      </c>
      <c r="X171" s="1786">
        <f t="shared" si="88"/>
        <v>0.19041713090075371</v>
      </c>
      <c r="Y171" s="1789">
        <f>VLOOKUP(E171,[11]核心假设及结论!$C$25:$E$45,3,0)</f>
        <v>0.25</v>
      </c>
      <c r="Z171" s="1790">
        <f t="shared" si="83"/>
        <v>151932.35999999999</v>
      </c>
      <c r="AA171" s="1790">
        <f t="shared" si="83"/>
        <v>0</v>
      </c>
      <c r="AB171" s="1790">
        <f t="shared" si="83"/>
        <v>0</v>
      </c>
      <c r="AC171" s="1790">
        <f t="shared" si="82"/>
        <v>0</v>
      </c>
      <c r="AD171" s="1790">
        <f t="shared" si="82"/>
        <v>0</v>
      </c>
      <c r="AE171" s="1790">
        <f t="shared" si="82"/>
        <v>0</v>
      </c>
      <c r="AF171" s="1790">
        <f t="shared" si="82"/>
        <v>0</v>
      </c>
      <c r="AG171" s="1794">
        <v>684.38</v>
      </c>
      <c r="AH171" s="1794">
        <v>0</v>
      </c>
      <c r="AI171" s="1794">
        <v>0</v>
      </c>
      <c r="AJ171" s="1794">
        <v>0</v>
      </c>
      <c r="AK171" s="1794">
        <v>0</v>
      </c>
      <c r="AL171" s="1794">
        <v>0</v>
      </c>
      <c r="AM171" s="1794">
        <v>0</v>
      </c>
      <c r="AN171" s="1797"/>
      <c r="AO171" s="1797"/>
      <c r="AP171" s="1808">
        <f t="shared" si="75"/>
        <v>0.76166852360301485</v>
      </c>
      <c r="AQ171" s="1810">
        <f>IF(AP171&gt;[11]核心假设及结论!$B$59,[11]核心假设及结论!$D$59,IF(AP171&lt;=[11]核心假设及结论!$B$58,[11]核心假设及结论!$D$57,[11]核心假设及结论!$D$58))</f>
        <v>1.0342640124442799</v>
      </c>
      <c r="AR171" s="1809">
        <f t="shared" si="76"/>
        <v>684.38</v>
      </c>
      <c r="AS171" s="1811">
        <f>AH171*(AS$2&lt;=YEAR($K171))+AR171*$AQ171*(AS$2=YEAR($K171)+1)+INDEX([11]核心假设及结论!$E$17:$E$21,MATCH($D171,[11]核心假设及结论!$B$17:$B$21,0))*(AS$2&gt;YEAR($K171)+1)*AR171</f>
        <v>707.82960483661623</v>
      </c>
      <c r="AT171" s="1809">
        <f>AI171*(AT$2&lt;=YEAR($K171))+AS171*$AQ171*(AT$2=YEAR($K171)+1)+INDEX([11]核心假设及结论!$E$17:$E$21,MATCH($D171,[11]核心假设及结论!$B$17:$B$21,0))*(AT$2&gt;YEAR($K171)+1)*AS171</f>
        <v>726.99373110741635</v>
      </c>
      <c r="AU171" s="1809">
        <f>AJ171*(AU$2&lt;=YEAR($K171))+AT171*$AQ171*(AU$2=YEAR($K171)+1)+INDEX([11]核心假设及结论!$E$17:$E$21,MATCH($D171,[11]核心假设及结论!$B$17:$B$21,0))*(AU$2&gt;YEAR($K171)+1)*AT171</f>
        <v>746.67671634259671</v>
      </c>
      <c r="AV171" s="1809">
        <f>AK171*(AV$2&lt;=YEAR($K171))+AU171*$AQ171*(AV$2=YEAR($K171)+1)+INDEX([11]核心假设及结论!$E$17:$E$21,MATCH($D171,[11]核心假设及结论!$B$17:$B$21,0))*(AV$2&gt;YEAR($K171)+1)*AU171</f>
        <v>766.89260838452242</v>
      </c>
      <c r="AW171" s="1809">
        <f>AL171*(AW$2&lt;=YEAR($K171))+AV171*$AQ171*(AW$2=YEAR($K171)+1)+INDEX([11]核心假设及结论!$E$17:$E$21,MATCH($D171,[11]核心假设及结论!$B$17:$B$21,0))*(AW$2&gt;YEAR($K171)+1)*AV171</f>
        <v>787.65583541374031</v>
      </c>
      <c r="AX171" s="1809">
        <f>AM171*(AX$2&lt;=YEAR($K171))+AW171*$AQ171*(AX$2=YEAR($K171)+1)+INDEX([11]核心假设及结论!$E$17:$E$21,MATCH($D171,[11]核心假设及结论!$B$17:$B$21,0))*(AX$2&gt;YEAR($K171)+1)*AW171</f>
        <v>808.98121624644182</v>
      </c>
      <c r="AZ171" s="1746">
        <f t="shared" si="66"/>
        <v>45960</v>
      </c>
      <c r="BA171" s="1817">
        <f t="shared" si="67"/>
        <v>45658</v>
      </c>
      <c r="BB171" s="1817">
        <f t="shared" si="68"/>
        <v>45960</v>
      </c>
      <c r="BC171" s="1817">
        <f t="shared" si="69"/>
        <v>46022</v>
      </c>
      <c r="BD171" s="1818">
        <f t="shared" si="70"/>
        <v>303</v>
      </c>
      <c r="BE171" s="1818">
        <f t="shared" si="71"/>
        <v>62</v>
      </c>
      <c r="BG171" s="1777">
        <f t="shared" si="86"/>
        <v>183.37996195387788</v>
      </c>
      <c r="BH171" s="1777">
        <f t="shared" si="84"/>
        <v>189.4330123196788</v>
      </c>
      <c r="BI171" s="1777">
        <f t="shared" si="84"/>
        <v>194.56181470820047</v>
      </c>
      <c r="BJ171" s="1777">
        <f t="shared" si="84"/>
        <v>199.82947681086799</v>
      </c>
      <c r="BK171" s="1777">
        <f t="shared" si="84"/>
        <v>205.23975818376326</v>
      </c>
      <c r="BL171" s="1777">
        <f t="shared" si="84"/>
        <v>210.7965201710357</v>
      </c>
      <c r="BM171" s="1777">
        <f t="shared" si="84"/>
        <v>178.904976960109</v>
      </c>
      <c r="BO171" s="1739">
        <f t="shared" si="72"/>
        <v>2025</v>
      </c>
      <c r="BP171" s="1742">
        <f>_xlfn.IFNA(INDEX($AR171:$AX171,MATCH(BO171,$AR$2:$AX$2,0))*12/365*[11]核心假设及结论!$C$70*$H171,0)</f>
        <v>149851.09479452056</v>
      </c>
      <c r="BR171" s="1739">
        <f t="shared" si="77"/>
        <v>2029</v>
      </c>
      <c r="BS171" s="1742">
        <f>_xlfn.IFNA(INDEX($AR171:$AX171,MATCH(BR171,$AR$2:$AX$2,0))*12/365*[11]核心假设及结论!$C$70*$H171,0)</f>
        <v>167917.96510161928</v>
      </c>
      <c r="BU171" s="1739">
        <f t="shared" si="78"/>
        <v>2033</v>
      </c>
      <c r="BV171" s="1742">
        <f>_xlfn.IFNA(INDEX($AR171:$AX171,MATCH(BU171,$AR$2:$AX$2,0))*12/365*[11]核心假设及结论!$C$70*$H171,0)</f>
        <v>0</v>
      </c>
      <c r="BX171" s="1739">
        <f t="shared" si="79"/>
        <v>2037</v>
      </c>
      <c r="BY171" s="1742">
        <f>_xlfn.IFNA(INDEX($AR171:$AX171,MATCH(BX171,$AR$2:$AX$2,0))*12/365*[11]核心假设及结论!$C$70*$H171,0)</f>
        <v>0</v>
      </c>
      <c r="CA171" s="1739">
        <f t="shared" si="80"/>
        <v>2041</v>
      </c>
      <c r="CB171" s="1742">
        <f>_xlfn.IFNA(INDEX($AR171:$AX171,MATCH(CA171,$AR$2:$AX$2,0))*12/365*[11]核心假设及结论!$C$70*$H171,0)</f>
        <v>0</v>
      </c>
    </row>
    <row r="172" spans="1:80" ht="30" customHeight="1">
      <c r="A172" s="1756" t="s">
        <v>1666</v>
      </c>
      <c r="B172" s="1757" t="s">
        <v>2034</v>
      </c>
      <c r="C172" s="1756" t="s">
        <v>2035</v>
      </c>
      <c r="D172" s="1756" t="s">
        <v>1698</v>
      </c>
      <c r="E172" s="1758" t="s">
        <v>1698</v>
      </c>
      <c r="F172" s="1762"/>
      <c r="G172" s="1760" t="s">
        <v>1661</v>
      </c>
      <c r="H172" s="1761">
        <v>222</v>
      </c>
      <c r="I172" s="1761" t="s">
        <v>1913</v>
      </c>
      <c r="J172" s="1773">
        <v>45523</v>
      </c>
      <c r="K172" s="1773">
        <v>46617</v>
      </c>
      <c r="L172" s="1764">
        <f t="shared" si="62"/>
        <v>36</v>
      </c>
      <c r="M172" s="1774">
        <f t="shared" si="73"/>
        <v>139877.76000000001</v>
      </c>
      <c r="N172" s="1775">
        <f t="shared" si="74"/>
        <v>517.07999999999993</v>
      </c>
      <c r="O172" s="1760">
        <v>114791.76</v>
      </c>
      <c r="P172" s="1776">
        <v>0.12</v>
      </c>
      <c r="Q172" s="1783">
        <f t="shared" si="63"/>
        <v>95</v>
      </c>
      <c r="R172" s="1784">
        <v>21090</v>
      </c>
      <c r="S172" s="1777">
        <f t="shared" si="64"/>
        <v>18</v>
      </c>
      <c r="T172" s="1784">
        <v>3996</v>
      </c>
      <c r="U172" s="1777"/>
      <c r="V172" s="1785"/>
      <c r="W172" s="1785">
        <f t="shared" si="65"/>
        <v>0</v>
      </c>
      <c r="X172" s="1786" t="e">
        <f t="shared" si="88"/>
        <v>#DIV/0!</v>
      </c>
      <c r="Y172" s="1789">
        <f>VLOOKUP(E172,[11]核心假设及结论!$C$25:$E$45,3,0)</f>
        <v>0.2</v>
      </c>
      <c r="Z172" s="1790">
        <f t="shared" si="83"/>
        <v>114791.76000000001</v>
      </c>
      <c r="AA172" s="1790">
        <f t="shared" si="83"/>
        <v>120532.68000000001</v>
      </c>
      <c r="AB172" s="1790">
        <f t="shared" si="83"/>
        <v>126542.22</v>
      </c>
      <c r="AC172" s="1790">
        <f t="shared" si="82"/>
        <v>0</v>
      </c>
      <c r="AD172" s="1790">
        <f t="shared" si="82"/>
        <v>0</v>
      </c>
      <c r="AE172" s="1790">
        <f t="shared" si="82"/>
        <v>0</v>
      </c>
      <c r="AF172" s="1790">
        <f t="shared" si="82"/>
        <v>0</v>
      </c>
      <c r="AG172" s="1794">
        <v>517.08000000000004</v>
      </c>
      <c r="AH172" s="1794">
        <v>542.94000000000005</v>
      </c>
      <c r="AI172" s="1794">
        <v>570.01</v>
      </c>
      <c r="AJ172" s="1794">
        <v>0</v>
      </c>
      <c r="AK172" s="1794">
        <v>0</v>
      </c>
      <c r="AL172" s="1794">
        <v>0</v>
      </c>
      <c r="AM172" s="1794">
        <v>0</v>
      </c>
      <c r="AN172" s="1797"/>
      <c r="AO172" s="1797"/>
      <c r="AP172" s="1808">
        <f t="shared" si="75"/>
        <v>1.25</v>
      </c>
      <c r="AQ172" s="1812">
        <f>IF(AP172&gt;[11]核心假设及结论!$B$62,[11]核心假设及结论!$D$62,IF(AP172&lt;=[11]核心假设及结论!$B$61,[11]核心假设及结论!$D$60,[11]核心假设及结论!$D$61))</f>
        <v>1.0489999999999999</v>
      </c>
      <c r="AR172" s="1809">
        <f t="shared" si="76"/>
        <v>517.08000000000004</v>
      </c>
      <c r="AS172" s="1809">
        <f>AH172*(AS$2&lt;=YEAR($K172))+AR172*$AQ172*(AS$2=YEAR($K172)+1)+INDEX([11]核心假设及结论!$E$17:$E$21,MATCH($D172,[11]核心假设及结论!$B$17:$B$21,0))*(AS$2&gt;YEAR($K172)+1)*AR172</f>
        <v>542.94000000000005</v>
      </c>
      <c r="AT172" s="1809">
        <f>AI172*(AT$2&lt;=YEAR($K172))+AS172*$AQ172*(AT$2=YEAR($K172)+1)+INDEX([11]核心假设及结论!$E$17:$E$21,MATCH($D172,[11]核心假设及结论!$B$17:$B$21,0))*(AT$2&gt;YEAR($K172)+1)*AS172</f>
        <v>570.01</v>
      </c>
      <c r="AU172" s="1811">
        <f>AJ172*(AU$2&lt;=YEAR($K172))+AT172*$AQ172*(AU$2=YEAR($K172)+1)+INDEX([11]核心假设及结论!$E$17:$E$21,MATCH($D172,[11]核心假设及结论!$B$17:$B$21,0))*(AU$2&gt;YEAR($K172)+1)*AT172</f>
        <v>597.94048999999995</v>
      </c>
      <c r="AV172" s="1809">
        <f>AK172*(AV$2&lt;=YEAR($K172))+AU172*$AQ172*(AV$2=YEAR($K172)+1)+INDEX([11]核心假设及结论!$E$17:$E$21,MATCH($D172,[11]核心假设及结论!$B$17:$B$21,0))*(AV$2&gt;YEAR($K172)+1)*AU172</f>
        <v>616.24787636595045</v>
      </c>
      <c r="AW172" s="1809">
        <f>AL172*(AW$2&lt;=YEAR($K172))+AV172*$AQ172*(AW$2=YEAR($K172)+1)+INDEX([11]核心假设及结论!$E$17:$E$21,MATCH($D172,[11]核心假设及结论!$B$17:$B$21,0))*(AW$2&gt;YEAR($K172)+1)*AV172</f>
        <v>635.11578740142477</v>
      </c>
      <c r="AX172" s="1809">
        <f>AM172*(AX$2&lt;=YEAR($K172))+AW172*$AQ172*(AX$2=YEAR($K172)+1)+INDEX([11]核心假设及结论!$E$17:$E$21,MATCH($D172,[11]核心假设及结论!$B$17:$B$21,0))*(AX$2&gt;YEAR($K172)+1)*AW172</f>
        <v>654.56138491744639</v>
      </c>
      <c r="AZ172" s="1746">
        <f t="shared" si="66"/>
        <v>46617</v>
      </c>
      <c r="BA172" s="1817">
        <f t="shared" si="67"/>
        <v>45658</v>
      </c>
      <c r="BB172" s="1817">
        <f t="shared" si="68"/>
        <v>45887</v>
      </c>
      <c r="BC172" s="1817">
        <f t="shared" si="69"/>
        <v>46022</v>
      </c>
      <c r="BD172" s="1818">
        <f t="shared" si="70"/>
        <v>230</v>
      </c>
      <c r="BE172" s="1818">
        <f t="shared" si="71"/>
        <v>135</v>
      </c>
      <c r="BG172" s="1777">
        <f t="shared" si="86"/>
        <v>140.29813676712331</v>
      </c>
      <c r="BH172" s="1777">
        <f t="shared" si="84"/>
        <v>147.30646389041095</v>
      </c>
      <c r="BI172" s="1777">
        <f t="shared" si="84"/>
        <v>154.60269726673971</v>
      </c>
      <c r="BJ172" s="1777">
        <f t="shared" si="84"/>
        <v>161.09520090110968</v>
      </c>
      <c r="BK172" s="1777">
        <f t="shared" si="84"/>
        <v>166.02751796931332</v>
      </c>
      <c r="BL172" s="1777">
        <f t="shared" si="84"/>
        <v>171.11084978857846</v>
      </c>
      <c r="BM172" s="1777">
        <f t="shared" si="84"/>
        <v>109.88023336071718</v>
      </c>
      <c r="BO172" s="1739">
        <f t="shared" si="72"/>
        <v>2027</v>
      </c>
      <c r="BP172" s="1742">
        <f>_xlfn.IFNA(INDEX($AR172:$AX172,MATCH(BO172,$AR$2:$AX$2,0))*12/365*[11]核心假设及结论!$C$70*$H172,0)</f>
        <v>124808.76493150683</v>
      </c>
      <c r="BR172" s="1739">
        <f t="shared" si="77"/>
        <v>2030</v>
      </c>
      <c r="BS172" s="1742">
        <f>_xlfn.IFNA(INDEX($AR172:$AX172,MATCH(BR172,$AR$2:$AX$2,0))*12/365*[11]核心假设及结论!$C$70*$H172,0)</f>
        <v>139064.2567921147</v>
      </c>
      <c r="BU172" s="1739">
        <f t="shared" si="78"/>
        <v>2033</v>
      </c>
      <c r="BV172" s="1742">
        <f>_xlfn.IFNA(INDEX($AR172:$AX172,MATCH(BU172,$AR$2:$AX$2,0))*12/365*[11]核心假设及结论!$C$70*$H172,0)</f>
        <v>0</v>
      </c>
      <c r="BX172" s="1739">
        <f t="shared" si="79"/>
        <v>2036</v>
      </c>
      <c r="BY172" s="1742">
        <f>_xlfn.IFNA(INDEX($AR172:$AX172,MATCH(BX172,$AR$2:$AX$2,0))*12/365*[11]核心假设及结论!$C$70*$H172,0)</f>
        <v>0</v>
      </c>
      <c r="CA172" s="1739">
        <f t="shared" si="80"/>
        <v>2039</v>
      </c>
      <c r="CB172" s="1742">
        <f>_xlfn.IFNA(INDEX($AR172:$AX172,MATCH(CA172,$AR$2:$AX$2,0))*12/365*[11]核心假设及结论!$C$70*$H172,0)</f>
        <v>0</v>
      </c>
    </row>
    <row r="173" spans="1:80" ht="30" customHeight="1">
      <c r="A173" s="1756" t="s">
        <v>1662</v>
      </c>
      <c r="B173" s="3282" t="s">
        <v>2036</v>
      </c>
      <c r="C173" s="1756" t="s">
        <v>2037</v>
      </c>
      <c r="D173" s="1756" t="s">
        <v>1698</v>
      </c>
      <c r="E173" s="1758" t="s">
        <v>1698</v>
      </c>
      <c r="F173" s="1759"/>
      <c r="G173" s="1760" t="s">
        <v>1661</v>
      </c>
      <c r="H173" s="1761">
        <v>217</v>
      </c>
      <c r="I173" s="1761" t="s">
        <v>1913</v>
      </c>
      <c r="J173" s="1773">
        <v>45643</v>
      </c>
      <c r="K173" s="1773">
        <v>47422</v>
      </c>
      <c r="L173" s="1764">
        <f t="shared" si="62"/>
        <v>59</v>
      </c>
      <c r="M173" s="1774">
        <f t="shared" si="73"/>
        <v>176329.86</v>
      </c>
      <c r="N173" s="1775">
        <f t="shared" si="74"/>
        <v>699.57999999999993</v>
      </c>
      <c r="O173" s="1760">
        <v>151808.85999999999</v>
      </c>
      <c r="P173" s="1776">
        <v>0.12</v>
      </c>
      <c r="Q173" s="1783">
        <f t="shared" si="63"/>
        <v>95</v>
      </c>
      <c r="R173" s="1784">
        <v>20615</v>
      </c>
      <c r="S173" s="1777">
        <f t="shared" si="64"/>
        <v>18</v>
      </c>
      <c r="T173" s="1777">
        <v>3906</v>
      </c>
      <c r="U173" s="1777"/>
      <c r="V173" s="1785">
        <v>394555.79749999999</v>
      </c>
      <c r="W173" s="1785">
        <f t="shared" si="65"/>
        <v>1818.2294815668201</v>
      </c>
      <c r="X173" s="1786">
        <f t="shared" si="88"/>
        <v>0.43700754390765223</v>
      </c>
      <c r="Y173" s="1789">
        <f>VLOOKUP(E173,[11]核心假设及结论!$C$25:$E$45,3,0)</f>
        <v>0.2</v>
      </c>
      <c r="Z173" s="1790">
        <f t="shared" si="83"/>
        <v>112206.36000000002</v>
      </c>
      <c r="AA173" s="1790">
        <f t="shared" si="83"/>
        <v>117817.98000000001</v>
      </c>
      <c r="AB173" s="1790">
        <f t="shared" si="83"/>
        <v>123707.36000000002</v>
      </c>
      <c r="AC173" s="1790">
        <f t="shared" si="82"/>
        <v>126133.42</v>
      </c>
      <c r="AD173" s="1790">
        <f t="shared" si="82"/>
        <v>129896.20000000001</v>
      </c>
      <c r="AE173" s="1790">
        <f t="shared" si="82"/>
        <v>0</v>
      </c>
      <c r="AF173" s="1790">
        <f t="shared" si="82"/>
        <v>0</v>
      </c>
      <c r="AG173" s="1794">
        <v>517.08000000000004</v>
      </c>
      <c r="AH173" s="1794">
        <v>542.94000000000005</v>
      </c>
      <c r="AI173" s="1794">
        <v>570.08000000000004</v>
      </c>
      <c r="AJ173" s="1794">
        <v>581.26</v>
      </c>
      <c r="AK173" s="1794">
        <v>598.6</v>
      </c>
      <c r="AL173" s="1794">
        <v>0</v>
      </c>
      <c r="AM173" s="1794">
        <v>0</v>
      </c>
      <c r="AN173" s="1795"/>
      <c r="AO173" s="1795"/>
      <c r="AP173" s="1808">
        <f t="shared" si="75"/>
        <v>2.1850377195382609</v>
      </c>
      <c r="AQ173" s="1812">
        <f>IF(AP173&gt;[11]核心假设及结论!$B$62,[11]核心假设及结论!$D$62,IF(AP173&lt;=[11]核心假设及结论!$B$61,[11]核心假设及结论!$D$60,[11]核心假设及结论!$D$61))</f>
        <v>1</v>
      </c>
      <c r="AR173" s="1809">
        <f t="shared" si="76"/>
        <v>517.08000000000004</v>
      </c>
      <c r="AS173" s="1809">
        <f>AH173*(AS$2&lt;=YEAR($K173))+AR173*$AQ173*(AS$2=YEAR($K173)+1)+INDEX([11]核心假设及结论!$E$17:$E$21,MATCH($D173,[11]核心假设及结论!$B$17:$B$21,0))*(AS$2&gt;YEAR($K173)+1)*AR173</f>
        <v>542.94000000000005</v>
      </c>
      <c r="AT173" s="1809">
        <f>AI173*(AT$2&lt;=YEAR($K173))+AS173*$AQ173*(AT$2=YEAR($K173)+1)+INDEX([11]核心假设及结论!$E$17:$E$21,MATCH($D173,[11]核心假设及结论!$B$17:$B$21,0))*(AT$2&gt;YEAR($K173)+1)*AS173</f>
        <v>570.08000000000004</v>
      </c>
      <c r="AU173" s="1809">
        <f>AJ173*(AU$2&lt;=YEAR($K173))+AT173*$AQ173*(AU$2=YEAR($K173)+1)+INDEX([11]核心假设及结论!$E$17:$E$21,MATCH($D173,[11]核心假设及结论!$B$17:$B$21,0))*(AU$2&gt;YEAR($K173)+1)*AT173</f>
        <v>581.26</v>
      </c>
      <c r="AV173" s="1809">
        <f>AK173*(AV$2&lt;=YEAR($K173))+AU173*$AQ173*(AV$2=YEAR($K173)+1)+INDEX([11]核心假设及结论!$E$17:$E$21,MATCH($D173,[11]核心假设及结论!$B$17:$B$21,0))*(AV$2&gt;YEAR($K173)+1)*AU173</f>
        <v>598.6</v>
      </c>
      <c r="AW173" s="1811">
        <f>AL173*(AW$2&lt;=YEAR($K173))+AV173*$AQ173*(AW$2=YEAR($K173)+1)+INDEX([11]核心假设及结论!$E$17:$E$21,MATCH($D173,[11]核心假设及结论!$B$17:$B$21,0))*(AW$2&gt;YEAR($K173)+1)*AV173</f>
        <v>598.6</v>
      </c>
      <c r="AX173" s="1809">
        <f>AM173*(AX$2&lt;=YEAR($K173))+AW173*$AQ173*(AX$2=YEAR($K173)+1)+INDEX([11]核心假设及结论!$E$17:$E$21,MATCH($D173,[11]核心假设及结论!$B$17:$B$21,0))*(AX$2&gt;YEAR($K173)+1)*AW173</f>
        <v>616.92757885096228</v>
      </c>
      <c r="AZ173" s="1746">
        <f t="shared" si="66"/>
        <v>47422</v>
      </c>
      <c r="BA173" s="1817">
        <f t="shared" si="67"/>
        <v>45658</v>
      </c>
      <c r="BB173" s="1817">
        <f t="shared" si="68"/>
        <v>45961</v>
      </c>
      <c r="BC173" s="1817">
        <f t="shared" si="69"/>
        <v>46022</v>
      </c>
      <c r="BD173" s="1818">
        <f t="shared" si="70"/>
        <v>304</v>
      </c>
      <c r="BE173" s="1818">
        <f t="shared" si="71"/>
        <v>61</v>
      </c>
      <c r="BG173" s="1777">
        <f t="shared" si="86"/>
        <v>135.77303086027402</v>
      </c>
      <c r="BH173" s="1777">
        <f t="shared" si="84"/>
        <v>142.56267905753424</v>
      </c>
      <c r="BI173" s="1777">
        <f t="shared" si="84"/>
        <v>148.93537334794524</v>
      </c>
      <c r="BJ173" s="1777">
        <f t="shared" si="84"/>
        <v>152.11472179726024</v>
      </c>
      <c r="BK173" s="1777">
        <f t="shared" si="84"/>
        <v>155.87544</v>
      </c>
      <c r="BL173" s="1777">
        <f t="shared" si="84"/>
        <v>156.67303614657595</v>
      </c>
      <c r="BM173" s="1777">
        <f t="shared" si="84"/>
        <v>133.79992938621464</v>
      </c>
      <c r="BO173" s="1739">
        <f t="shared" si="72"/>
        <v>2029</v>
      </c>
      <c r="BP173" s="1742">
        <f>_xlfn.IFNA(INDEX($AR173:$AX173,MATCH(BO173,$AR$2:$AX$2,0))*12/365*[11]核心假设及结论!$C$70*$H173,0)</f>
        <v>128116.80000000002</v>
      </c>
      <c r="BR173" s="1739">
        <f t="shared" si="77"/>
        <v>2034</v>
      </c>
      <c r="BS173" s="1742">
        <f>_xlfn.IFNA(INDEX($AR173:$AX173,MATCH(BR173,$AR$2:$AX$2,0))*12/365*[11]核心假设及结论!$C$70*$H173,0)</f>
        <v>0</v>
      </c>
      <c r="BU173" s="1739">
        <f t="shared" si="78"/>
        <v>2039</v>
      </c>
      <c r="BV173" s="1742">
        <f>_xlfn.IFNA(INDEX($AR173:$AX173,MATCH(BU173,$AR$2:$AX$2,0))*12/365*[11]核心假设及结论!$C$70*$H173,0)</f>
        <v>0</v>
      </c>
      <c r="BX173" s="1739">
        <f t="shared" si="79"/>
        <v>2044</v>
      </c>
      <c r="BY173" s="1742">
        <f>_xlfn.IFNA(INDEX($AR173:$AX173,MATCH(BX173,$AR$2:$AX$2,0))*12/365*[11]核心假设及结论!$C$70*$H173,0)</f>
        <v>0</v>
      </c>
      <c r="CA173" s="1739">
        <f t="shared" si="80"/>
        <v>2049</v>
      </c>
      <c r="CB173" s="1742">
        <f>_xlfn.IFNA(INDEX($AR173:$AX173,MATCH(CA173,$AR$2:$AX$2,0))*12/365*[11]核心假设及结论!$C$70*$H173,0)</f>
        <v>0</v>
      </c>
    </row>
    <row r="174" spans="1:80" ht="30" customHeight="1">
      <c r="A174" s="1756" t="s">
        <v>1662</v>
      </c>
      <c r="B174" s="1757" t="s">
        <v>2038</v>
      </c>
      <c r="C174" s="1756" t="s">
        <v>2039</v>
      </c>
      <c r="D174" s="1756" t="s">
        <v>1685</v>
      </c>
      <c r="E174" s="1758" t="s">
        <v>1718</v>
      </c>
      <c r="F174" s="1759"/>
      <c r="G174" s="1760" t="s">
        <v>1661</v>
      </c>
      <c r="H174" s="1761">
        <v>216</v>
      </c>
      <c r="I174" s="1761" t="s">
        <v>1913</v>
      </c>
      <c r="J174" s="1773">
        <v>45353</v>
      </c>
      <c r="K174" s="1773">
        <v>46447</v>
      </c>
      <c r="L174" s="1764">
        <f t="shared" si="62"/>
        <v>36</v>
      </c>
      <c r="M174" s="1774">
        <f t="shared" si="73"/>
        <v>155807.28</v>
      </c>
      <c r="N174" s="1775">
        <f t="shared" si="74"/>
        <v>608.33000000000004</v>
      </c>
      <c r="O174" s="1760">
        <v>131399.28</v>
      </c>
      <c r="P174" s="1776">
        <v>0.16</v>
      </c>
      <c r="Q174" s="1783">
        <f t="shared" si="63"/>
        <v>95</v>
      </c>
      <c r="R174" s="1784">
        <v>20520</v>
      </c>
      <c r="S174" s="1777">
        <f t="shared" si="64"/>
        <v>18</v>
      </c>
      <c r="T174" s="1784">
        <v>3888</v>
      </c>
      <c r="U174" s="1777"/>
      <c r="V174" s="1785">
        <v>876816</v>
      </c>
      <c r="W174" s="1785">
        <f t="shared" si="65"/>
        <v>4059.3333333333335</v>
      </c>
      <c r="X174" s="1786">
        <f t="shared" si="88"/>
        <v>0.17326244046641484</v>
      </c>
      <c r="Y174" s="1789">
        <f>VLOOKUP(E174,[11]核心假设及结论!$C$25:$E$45,3,0)</f>
        <v>0.2</v>
      </c>
      <c r="Z174" s="1790">
        <f t="shared" si="83"/>
        <v>131399.28</v>
      </c>
      <c r="AA174" s="1790">
        <f t="shared" si="83"/>
        <v>137970</v>
      </c>
      <c r="AB174" s="1790">
        <f t="shared" si="83"/>
        <v>144540.72</v>
      </c>
      <c r="AC174" s="1790">
        <f t="shared" si="82"/>
        <v>0</v>
      </c>
      <c r="AD174" s="1790">
        <f t="shared" si="82"/>
        <v>0</v>
      </c>
      <c r="AE174" s="1790">
        <f t="shared" si="82"/>
        <v>0</v>
      </c>
      <c r="AF174" s="1790">
        <f t="shared" si="82"/>
        <v>0</v>
      </c>
      <c r="AG174" s="1794">
        <v>608.33000000000004</v>
      </c>
      <c r="AH174" s="1794">
        <v>638.75</v>
      </c>
      <c r="AI174" s="1794">
        <v>669.17</v>
      </c>
      <c r="AJ174" s="1794">
        <v>0</v>
      </c>
      <c r="AK174" s="1794">
        <v>0</v>
      </c>
      <c r="AL174" s="1794">
        <v>0</v>
      </c>
      <c r="AM174" s="1794">
        <v>0</v>
      </c>
      <c r="AN174" s="1797"/>
      <c r="AO174" s="1797"/>
      <c r="AP174" s="1808">
        <f t="shared" si="75"/>
        <v>0.86631220233207418</v>
      </c>
      <c r="AQ174" s="1810">
        <f>IF(AP174&gt;[11]核心假设及结论!$B$59,[11]核心假设及结论!$D$59,IF(AP174&lt;=[11]核心假设及结论!$B$58,[11]核心假设及结论!$D$57,[11]核心假设及结论!$D$58))</f>
        <v>1.0342640124442799</v>
      </c>
      <c r="AR174" s="1809">
        <f t="shared" si="76"/>
        <v>608.33000000000004</v>
      </c>
      <c r="AS174" s="1809">
        <f>AH174*(AS$2&lt;=YEAR($K174))+AR174*$AQ174*(AS$2=YEAR($K174)+1)+INDEX([11]核心假设及结论!$E$17:$E$21,MATCH($D174,[11]核心假设及结论!$B$17:$B$21,0))*(AS$2&gt;YEAR($K174)+1)*AR174</f>
        <v>638.75</v>
      </c>
      <c r="AT174" s="1809">
        <f>AI174*(AT$2&lt;=YEAR($K174))+AS174*$AQ174*(AT$2=YEAR($K174)+1)+INDEX([11]核心假设及结论!$E$17:$E$21,MATCH($D174,[11]核心假设及结论!$B$17:$B$21,0))*(AT$2&gt;YEAR($K174)+1)*AS174</f>
        <v>669.17</v>
      </c>
      <c r="AU174" s="1811">
        <f>AJ174*(AU$2&lt;=YEAR($K174))+AT174*$AQ174*(AU$2=YEAR($K174)+1)+INDEX([11]核心假设及结论!$E$17:$E$21,MATCH($D174,[11]核心假设及结论!$B$17:$B$21,0))*(AU$2&gt;YEAR($K174)+1)*AT174</f>
        <v>692.09844920733872</v>
      </c>
      <c r="AV174" s="1809">
        <f>AK174*(AV$2&lt;=YEAR($K174))+AU174*$AQ174*(AV$2=YEAR($K174)+1)+INDEX([11]核心假设及结论!$E$17:$E$21,MATCH($D174,[11]核心假设及结论!$B$17:$B$21,0))*(AV$2&gt;YEAR($K174)+1)*AU174</f>
        <v>710.83666244652068</v>
      </c>
      <c r="AW174" s="1809">
        <f>AL174*(AW$2&lt;=YEAR($K174))+AV174*$AQ174*(AW$2=YEAR($K174)+1)+INDEX([11]核心假设及结论!$E$17:$E$21,MATCH($D174,[11]核心假设及结论!$B$17:$B$21,0))*(AW$2&gt;YEAR($K174)+1)*AV174</f>
        <v>730.08220327153845</v>
      </c>
      <c r="AX174" s="1809">
        <f>AM174*(AX$2&lt;=YEAR($K174))+AW174*$AQ174*(AX$2=YEAR($K174)+1)+INDEX([11]核心假设及结论!$E$17:$E$21,MATCH($D174,[11]核心假设及结论!$B$17:$B$21,0))*(AX$2&gt;YEAR($K174)+1)*AW174</f>
        <v>749.84880731855242</v>
      </c>
      <c r="AZ174" s="1746">
        <f t="shared" si="66"/>
        <v>46447</v>
      </c>
      <c r="BA174" s="1817">
        <f t="shared" si="67"/>
        <v>45658</v>
      </c>
      <c r="BB174" s="1817">
        <f t="shared" si="68"/>
        <v>45717</v>
      </c>
      <c r="BC174" s="1817">
        <f t="shared" si="69"/>
        <v>46022</v>
      </c>
      <c r="BD174" s="1818">
        <f t="shared" si="70"/>
        <v>60</v>
      </c>
      <c r="BE174" s="1818">
        <f t="shared" si="71"/>
        <v>305</v>
      </c>
      <c r="BG174" s="1777">
        <f t="shared" si="86"/>
        <v>164.26785797260274</v>
      </c>
      <c r="BH174" s="1777">
        <f t="shared" si="84"/>
        <v>172.15272197260273</v>
      </c>
      <c r="BI174" s="1777">
        <f t="shared" si="84"/>
        <v>178.41497764530237</v>
      </c>
      <c r="BJ174" s="1777">
        <f t="shared" si="84"/>
        <v>183.45046100943745</v>
      </c>
      <c r="BK174" s="1777">
        <f t="shared" si="84"/>
        <v>188.41728886630969</v>
      </c>
      <c r="BL174" s="1777">
        <f t="shared" si="84"/>
        <v>193.51859105932721</v>
      </c>
      <c r="BM174" s="1777">
        <f t="shared" si="84"/>
        <v>31.949722332652406</v>
      </c>
      <c r="BO174" s="1739">
        <f t="shared" si="72"/>
        <v>2027</v>
      </c>
      <c r="BP174" s="1742">
        <f>_xlfn.IFNA(INDEX($AR174:$AX174,MATCH(BO174,$AR$2:$AX$2,0))*12/365*[11]核心假设及结论!$C$70*$H174,0)</f>
        <v>142560.71013698628</v>
      </c>
      <c r="BR174" s="1739">
        <f t="shared" si="77"/>
        <v>2030</v>
      </c>
      <c r="BS174" s="1742">
        <f>_xlfn.IFNA(INDEX($AR174:$AX174,MATCH(BR174,$AR$2:$AX$2,0))*12/365*[11]核心假设及结论!$C$70*$H174,0)</f>
        <v>155537.51267505431</v>
      </c>
      <c r="BU174" s="1739">
        <f t="shared" si="78"/>
        <v>2033</v>
      </c>
      <c r="BV174" s="1742">
        <f>_xlfn.IFNA(INDEX($AR174:$AX174,MATCH(BU174,$AR$2:$AX$2,0))*12/365*[11]核心假设及结论!$C$70*$H174,0)</f>
        <v>0</v>
      </c>
      <c r="BX174" s="1739">
        <f t="shared" si="79"/>
        <v>2036</v>
      </c>
      <c r="BY174" s="1742">
        <f>_xlfn.IFNA(INDEX($AR174:$AX174,MATCH(BX174,$AR$2:$AX$2,0))*12/365*[11]核心假设及结论!$C$70*$H174,0)</f>
        <v>0</v>
      </c>
      <c r="CA174" s="1739">
        <f t="shared" si="80"/>
        <v>2039</v>
      </c>
      <c r="CB174" s="1742">
        <f>_xlfn.IFNA(INDEX($AR174:$AX174,MATCH(CA174,$AR$2:$AX$2,0))*12/365*[11]核心假设及结论!$C$70*$H174,0)</f>
        <v>0</v>
      </c>
    </row>
    <row r="175" spans="1:80" ht="30" customHeight="1">
      <c r="A175" s="1756" t="s">
        <v>1662</v>
      </c>
      <c r="B175" s="1757" t="s">
        <v>2040</v>
      </c>
      <c r="C175" s="1756" t="s">
        <v>2041</v>
      </c>
      <c r="D175" s="1756" t="s">
        <v>1685</v>
      </c>
      <c r="E175" s="1758" t="s">
        <v>1692</v>
      </c>
      <c r="F175" s="1759"/>
      <c r="G175" s="1760" t="s">
        <v>1661</v>
      </c>
      <c r="H175" s="1761">
        <v>216</v>
      </c>
      <c r="I175" s="1761" t="s">
        <v>1913</v>
      </c>
      <c r="J175" s="1773">
        <v>45383</v>
      </c>
      <c r="K175" s="1773">
        <v>47208</v>
      </c>
      <c r="L175" s="1764">
        <f t="shared" si="62"/>
        <v>60</v>
      </c>
      <c r="M175" s="1774">
        <f t="shared" si="73"/>
        <v>95597.28</v>
      </c>
      <c r="N175" s="1775">
        <f t="shared" si="74"/>
        <v>334.58</v>
      </c>
      <c r="O175" s="1760">
        <v>72269.279999999999</v>
      </c>
      <c r="P175" s="1776">
        <v>0.15</v>
      </c>
      <c r="Q175" s="1783">
        <f t="shared" si="63"/>
        <v>90</v>
      </c>
      <c r="R175" s="1784">
        <v>19440</v>
      </c>
      <c r="S175" s="1777">
        <f t="shared" si="64"/>
        <v>18</v>
      </c>
      <c r="T175" s="1784">
        <v>3888</v>
      </c>
      <c r="U175" s="1777"/>
      <c r="V175" s="1785">
        <v>938236</v>
      </c>
      <c r="W175" s="1785">
        <f t="shared" si="65"/>
        <v>4343.6851851851852</v>
      </c>
      <c r="X175" s="1786">
        <f t="shared" si="88"/>
        <v>9.7746494485395991E-2</v>
      </c>
      <c r="Y175" s="1789">
        <f>VLOOKUP(E175,[11]核心假设及结论!$C$25:$E$45,3,0)</f>
        <v>0.2</v>
      </c>
      <c r="Z175" s="1790">
        <f t="shared" si="83"/>
        <v>72269.279999999999</v>
      </c>
      <c r="AA175" s="1790">
        <f t="shared" si="83"/>
        <v>75554.64</v>
      </c>
      <c r="AB175" s="1790">
        <f t="shared" si="83"/>
        <v>78840</v>
      </c>
      <c r="AC175" s="1790">
        <f t="shared" si="82"/>
        <v>83438.64</v>
      </c>
      <c r="AD175" s="1790">
        <f t="shared" si="82"/>
        <v>88037.28</v>
      </c>
      <c r="AE175" s="1790">
        <f t="shared" si="82"/>
        <v>0</v>
      </c>
      <c r="AF175" s="1790">
        <f t="shared" si="82"/>
        <v>0</v>
      </c>
      <c r="AG175" s="1794">
        <v>334.58</v>
      </c>
      <c r="AH175" s="1794">
        <v>349.79</v>
      </c>
      <c r="AI175" s="1794">
        <v>365</v>
      </c>
      <c r="AJ175" s="1794">
        <v>386.29</v>
      </c>
      <c r="AK175" s="1794">
        <v>407.58</v>
      </c>
      <c r="AL175" s="1794">
        <v>0</v>
      </c>
      <c r="AM175" s="1794">
        <v>0</v>
      </c>
      <c r="AN175" s="1797"/>
      <c r="AO175" s="1797"/>
      <c r="AP175" s="1808">
        <f t="shared" si="75"/>
        <v>0.48873247242697992</v>
      </c>
      <c r="AQ175" s="1810">
        <f>IF(AP175&gt;[11]核心假设及结论!$B$59,[11]核心假设及结论!$D$59,IF(AP175&lt;=[11]核心假设及结论!$B$58,[11]核心假设及结论!$D$57,[11]核心假设及结论!$D$58))</f>
        <v>1.0342640124442799</v>
      </c>
      <c r="AR175" s="1809">
        <f t="shared" si="76"/>
        <v>334.58</v>
      </c>
      <c r="AS175" s="1809">
        <f>AH175*(AS$2&lt;=YEAR($K175))+AR175*$AQ175*(AS$2=YEAR($K175)+1)+INDEX([11]核心假设及结论!$E$17:$E$21,MATCH($D175,[11]核心假设及结论!$B$17:$B$21,0))*(AS$2&gt;YEAR($K175)+1)*AR175</f>
        <v>349.79</v>
      </c>
      <c r="AT175" s="1809">
        <f>AI175*(AT$2&lt;=YEAR($K175))+AS175*$AQ175*(AT$2=YEAR($K175)+1)+INDEX([11]核心假设及结论!$E$17:$E$21,MATCH($D175,[11]核心假设及结论!$B$17:$B$21,0))*(AT$2&gt;YEAR($K175)+1)*AS175</f>
        <v>365</v>
      </c>
      <c r="AU175" s="1809">
        <f>AJ175*(AU$2&lt;=YEAR($K175))+AT175*$AQ175*(AU$2=YEAR($K175)+1)+INDEX([11]核心假设及结论!$E$17:$E$21,MATCH($D175,[11]核心假设及结论!$B$17:$B$21,0))*(AU$2&gt;YEAR($K175)+1)*AT175</f>
        <v>386.29</v>
      </c>
      <c r="AV175" s="1809">
        <f>AK175*(AV$2&lt;=YEAR($K175))+AU175*$AQ175*(AV$2=YEAR($K175)+1)+INDEX([11]核心假设及结论!$E$17:$E$21,MATCH($D175,[11]核心假设及结论!$B$17:$B$21,0))*(AV$2&gt;YEAR($K175)+1)*AU175</f>
        <v>407.58</v>
      </c>
      <c r="AW175" s="1811">
        <f>AL175*(AW$2&lt;=YEAR($K175))+AV175*$AQ175*(AW$2=YEAR($K175)+1)+INDEX([11]核心假设及结论!$E$17:$E$21,MATCH($D175,[11]核心假设及结论!$B$17:$B$21,0))*(AW$2&gt;YEAR($K175)+1)*AV175</f>
        <v>421.54532619203957</v>
      </c>
      <c r="AX175" s="1809">
        <f>AM175*(AX$2&lt;=YEAR($K175))+AW175*$AQ175*(AX$2=YEAR($K175)+1)+INDEX([11]核心假设及结论!$E$17:$E$21,MATCH($D175,[11]核心假设及结论!$B$17:$B$21,0))*(AX$2&gt;YEAR($K175)+1)*AW175</f>
        <v>432.95845133516582</v>
      </c>
      <c r="AZ175" s="1746">
        <f t="shared" si="66"/>
        <v>47208</v>
      </c>
      <c r="BA175" s="1817">
        <f t="shared" si="67"/>
        <v>45658</v>
      </c>
      <c r="BB175" s="1817">
        <f t="shared" si="68"/>
        <v>45747</v>
      </c>
      <c r="BC175" s="1817">
        <f t="shared" si="69"/>
        <v>46022</v>
      </c>
      <c r="BD175" s="1818">
        <f t="shared" si="70"/>
        <v>90</v>
      </c>
      <c r="BE175" s="1818">
        <f t="shared" si="71"/>
        <v>275</v>
      </c>
      <c r="BG175" s="1777">
        <f t="shared" si="86"/>
        <v>89.693461479452054</v>
      </c>
      <c r="BH175" s="1777">
        <f t="shared" si="84"/>
        <v>93.635893479452051</v>
      </c>
      <c r="BI175" s="1777">
        <f t="shared" si="84"/>
        <v>98.765674520547947</v>
      </c>
      <c r="BJ175" s="1777">
        <f t="shared" si="84"/>
        <v>104.28404252054794</v>
      </c>
      <c r="BK175" s="1777">
        <f t="shared" si="84"/>
        <v>108.37199203005089</v>
      </c>
      <c r="BL175" s="1777">
        <f t="shared" si="84"/>
        <v>111.49339117966719</v>
      </c>
      <c r="BM175" s="1777">
        <f t="shared" si="84"/>
        <v>27.671382884237669</v>
      </c>
      <c r="BO175" s="1739">
        <f t="shared" si="72"/>
        <v>2029</v>
      </c>
      <c r="BP175" s="1742">
        <f>_xlfn.IFNA(INDEX($AR175:$AX175,MATCH(BO175,$AR$2:$AX$2,0))*12/365*[11]核心假设及结论!$C$70*$H175,0)</f>
        <v>86831.289863013692</v>
      </c>
      <c r="BR175" s="1739">
        <f t="shared" si="77"/>
        <v>2034</v>
      </c>
      <c r="BS175" s="1742">
        <f>_xlfn.IFNA(INDEX($AR175:$AX175,MATCH(BR175,$AR$2:$AX$2,0))*12/365*[11]核心假设及结论!$C$70*$H175,0)</f>
        <v>0</v>
      </c>
      <c r="BU175" s="1739">
        <f t="shared" si="78"/>
        <v>2039</v>
      </c>
      <c r="BV175" s="1742">
        <f>_xlfn.IFNA(INDEX($AR175:$AX175,MATCH(BU175,$AR$2:$AX$2,0))*12/365*[11]核心假设及结论!$C$70*$H175,0)</f>
        <v>0</v>
      </c>
      <c r="BX175" s="1739">
        <f t="shared" si="79"/>
        <v>2044</v>
      </c>
      <c r="BY175" s="1742">
        <f>_xlfn.IFNA(INDEX($AR175:$AX175,MATCH(BX175,$AR$2:$AX$2,0))*12/365*[11]核心假设及结论!$C$70*$H175,0)</f>
        <v>0</v>
      </c>
      <c r="CA175" s="1739">
        <f t="shared" si="80"/>
        <v>2049</v>
      </c>
      <c r="CB175" s="1742">
        <f>_xlfn.IFNA(INDEX($AR175:$AX175,MATCH(CA175,$AR$2:$AX$2,0))*12/365*[11]核心假设及结论!$C$70*$H175,0)</f>
        <v>0</v>
      </c>
    </row>
    <row r="176" spans="1:80" ht="30" customHeight="1">
      <c r="A176" s="1756" t="s">
        <v>1687</v>
      </c>
      <c r="B176" s="1757" t="s">
        <v>2042</v>
      </c>
      <c r="C176" s="1756" t="s">
        <v>2043</v>
      </c>
      <c r="D176" s="1756" t="s">
        <v>1685</v>
      </c>
      <c r="E176" s="1758" t="s">
        <v>1709</v>
      </c>
      <c r="F176" s="1759"/>
      <c r="G176" s="1760" t="s">
        <v>1661</v>
      </c>
      <c r="H176" s="1761">
        <v>214</v>
      </c>
      <c r="I176" s="1761" t="s">
        <v>1913</v>
      </c>
      <c r="J176" s="1773">
        <v>44927</v>
      </c>
      <c r="K176" s="1773">
        <v>45900</v>
      </c>
      <c r="L176" s="1764">
        <f t="shared" si="62"/>
        <v>32</v>
      </c>
      <c r="M176" s="1774">
        <f t="shared" si="73"/>
        <v>115418.76</v>
      </c>
      <c r="N176" s="1775">
        <f t="shared" si="74"/>
        <v>425.72</v>
      </c>
      <c r="O176" s="1760">
        <v>91104.08</v>
      </c>
      <c r="P176" s="1776">
        <v>7.0000000000000007E-2</v>
      </c>
      <c r="Q176" s="1783">
        <f t="shared" si="63"/>
        <v>95</v>
      </c>
      <c r="R176" s="1784">
        <v>20330</v>
      </c>
      <c r="S176" s="1777">
        <f t="shared" si="64"/>
        <v>18.62</v>
      </c>
      <c r="T176" s="1777">
        <v>3984.68</v>
      </c>
      <c r="U176" s="1777"/>
      <c r="V176" s="1785">
        <v>562342.33083333296</v>
      </c>
      <c r="W176" s="1785">
        <f t="shared" si="65"/>
        <v>2627.7679010903407</v>
      </c>
      <c r="X176" s="1786">
        <f t="shared" si="88"/>
        <v>0.19816057566725639</v>
      </c>
      <c r="Y176" s="1789">
        <f>VLOOKUP(E176,[11]核心假设及结论!$C$25:$E$45,3,0)</f>
        <v>0.2</v>
      </c>
      <c r="Z176" s="1790">
        <f t="shared" si="83"/>
        <v>104160.22</v>
      </c>
      <c r="AA176" s="1790">
        <f t="shared" si="83"/>
        <v>0</v>
      </c>
      <c r="AB176" s="1790">
        <f t="shared" si="83"/>
        <v>0</v>
      </c>
      <c r="AC176" s="1790">
        <f t="shared" si="82"/>
        <v>0</v>
      </c>
      <c r="AD176" s="1790">
        <f t="shared" si="82"/>
        <v>0</v>
      </c>
      <c r="AE176" s="1790">
        <f t="shared" si="82"/>
        <v>0</v>
      </c>
      <c r="AF176" s="1790">
        <f t="shared" si="82"/>
        <v>0</v>
      </c>
      <c r="AG176" s="1794">
        <v>486.73</v>
      </c>
      <c r="AH176" s="1794">
        <v>0</v>
      </c>
      <c r="AI176" s="1794">
        <v>0</v>
      </c>
      <c r="AJ176" s="1794">
        <v>0</v>
      </c>
      <c r="AK176" s="1794">
        <v>0</v>
      </c>
      <c r="AL176" s="1794">
        <v>0</v>
      </c>
      <c r="AM176" s="1794">
        <v>0</v>
      </c>
      <c r="AN176" s="1795"/>
      <c r="AO176" s="1795"/>
      <c r="AP176" s="1808">
        <f t="shared" si="75"/>
        <v>0.99080287833628189</v>
      </c>
      <c r="AQ176" s="1810">
        <f>IF(AP176&gt;[11]核心假设及结论!$B$59,[11]核心假设及结论!$D$59,IF(AP176&lt;=[11]核心假设及结论!$B$58,[11]核心假设及结论!$D$57,[11]核心假设及结论!$D$58))</f>
        <v>1.0342640124442799</v>
      </c>
      <c r="AR176" s="1809">
        <f t="shared" si="76"/>
        <v>486.73</v>
      </c>
      <c r="AS176" s="1811">
        <f>AH176*(AS$2&lt;=YEAR($K176))+AR176*$AQ176*(AS$2=YEAR($K176)+1)+INDEX([11]核心假设及结论!$E$17:$E$21,MATCH($D176,[11]核心假设及结论!$B$17:$B$21,0))*(AS$2&gt;YEAR($K176)+1)*AR176</f>
        <v>503.40732277700437</v>
      </c>
      <c r="AT176" s="1809">
        <f>AI176*(AT$2&lt;=YEAR($K176))+AS176*$AQ176*(AT$2=YEAR($K176)+1)+INDEX([11]核心假设及结论!$E$17:$E$21,MATCH($D176,[11]核心假设及结论!$B$17:$B$21,0))*(AT$2&gt;YEAR($K176)+1)*AS176</f>
        <v>517.03681981050408</v>
      </c>
      <c r="AU176" s="1809">
        <f>AJ176*(AU$2&lt;=YEAR($K176))+AT176*$AQ176*(AU$2=YEAR($K176)+1)+INDEX([11]核心假设及结论!$E$17:$E$21,MATCH($D176,[11]核心假设及结论!$B$17:$B$21,0))*(AU$2&gt;YEAR($K176)+1)*AT176</f>
        <v>531.03532853887043</v>
      </c>
      <c r="AV176" s="1809">
        <f>AK176*(AV$2&lt;=YEAR($K176))+AU176*$AQ176*(AV$2=YEAR($K176)+1)+INDEX([11]核心假设及结论!$E$17:$E$21,MATCH($D176,[11]核心假设及结论!$B$17:$B$21,0))*(AV$2&gt;YEAR($K176)+1)*AU176</f>
        <v>545.41283976591751</v>
      </c>
      <c r="AW176" s="1809">
        <f>AL176*(AW$2&lt;=YEAR($K176))+AV176*$AQ176*(AW$2=YEAR($K176)+1)+INDEX([11]核心假设及结论!$E$17:$E$21,MATCH($D176,[11]核心假设及结论!$B$17:$B$21,0))*(AW$2&gt;YEAR($K176)+1)*AV176</f>
        <v>560.17961479138762</v>
      </c>
      <c r="AX176" s="1809">
        <f>AM176*(AX$2&lt;=YEAR($K176))+AW176*$AQ176*(AX$2=YEAR($K176)+1)+INDEX([11]核心假设及结论!$E$17:$E$21,MATCH($D176,[11]核心假设及结论!$B$17:$B$21,0))*(AX$2&gt;YEAR($K176)+1)*AW176</f>
        <v>575.34619273449061</v>
      </c>
      <c r="AZ176" s="1746">
        <f t="shared" si="66"/>
        <v>45900</v>
      </c>
      <c r="BA176" s="1817">
        <f t="shared" si="67"/>
        <v>45658</v>
      </c>
      <c r="BB176" s="1817">
        <f t="shared" si="68"/>
        <v>45900</v>
      </c>
      <c r="BC176" s="1817">
        <f t="shared" si="69"/>
        <v>46022</v>
      </c>
      <c r="BD176" s="1818">
        <f t="shared" si="70"/>
        <v>243</v>
      </c>
      <c r="BE176" s="1818">
        <f t="shared" si="71"/>
        <v>122</v>
      </c>
      <c r="BG176" s="1777">
        <f t="shared" si="86"/>
        <v>126.42375400458749</v>
      </c>
      <c r="BH176" s="1777">
        <f t="shared" si="84"/>
        <v>130.44488183231482</v>
      </c>
      <c r="BI176" s="1777">
        <f t="shared" si="84"/>
        <v>133.976610612423</v>
      </c>
      <c r="BJ176" s="1777">
        <f t="shared" si="84"/>
        <v>137.60395915162823</v>
      </c>
      <c r="BK176" s="1777">
        <f t="shared" si="84"/>
        <v>141.32951630623819</v>
      </c>
      <c r="BL176" s="1777">
        <f t="shared" si="84"/>
        <v>145.15594102452761</v>
      </c>
      <c r="BM176" s="1777">
        <f t="shared" si="84"/>
        <v>98.364337691766508</v>
      </c>
      <c r="BO176" s="1739">
        <f t="shared" si="72"/>
        <v>2025</v>
      </c>
      <c r="BP176" s="1742">
        <f>_xlfn.IFNA(INDEX($AR176:$AX176,MATCH(BO176,$AR$2:$AX$2,0))*12/365*[11]核心假设及结论!$C$70*$H176,0)</f>
        <v>102733.36767123287</v>
      </c>
      <c r="BR176" s="1739">
        <f t="shared" si="77"/>
        <v>2028</v>
      </c>
      <c r="BS176" s="1742">
        <f>_xlfn.IFNA(INDEX($AR176:$AX176,MATCH(BR176,$AR$2:$AX$2,0))*12/365*[11]核心假设及结论!$C$70*$H176,0)</f>
        <v>112084.82660447826</v>
      </c>
      <c r="BU176" s="1739">
        <f t="shared" si="78"/>
        <v>2031</v>
      </c>
      <c r="BV176" s="1742">
        <f>_xlfn.IFNA(INDEX($AR176:$AX176,MATCH(BU176,$AR$2:$AX$2,0))*12/365*[11]核心假设及结论!$C$70*$H176,0)</f>
        <v>121437.45394045247</v>
      </c>
      <c r="BX176" s="1739">
        <f t="shared" si="79"/>
        <v>2034</v>
      </c>
      <c r="BY176" s="1742">
        <f>_xlfn.IFNA(INDEX($AR176:$AX176,MATCH(BX176,$AR$2:$AX$2,0))*12/365*[11]核心假设及结论!$C$70*$H176,0)</f>
        <v>0</v>
      </c>
      <c r="CA176" s="1739">
        <f t="shared" si="80"/>
        <v>2037</v>
      </c>
      <c r="CB176" s="1742">
        <f>_xlfn.IFNA(INDEX($AR176:$AX176,MATCH(CA176,$AR$2:$AX$2,0))*12/365*[11]核心假设及结论!$C$70*$H176,0)</f>
        <v>0</v>
      </c>
    </row>
    <row r="177" spans="1:80" ht="30" customHeight="1">
      <c r="A177" s="1756" t="s">
        <v>1662</v>
      </c>
      <c r="B177" s="1757" t="s">
        <v>2044</v>
      </c>
      <c r="C177" s="1756" t="s">
        <v>2045</v>
      </c>
      <c r="D177" s="1756" t="s">
        <v>1685</v>
      </c>
      <c r="E177" s="1758" t="s">
        <v>1692</v>
      </c>
      <c r="F177" s="1759"/>
      <c r="G177" s="1760" t="s">
        <v>1661</v>
      </c>
      <c r="H177" s="1761">
        <v>211</v>
      </c>
      <c r="I177" s="1761" t="s">
        <v>1913</v>
      </c>
      <c r="J177" s="1773">
        <v>44934</v>
      </c>
      <c r="K177" s="1773">
        <v>46029</v>
      </c>
      <c r="L177" s="1764">
        <f t="shared" si="62"/>
        <v>36</v>
      </c>
      <c r="M177" s="1774">
        <f t="shared" si="73"/>
        <v>168753.58</v>
      </c>
      <c r="N177" s="1775">
        <f t="shared" si="74"/>
        <v>686.78</v>
      </c>
      <c r="O177" s="1760">
        <v>144910.57999999999</v>
      </c>
      <c r="P177" s="1776">
        <v>0.18</v>
      </c>
      <c r="Q177" s="1783">
        <f t="shared" si="63"/>
        <v>95</v>
      </c>
      <c r="R177" s="1784">
        <v>20045</v>
      </c>
      <c r="S177" s="1777">
        <f t="shared" si="64"/>
        <v>18</v>
      </c>
      <c r="T177" s="1784">
        <v>3798</v>
      </c>
      <c r="U177" s="1777"/>
      <c r="V177" s="1785">
        <v>462227.91666666698</v>
      </c>
      <c r="W177" s="1785">
        <f t="shared" si="65"/>
        <v>2190.6536334913126</v>
      </c>
      <c r="X177" s="1786">
        <f t="shared" si="88"/>
        <v>0.35687065634107246</v>
      </c>
      <c r="Y177" s="1789">
        <f>VLOOKUP(E177,[11]核心假设及结论!$C$25:$E$45,3,0)</f>
        <v>0.2</v>
      </c>
      <c r="Z177" s="1790">
        <f t="shared" si="83"/>
        <v>144910.57999999999</v>
      </c>
      <c r="AA177" s="1790">
        <f t="shared" si="83"/>
        <v>152156.32</v>
      </c>
      <c r="AB177" s="1790">
        <f t="shared" si="83"/>
        <v>0</v>
      </c>
      <c r="AC177" s="1790">
        <f t="shared" si="82"/>
        <v>0</v>
      </c>
      <c r="AD177" s="1790">
        <f t="shared" si="82"/>
        <v>0</v>
      </c>
      <c r="AE177" s="1790">
        <f t="shared" si="82"/>
        <v>0</v>
      </c>
      <c r="AF177" s="1790">
        <f t="shared" si="82"/>
        <v>0</v>
      </c>
      <c r="AG177" s="1794">
        <v>686.78</v>
      </c>
      <c r="AH177" s="1794">
        <v>721.12</v>
      </c>
      <c r="AI177" s="1794">
        <v>0</v>
      </c>
      <c r="AJ177" s="1794">
        <v>0</v>
      </c>
      <c r="AK177" s="1794">
        <v>0</v>
      </c>
      <c r="AL177" s="1794">
        <v>0</v>
      </c>
      <c r="AM177" s="1794">
        <v>0</v>
      </c>
      <c r="AN177" s="1797"/>
      <c r="AO177" s="1797"/>
      <c r="AP177" s="1808">
        <f t="shared" si="75"/>
        <v>1.7843532817053622</v>
      </c>
      <c r="AQ177" s="1810">
        <f>IF(AP177&gt;[11]核心假设及结论!$B$59,[11]核心假设及结论!$D$59,IF(AP177&lt;=[11]核心假设及结论!$B$58,[11]核心假设及结论!$D$57,[11]核心假设及结论!$D$58))</f>
        <v>1</v>
      </c>
      <c r="AR177" s="1809">
        <f t="shared" si="76"/>
        <v>686.78</v>
      </c>
      <c r="AS177" s="1809">
        <f>AH177*(AS$2&lt;=YEAR($K177))+AR177*$AQ177*(AS$2=YEAR($K177)+1)+INDEX([11]核心假设及结论!$E$17:$E$21,MATCH($D177,[11]核心假设及结论!$B$17:$B$21,0))*(AS$2&gt;YEAR($K177)+1)*AR177</f>
        <v>721.12</v>
      </c>
      <c r="AT177" s="1811">
        <f>AI177*(AT$2&lt;=YEAR($K177))+AS177*$AQ177*(AT$2=YEAR($K177)+1)+INDEX([11]核心假设及结论!$E$17:$E$21,MATCH($D177,[11]核心假设及结论!$B$17:$B$21,0))*(AT$2&gt;YEAR($K177)+1)*AS177</f>
        <v>721.12</v>
      </c>
      <c r="AU177" s="1809">
        <f>AJ177*(AU$2&lt;=YEAR($K177))+AT177*$AQ177*(AU$2=YEAR($K177)+1)+INDEX([11]核心假设及结论!$E$17:$E$21,MATCH($D177,[11]核心假设及结论!$B$17:$B$21,0))*(AU$2&gt;YEAR($K177)+1)*AT177</f>
        <v>740.64395695513372</v>
      </c>
      <c r="AV177" s="1809">
        <f>AK177*(AV$2&lt;=YEAR($K177))+AU177*$AQ177*(AV$2=YEAR($K177)+1)+INDEX([11]核心假设及结论!$E$17:$E$21,MATCH($D177,[11]核心假设及结论!$B$17:$B$21,0))*(AV$2&gt;YEAR($K177)+1)*AU177</f>
        <v>760.69651510727476</v>
      </c>
      <c r="AW177" s="1809">
        <f>AL177*(AW$2&lt;=YEAR($K177))+AV177*$AQ177*(AW$2=YEAR($K177)+1)+INDEX([11]核心假设及结论!$E$17:$E$21,MATCH($D177,[11]核心假设及结论!$B$17:$B$21,0))*(AW$2&gt;YEAR($K177)+1)*AV177</f>
        <v>781.29198606477792</v>
      </c>
      <c r="AX177" s="1809">
        <f>AM177*(AX$2&lt;=YEAR($K177))+AW177*$AQ177*(AX$2=YEAR($K177)+1)+INDEX([11]核心假设及结论!$E$17:$E$21,MATCH($D177,[11]核心假设及结论!$B$17:$B$21,0))*(AX$2&gt;YEAR($K177)+1)*AW177</f>
        <v>802.44506891550964</v>
      </c>
      <c r="AZ177" s="1746">
        <f t="shared" si="66"/>
        <v>46029</v>
      </c>
      <c r="BA177" s="1817">
        <f t="shared" si="67"/>
        <v>45658</v>
      </c>
      <c r="BB177" s="1817">
        <f t="shared" si="68"/>
        <v>45664</v>
      </c>
      <c r="BC177" s="1817">
        <f t="shared" si="69"/>
        <v>46022</v>
      </c>
      <c r="BD177" s="1818">
        <f t="shared" si="70"/>
        <v>7</v>
      </c>
      <c r="BE177" s="1818">
        <f t="shared" si="71"/>
        <v>358</v>
      </c>
      <c r="BG177" s="1777">
        <f t="shared" si="86"/>
        <v>182.42083272328765</v>
      </c>
      <c r="BH177" s="1777">
        <f t="shared" si="84"/>
        <v>182.58758399999999</v>
      </c>
      <c r="BI177" s="1777">
        <f t="shared" si="84"/>
        <v>187.43624370567744</v>
      </c>
      <c r="BJ177" s="1777">
        <f t="shared" si="84"/>
        <v>192.51098460031577</v>
      </c>
      <c r="BK177" s="1777">
        <f t="shared" si="84"/>
        <v>197.72312152167007</v>
      </c>
      <c r="BL177" s="1777">
        <f t="shared" si="84"/>
        <v>203.07637439722996</v>
      </c>
      <c r="BM177" s="1777">
        <f t="shared" si="84"/>
        <v>3.896585315468081</v>
      </c>
      <c r="BO177" s="1739">
        <f t="shared" si="72"/>
        <v>2026</v>
      </c>
      <c r="BP177" s="1742">
        <f>_xlfn.IFNA(INDEX($AR177:$AX177,MATCH(BO177,$AR$2:$AX$2,0))*12/365*[11]核心假设及结论!$C$70*$H177,0)</f>
        <v>150071.98684931509</v>
      </c>
      <c r="BR177" s="1739">
        <f t="shared" si="77"/>
        <v>2029</v>
      </c>
      <c r="BS177" s="1742">
        <f>_xlfn.IFNA(INDEX($AR177:$AX177,MATCH(BR177,$AR$2:$AX$2,0))*12/365*[11]核心假设及结论!$C$70*$H177,0)</f>
        <v>158308.23914396876</v>
      </c>
      <c r="BU177" s="1739">
        <f t="shared" si="78"/>
        <v>2032</v>
      </c>
      <c r="BV177" s="1742">
        <f>_xlfn.IFNA(INDEX($AR177:$AX177,MATCH(BU177,$AR$2:$AX$2,0))*12/365*[11]核心假设及结论!$C$70*$H177,0)</f>
        <v>0</v>
      </c>
      <c r="BX177" s="1739">
        <f t="shared" si="79"/>
        <v>2035</v>
      </c>
      <c r="BY177" s="1742">
        <f>_xlfn.IFNA(INDEX($AR177:$AX177,MATCH(BX177,$AR$2:$AX$2,0))*12/365*[11]核心假设及结论!$C$70*$H177,0)</f>
        <v>0</v>
      </c>
      <c r="CA177" s="1739">
        <f t="shared" si="80"/>
        <v>2038</v>
      </c>
      <c r="CB177" s="1742">
        <f>_xlfn.IFNA(INDEX($AR177:$AX177,MATCH(CA177,$AR$2:$AX$2,0))*12/365*[11]核心假设及结论!$C$70*$H177,0)</f>
        <v>0</v>
      </c>
    </row>
    <row r="178" spans="1:80" ht="30" customHeight="1">
      <c r="A178" s="1756" t="s">
        <v>1662</v>
      </c>
      <c r="B178" s="1757" t="s">
        <v>2046</v>
      </c>
      <c r="C178" s="1756" t="s">
        <v>2047</v>
      </c>
      <c r="D178" s="1756" t="s">
        <v>1685</v>
      </c>
      <c r="E178" s="1758" t="s">
        <v>1692</v>
      </c>
      <c r="F178" s="1759"/>
      <c r="G178" s="1760" t="s">
        <v>1661</v>
      </c>
      <c r="H178" s="1761">
        <v>210</v>
      </c>
      <c r="I178" s="1761" t="s">
        <v>1913</v>
      </c>
      <c r="J178" s="1773">
        <v>45256</v>
      </c>
      <c r="K178" s="1773">
        <v>46351</v>
      </c>
      <c r="L178" s="1764">
        <f t="shared" si="62"/>
        <v>36</v>
      </c>
      <c r="M178" s="1774">
        <f t="shared" si="73"/>
        <v>178306.8</v>
      </c>
      <c r="N178" s="1775">
        <f t="shared" si="74"/>
        <v>736.07999999999993</v>
      </c>
      <c r="O178" s="1760">
        <v>154576.79999999999</v>
      </c>
      <c r="P178" s="1776">
        <v>0.18</v>
      </c>
      <c r="Q178" s="1783">
        <f t="shared" si="63"/>
        <v>95</v>
      </c>
      <c r="R178" s="1784">
        <v>19950</v>
      </c>
      <c r="S178" s="1777">
        <f t="shared" si="64"/>
        <v>18</v>
      </c>
      <c r="T178" s="1777">
        <v>3780</v>
      </c>
      <c r="U178" s="1777"/>
      <c r="V178" s="1785">
        <v>565546.64166666695</v>
      </c>
      <c r="W178" s="1785">
        <f t="shared" si="65"/>
        <v>2693.0792460317475</v>
      </c>
      <c r="X178" s="1786">
        <f>(N178+Q178+S178)*H178/V178</f>
        <v>0.31528221876542228</v>
      </c>
      <c r="Y178" s="1789">
        <f>VLOOKUP(E178,[11]核心假设及结论!$C$25:$E$45,3,0)</f>
        <v>0.2</v>
      </c>
      <c r="Z178" s="1790">
        <f t="shared" si="83"/>
        <v>159240.9</v>
      </c>
      <c r="AA178" s="1790">
        <f t="shared" si="83"/>
        <v>163968</v>
      </c>
      <c r="AB178" s="1790">
        <f t="shared" si="83"/>
        <v>0</v>
      </c>
      <c r="AC178" s="1790">
        <f t="shared" si="82"/>
        <v>0</v>
      </c>
      <c r="AD178" s="1790">
        <f t="shared" si="82"/>
        <v>0</v>
      </c>
      <c r="AE178" s="1790">
        <f t="shared" si="82"/>
        <v>0</v>
      </c>
      <c r="AF178" s="1790">
        <f t="shared" si="82"/>
        <v>0</v>
      </c>
      <c r="AG178" s="1794">
        <v>758.29</v>
      </c>
      <c r="AH178" s="1794">
        <v>780.8</v>
      </c>
      <c r="AI178" s="1794">
        <v>0</v>
      </c>
      <c r="AJ178" s="1794">
        <v>0</v>
      </c>
      <c r="AK178" s="1794">
        <v>0</v>
      </c>
      <c r="AL178" s="1794">
        <v>0</v>
      </c>
      <c r="AM178" s="1794">
        <v>0</v>
      </c>
      <c r="AN178" s="1795"/>
      <c r="AO178" s="1795"/>
      <c r="AP178" s="1808">
        <f t="shared" si="75"/>
        <v>1.5764110938271114</v>
      </c>
      <c r="AQ178" s="1810">
        <f>IF(AP178&gt;[11]核心假设及结论!$B$59,[11]核心假设及结论!$D$59,IF(AP178&lt;=[11]核心假设及结论!$B$58,[11]核心假设及结论!$D$57,[11]核心假设及结论!$D$58))</f>
        <v>1</v>
      </c>
      <c r="AR178" s="1809">
        <f t="shared" si="76"/>
        <v>758.29</v>
      </c>
      <c r="AS178" s="1809">
        <f>AH178*(AS$2&lt;=YEAR($K178))+AR178*$AQ178*(AS$2=YEAR($K178)+1)+INDEX([11]核心假设及结论!$E$17:$E$21,MATCH($D178,[11]核心假设及结论!$B$17:$B$21,0))*(AS$2&gt;YEAR($K178)+1)*AR178</f>
        <v>780.8</v>
      </c>
      <c r="AT178" s="1811">
        <f>AI178*(AT$2&lt;=YEAR($K178))+AS178*$AQ178*(AT$2=YEAR($K178)+1)+INDEX([11]核心假设及结论!$E$17:$E$21,MATCH($D178,[11]核心假设及结论!$B$17:$B$21,0))*(AT$2&gt;YEAR($K178)+1)*AS178</f>
        <v>780.8</v>
      </c>
      <c r="AU178" s="1809">
        <f>AJ178*(AU$2&lt;=YEAR($K178))+AT178*$AQ178*(AU$2=YEAR($K178)+1)+INDEX([11]核心假设及结论!$E$17:$E$21,MATCH($D178,[11]核心假设及结论!$B$17:$B$21,0))*(AU$2&gt;YEAR($K178)+1)*AT178</f>
        <v>801.9397625784452</v>
      </c>
      <c r="AV178" s="1809">
        <f>AK178*(AV$2&lt;=YEAR($K178))+AU178*$AQ178*(AV$2=YEAR($K178)+1)+INDEX([11]核心假设及结论!$E$17:$E$21,MATCH($D178,[11]核心假设及结论!$B$17:$B$21,0))*(AV$2&gt;YEAR($K178)+1)*AU178</f>
        <v>823.65187346871551</v>
      </c>
      <c r="AW178" s="1809">
        <f>AL178*(AW$2&lt;=YEAR($K178))+AV178*$AQ178*(AW$2=YEAR($K178)+1)+INDEX([11]核心假设及结论!$E$17:$E$21,MATCH($D178,[11]核心假设及结论!$B$17:$B$21,0))*(AW$2&gt;YEAR($K178)+1)*AV178</f>
        <v>845.95182871003237</v>
      </c>
      <c r="AX178" s="1809">
        <f>AM178*(AX$2&lt;=YEAR($K178))+AW178*$AQ178*(AX$2=YEAR($K178)+1)+INDEX([11]核心假设及结论!$E$17:$E$21,MATCH($D178,[11]核心假设及结论!$B$17:$B$21,0))*(AX$2&gt;YEAR($K178)+1)*AW178</f>
        <v>868.85554388899197</v>
      </c>
      <c r="AZ178" s="1746">
        <f t="shared" si="66"/>
        <v>46351</v>
      </c>
      <c r="BA178" s="1817">
        <f t="shared" si="67"/>
        <v>45658</v>
      </c>
      <c r="BB178" s="1817">
        <f t="shared" si="68"/>
        <v>45986</v>
      </c>
      <c r="BC178" s="1817">
        <f t="shared" si="69"/>
        <v>46022</v>
      </c>
      <c r="BD178" s="1818">
        <f t="shared" si="70"/>
        <v>329</v>
      </c>
      <c r="BE178" s="1818">
        <f t="shared" si="71"/>
        <v>36</v>
      </c>
      <c r="BG178" s="1777">
        <f t="shared" si="86"/>
        <v>191.64856142465752</v>
      </c>
      <c r="BH178" s="1777">
        <f t="shared" si="84"/>
        <v>196.76159999999999</v>
      </c>
      <c r="BI178" s="1777">
        <f t="shared" si="84"/>
        <v>197.28702445510041</v>
      </c>
      <c r="BJ178" s="1777">
        <f t="shared" si="84"/>
        <v>202.62847022455324</v>
      </c>
      <c r="BK178" s="1777">
        <f t="shared" si="84"/>
        <v>208.11453291945668</v>
      </c>
      <c r="BL178" s="1777">
        <f t="shared" si="84"/>
        <v>213.74912796945839</v>
      </c>
      <c r="BM178" s="1777">
        <f t="shared" si="84"/>
        <v>197.35637104862613</v>
      </c>
      <c r="BO178" s="1739">
        <f t="shared" si="72"/>
        <v>2026</v>
      </c>
      <c r="BP178" s="1742">
        <f>_xlfn.IFNA(INDEX($AR178:$AX178,MATCH(BO178,$AR$2:$AX$2,0))*12/365*[11]核心假设及结论!$C$70*$H178,0)</f>
        <v>161721.8630136986</v>
      </c>
      <c r="BR178" s="1739">
        <f t="shared" si="77"/>
        <v>2029</v>
      </c>
      <c r="BS178" s="1742">
        <f>_xlfn.IFNA(INDEX($AR178:$AX178,MATCH(BR178,$AR$2:$AX$2,0))*12/365*[11]核心假设及结论!$C$70*$H178,0)</f>
        <v>170597.48392941066</v>
      </c>
      <c r="BU178" s="1739">
        <f t="shared" si="78"/>
        <v>2032</v>
      </c>
      <c r="BV178" s="1742">
        <f>_xlfn.IFNA(INDEX($AR178:$AX178,MATCH(BU178,$AR$2:$AX$2,0))*12/365*[11]核心假设及结论!$C$70*$H178,0)</f>
        <v>0</v>
      </c>
      <c r="BX178" s="1739">
        <f t="shared" si="79"/>
        <v>2035</v>
      </c>
      <c r="BY178" s="1742">
        <f>_xlfn.IFNA(INDEX($AR178:$AX178,MATCH(BX178,$AR$2:$AX$2,0))*12/365*[11]核心假设及结论!$C$70*$H178,0)</f>
        <v>0</v>
      </c>
      <c r="CA178" s="1739">
        <f t="shared" si="80"/>
        <v>2038</v>
      </c>
      <c r="CB178" s="1742">
        <f>_xlfn.IFNA(INDEX($AR178:$AX178,MATCH(CA178,$AR$2:$AX$2,0))*12/365*[11]核心假设及结论!$C$70*$H178,0)</f>
        <v>0</v>
      </c>
    </row>
    <row r="179" spans="1:80" ht="30" customHeight="1">
      <c r="A179" s="1756" t="s">
        <v>1662</v>
      </c>
      <c r="B179" s="1757" t="s">
        <v>2048</v>
      </c>
      <c r="C179" s="1756" t="s">
        <v>2049</v>
      </c>
      <c r="D179" s="1756" t="s">
        <v>1685</v>
      </c>
      <c r="E179" s="1758" t="s">
        <v>1726</v>
      </c>
      <c r="F179" s="1759"/>
      <c r="G179" s="1760" t="s">
        <v>1661</v>
      </c>
      <c r="H179" s="1761">
        <v>208</v>
      </c>
      <c r="I179" s="1761" t="s">
        <v>1913</v>
      </c>
      <c r="J179" s="1773">
        <v>45231</v>
      </c>
      <c r="K179" s="1773">
        <v>45961</v>
      </c>
      <c r="L179" s="1764">
        <f t="shared" si="62"/>
        <v>24</v>
      </c>
      <c r="M179" s="1774">
        <f t="shared" si="73"/>
        <v>150671.03999999998</v>
      </c>
      <c r="N179" s="1775">
        <f t="shared" si="74"/>
        <v>611.38</v>
      </c>
      <c r="O179" s="1760">
        <v>127167.03999999999</v>
      </c>
      <c r="P179" s="1776">
        <v>3.5000000000000003E-2</v>
      </c>
      <c r="Q179" s="1783">
        <f t="shared" si="63"/>
        <v>95</v>
      </c>
      <c r="R179" s="1784">
        <v>19760</v>
      </c>
      <c r="S179" s="1777">
        <f t="shared" si="64"/>
        <v>18</v>
      </c>
      <c r="T179" s="1784">
        <v>3744</v>
      </c>
      <c r="U179" s="1777"/>
      <c r="V179" s="1785">
        <v>3114578.44916667</v>
      </c>
      <c r="W179" s="1785">
        <f t="shared" si="65"/>
        <v>14973.934851762837</v>
      </c>
      <c r="X179" s="1786">
        <f t="shared" ref="X179:X192" si="89">(N179+Q179)*H179/V179</f>
        <v>4.7173973106797648E-2</v>
      </c>
      <c r="Y179" s="1789">
        <f>VLOOKUP(E179,[11]核心假设及结论!$C$25:$E$45,3,0)</f>
        <v>0.1</v>
      </c>
      <c r="Z179" s="1790">
        <f t="shared" si="83"/>
        <v>130963.04</v>
      </c>
      <c r="AA179" s="1790">
        <f t="shared" si="83"/>
        <v>0</v>
      </c>
      <c r="AB179" s="1790">
        <f t="shared" si="83"/>
        <v>0</v>
      </c>
      <c r="AC179" s="1790">
        <f t="shared" si="82"/>
        <v>0</v>
      </c>
      <c r="AD179" s="1790">
        <f t="shared" si="82"/>
        <v>0</v>
      </c>
      <c r="AE179" s="1790">
        <f t="shared" si="82"/>
        <v>0</v>
      </c>
      <c r="AF179" s="1790">
        <f t="shared" si="82"/>
        <v>0</v>
      </c>
      <c r="AG179" s="1794">
        <v>629.63</v>
      </c>
      <c r="AH179" s="1794">
        <v>0</v>
      </c>
      <c r="AI179" s="1794">
        <v>0</v>
      </c>
      <c r="AJ179" s="1794">
        <v>0</v>
      </c>
      <c r="AK179" s="1794">
        <v>0</v>
      </c>
      <c r="AL179" s="1794">
        <v>0</v>
      </c>
      <c r="AM179" s="1794">
        <v>0</v>
      </c>
      <c r="AN179" s="1797"/>
      <c r="AO179" s="1797"/>
      <c r="AP179" s="1808">
        <f t="shared" si="75"/>
        <v>0.47173973106797645</v>
      </c>
      <c r="AQ179" s="1810">
        <f>IF(AP179&gt;[11]核心假设及结论!$B$59,[11]核心假设及结论!$D$59,IF(AP179&lt;=[11]核心假设及结论!$B$58,[11]核心假设及结论!$D$57,[11]核心假设及结论!$D$58))</f>
        <v>1.0342640124442799</v>
      </c>
      <c r="AR179" s="1809">
        <f t="shared" si="76"/>
        <v>629.63</v>
      </c>
      <c r="AS179" s="1811">
        <f>AH179*(AS$2&lt;=YEAR($K179))+AR179*$AQ179*(AS$2=YEAR($K179)+1)+INDEX([11]核心假设及结论!$E$17:$E$21,MATCH($D179,[11]核心假设及结论!$B$17:$B$21,0))*(AS$2&gt;YEAR($K179)+1)*AR179</f>
        <v>651.20365015529194</v>
      </c>
      <c r="AT179" s="1809">
        <f>AI179*(AT$2&lt;=YEAR($K179))+AS179*$AQ179*(AT$2=YEAR($K179)+1)+INDEX([11]核心假设及结论!$E$17:$E$21,MATCH($D179,[11]核心假设及结论!$B$17:$B$21,0))*(AT$2&gt;YEAR($K179)+1)*AS179</f>
        <v>668.83465752529673</v>
      </c>
      <c r="AU179" s="1809">
        <f>AJ179*(AU$2&lt;=YEAR($K179))+AT179*$AQ179*(AU$2=YEAR($K179)+1)+INDEX([11]核心假设及结论!$E$17:$E$21,MATCH($D179,[11]核心假设及结论!$B$17:$B$21,0))*(AU$2&gt;YEAR($K179)+1)*AT179</f>
        <v>686.94301544578911</v>
      </c>
      <c r="AV179" s="1809">
        <f>AK179*(AV$2&lt;=YEAR($K179))+AU179*$AQ179*(AV$2=YEAR($K179)+1)+INDEX([11]核心假设及结论!$E$17:$E$21,MATCH($D179,[11]核心假设及结论!$B$17:$B$21,0))*(AV$2&gt;YEAR($K179)+1)*AU179</f>
        <v>705.54164793995562</v>
      </c>
      <c r="AW179" s="1809">
        <f>AL179*(AW$2&lt;=YEAR($K179))+AV179*$AQ179*(AW$2=YEAR($K179)+1)+INDEX([11]核心假设及结论!$E$17:$E$21,MATCH($D179,[11]核心假设及结论!$B$17:$B$21,0))*(AW$2&gt;YEAR($K179)+1)*AV179</f>
        <v>724.64382894233222</v>
      </c>
      <c r="AX179" s="1809">
        <f>AM179*(AX$2&lt;=YEAR($K179))+AW179*$AQ179*(AX$2=YEAR($K179)+1)+INDEX([11]核心假设及结论!$E$17:$E$21,MATCH($D179,[11]核心假设及结论!$B$17:$B$21,0))*(AX$2&gt;YEAR($K179)+1)*AW179</f>
        <v>744.26319177247615</v>
      </c>
      <c r="AZ179" s="1746">
        <f t="shared" si="66"/>
        <v>45961</v>
      </c>
      <c r="BA179" s="1817">
        <f t="shared" si="67"/>
        <v>45658</v>
      </c>
      <c r="BB179" s="1817">
        <f t="shared" si="68"/>
        <v>45961</v>
      </c>
      <c r="BC179" s="1817">
        <f t="shared" si="69"/>
        <v>46022</v>
      </c>
      <c r="BD179" s="1818">
        <f t="shared" si="70"/>
        <v>304</v>
      </c>
      <c r="BE179" s="1818">
        <f t="shared" si="71"/>
        <v>61</v>
      </c>
      <c r="BG179" s="1777">
        <f t="shared" si="86"/>
        <v>158.05557065151893</v>
      </c>
      <c r="BH179" s="1777">
        <f t="shared" si="84"/>
        <v>163.27589043715196</v>
      </c>
      <c r="BI179" s="1777">
        <f t="shared" si="84"/>
        <v>167.69650206449012</v>
      </c>
      <c r="BJ179" s="1777">
        <f t="shared" si="84"/>
        <v>172.23679950157904</v>
      </c>
      <c r="BK179" s="1777">
        <f t="shared" si="84"/>
        <v>176.90002318079863</v>
      </c>
      <c r="BL179" s="1777">
        <f t="shared" si="84"/>
        <v>181.689501267586</v>
      </c>
      <c r="BM179" s="1777">
        <f t="shared" si="84"/>
        <v>154.72191827558538</v>
      </c>
      <c r="BO179" s="1739">
        <f t="shared" si="72"/>
        <v>2025</v>
      </c>
      <c r="BP179" s="1742">
        <f>_xlfn.IFNA(INDEX($AR179:$AX179,MATCH(BO179,$AR$2:$AX$2,0))*12/365*[11]核心假设及结论!$C$70*$H179,0)</f>
        <v>129169.02575342465</v>
      </c>
      <c r="BR179" s="1739">
        <f t="shared" si="77"/>
        <v>2027</v>
      </c>
      <c r="BS179" s="1742">
        <f>_xlfn.IFNA(INDEX($AR179:$AX179,MATCH(BR179,$AR$2:$AX$2,0))*12/365*[11]核心假设及结论!$C$70*$H179,0)</f>
        <v>137211.88809724443</v>
      </c>
      <c r="BU179" s="1739">
        <f t="shared" si="78"/>
        <v>2029</v>
      </c>
      <c r="BV179" s="1742">
        <f>_xlfn.IFNA(INDEX($AR179:$AX179,MATCH(BU179,$AR$2:$AX$2,0))*12/365*[11]核心假设及结论!$C$70*$H179,0)</f>
        <v>144742.35232258597</v>
      </c>
      <c r="BX179" s="1739">
        <f t="shared" si="79"/>
        <v>2031</v>
      </c>
      <c r="BY179" s="1742">
        <f>_xlfn.IFNA(INDEX($AR179:$AX179,MATCH(BX179,$AR$2:$AX$2,0))*12/365*[11]核心假设及结论!$C$70*$H179,0)</f>
        <v>152686.10356143292</v>
      </c>
      <c r="CA179" s="1739">
        <f t="shared" si="80"/>
        <v>2033</v>
      </c>
      <c r="CB179" s="1742">
        <f>_xlfn.IFNA(INDEX($AR179:$AX179,MATCH(CA179,$AR$2:$AX$2,0))*12/365*[11]核心假设及结论!$C$70*$H179,0)</f>
        <v>0</v>
      </c>
    </row>
    <row r="180" spans="1:80" ht="30" customHeight="1">
      <c r="A180" s="1756" t="s">
        <v>1662</v>
      </c>
      <c r="B180" s="1757" t="s">
        <v>2050</v>
      </c>
      <c r="C180" s="1756" t="s">
        <v>2051</v>
      </c>
      <c r="D180" s="1756" t="s">
        <v>1685</v>
      </c>
      <c r="E180" s="1758" t="s">
        <v>1745</v>
      </c>
      <c r="F180" s="1759"/>
      <c r="G180" s="1760" t="s">
        <v>1682</v>
      </c>
      <c r="H180" s="1761">
        <v>205</v>
      </c>
      <c r="I180" s="1761" t="s">
        <v>1913</v>
      </c>
      <c r="J180" s="1773">
        <v>45137</v>
      </c>
      <c r="K180" s="1773">
        <v>45867</v>
      </c>
      <c r="L180" s="1764">
        <f t="shared" si="62"/>
        <v>24</v>
      </c>
      <c r="M180" s="1774">
        <f t="shared" si="73"/>
        <v>252797.80000000002</v>
      </c>
      <c r="N180" s="1775">
        <f t="shared" si="74"/>
        <v>1125.42</v>
      </c>
      <c r="O180" s="1760">
        <v>230711.1</v>
      </c>
      <c r="P180" s="1776">
        <v>0</v>
      </c>
      <c r="Q180" s="1783">
        <f t="shared" si="63"/>
        <v>90</v>
      </c>
      <c r="R180" s="1784">
        <v>18450</v>
      </c>
      <c r="S180" s="1777">
        <f t="shared" si="64"/>
        <v>17.739999999999998</v>
      </c>
      <c r="T180" s="1784">
        <v>3636.7</v>
      </c>
      <c r="U180" s="1777"/>
      <c r="V180" s="1785">
        <v>5714043.1666666698</v>
      </c>
      <c r="W180" s="1785">
        <f t="shared" si="65"/>
        <v>27873.381300813024</v>
      </c>
      <c r="X180" s="1786">
        <f t="shared" si="89"/>
        <v>4.3605043352402603E-2</v>
      </c>
      <c r="Y180" s="1789" t="e">
        <f>VLOOKUP(E180,[11]核心假设及结论!$C$25:$E$45,3,0)</f>
        <v>#N/A</v>
      </c>
      <c r="Z180" s="1790">
        <f t="shared" si="83"/>
        <v>236945.15</v>
      </c>
      <c r="AA180" s="1790">
        <f t="shared" si="83"/>
        <v>0</v>
      </c>
      <c r="AB180" s="1790">
        <f t="shared" si="83"/>
        <v>0</v>
      </c>
      <c r="AC180" s="1790">
        <f t="shared" si="82"/>
        <v>0</v>
      </c>
      <c r="AD180" s="1790">
        <f t="shared" si="82"/>
        <v>0</v>
      </c>
      <c r="AE180" s="1790">
        <f t="shared" si="82"/>
        <v>0</v>
      </c>
      <c r="AF180" s="1790">
        <f t="shared" si="82"/>
        <v>0</v>
      </c>
      <c r="AG180" s="1794">
        <v>1155.83</v>
      </c>
      <c r="AH180" s="1794">
        <v>0</v>
      </c>
      <c r="AI180" s="1794">
        <v>0</v>
      </c>
      <c r="AJ180" s="1794">
        <v>0</v>
      </c>
      <c r="AK180" s="1794">
        <v>0</v>
      </c>
      <c r="AL180" s="1794">
        <v>0</v>
      </c>
      <c r="AM180" s="1794">
        <v>0</v>
      </c>
      <c r="AN180" s="1797"/>
      <c r="AO180" s="1797"/>
      <c r="AP180" s="1808">
        <f t="shared" si="75"/>
        <v>1.25</v>
      </c>
      <c r="AQ180" s="1810">
        <f>IF(AP180&gt;[11]核心假设及结论!$B$59,[11]核心假设及结论!$D$59,IF(AP180&lt;=[11]核心假设及结论!$B$58,[11]核心假设及结论!$D$57,[11]核心假设及结论!$D$58))</f>
        <v>1.0069999999999999</v>
      </c>
      <c r="AR180" s="1809">
        <f t="shared" si="76"/>
        <v>1155.83</v>
      </c>
      <c r="AS180" s="1811">
        <f>AH180*(AS$2&lt;=YEAR($K180))+AR180*$AQ180*(AS$2=YEAR($K180)+1)+INDEX([11]核心假设及结论!$E$17:$E$21,MATCH($D180,[11]核心假设及结论!$B$17:$B$21,0))*(AS$2&gt;YEAR($K180)+1)*AR180</f>
        <v>1163.9208099999998</v>
      </c>
      <c r="AT180" s="1809">
        <f>AI180*(AT$2&lt;=YEAR($K180))+AS180*$AQ180*(AT$2=YEAR($K180)+1)+INDEX([11]核心假设及结论!$E$17:$E$21,MATCH($D180,[11]核心假设及结论!$B$17:$B$21,0))*(AT$2&gt;YEAR($K180)+1)*AS180</f>
        <v>1195.4333735034727</v>
      </c>
      <c r="AU180" s="1809">
        <f>AJ180*(AU$2&lt;=YEAR($K180))+AT180*$AQ180*(AU$2=YEAR($K180)+1)+INDEX([11]核心假设及结论!$E$17:$E$21,MATCH($D180,[11]核心假设及结论!$B$17:$B$21,0))*(AU$2&gt;YEAR($K180)+1)*AT180</f>
        <v>1227.7991236241351</v>
      </c>
      <c r="AV180" s="1809">
        <f>AK180*(AV$2&lt;=YEAR($K180))+AU180*$AQ180*(AV$2=YEAR($K180)+1)+INDEX([11]核心假设及结论!$E$17:$E$21,MATCH($D180,[11]核心假设及结论!$B$17:$B$21,0))*(AV$2&gt;YEAR($K180)+1)*AU180</f>
        <v>1261.0411599553815</v>
      </c>
      <c r="AW180" s="1809">
        <f>AL180*(AW$2&lt;=YEAR($K180))+AV180*$AQ180*(AW$2=YEAR($K180)+1)+INDEX([11]核心假设及结论!$E$17:$E$21,MATCH($D180,[11]核心假设及结论!$B$17:$B$21,0))*(AW$2&gt;YEAR($K180)+1)*AV180</f>
        <v>1295.1832075003404</v>
      </c>
      <c r="AX180" s="1809">
        <f>AM180*(AX$2&lt;=YEAR($K180))+AW180*$AQ180*(AX$2=YEAR($K180)+1)+INDEX([11]核心假设及结论!$E$17:$E$21,MATCH($D180,[11]核心假设及结论!$B$17:$B$21,0))*(AX$2&gt;YEAR($K180)+1)*AW180</f>
        <v>1330.2496336045238</v>
      </c>
      <c r="AZ180" s="1746">
        <f t="shared" si="66"/>
        <v>45867</v>
      </c>
      <c r="BA180" s="1817">
        <f t="shared" si="67"/>
        <v>45658</v>
      </c>
      <c r="BB180" s="1817">
        <f t="shared" si="68"/>
        <v>45867</v>
      </c>
      <c r="BC180" s="1817">
        <f t="shared" si="69"/>
        <v>46022</v>
      </c>
      <c r="BD180" s="1818">
        <f t="shared" si="70"/>
        <v>210</v>
      </c>
      <c r="BE180" s="1818">
        <f t="shared" si="71"/>
        <v>155</v>
      </c>
      <c r="BG180" s="1777">
        <f t="shared" si="86"/>
        <v>285.17939256246575</v>
      </c>
      <c r="BH180" s="1777">
        <f t="shared" si="84"/>
        <v>289.6165029487326</v>
      </c>
      <c r="BI180" s="1777">
        <f t="shared" si="84"/>
        <v>297.45772235336352</v>
      </c>
      <c r="BJ180" s="1777">
        <f t="shared" si="84"/>
        <v>305.5112387822507</v>
      </c>
      <c r="BK180" s="1777">
        <f t="shared" si="84"/>
        <v>313.78280006926849</v>
      </c>
      <c r="BL180" s="1777">
        <f t="shared" si="84"/>
        <v>322.27830966796733</v>
      </c>
      <c r="BM180" s="1777">
        <f t="shared" si="84"/>
        <v>188.27587964934162</v>
      </c>
      <c r="BO180" s="1739">
        <f t="shared" si="72"/>
        <v>2025</v>
      </c>
      <c r="BP180" s="1742">
        <f>_xlfn.IFNA(INDEX($AR180:$AX180,MATCH(BO180,$AR$2:$AX$2,0))*12/365*[11]核心假设及结论!$C$70*$H180,0)</f>
        <v>233699.32602739727</v>
      </c>
      <c r="BR180" s="1739">
        <f t="shared" si="77"/>
        <v>2027</v>
      </c>
      <c r="BS180" s="1742">
        <f>_xlfn.IFNA(INDEX($AR180:$AX180,MATCH(BR180,$AR$2:$AX$2,0))*12/365*[11]核心假设及结论!$C$70*$H180,0)</f>
        <v>241706.80264261996</v>
      </c>
      <c r="BU180" s="1739">
        <f t="shared" si="78"/>
        <v>2029</v>
      </c>
      <c r="BV180" s="1742">
        <f>_xlfn.IFNA(INDEX($AR180:$AX180,MATCH(BU180,$AR$2:$AX$2,0))*12/365*[11]核心假设及结论!$C$70*$H180,0)</f>
        <v>254972.15782111546</v>
      </c>
      <c r="BX180" s="1739">
        <f t="shared" si="79"/>
        <v>2031</v>
      </c>
      <c r="BY180" s="1742">
        <f>_xlfn.IFNA(INDEX($AR180:$AX180,MATCH(BX180,$AR$2:$AX$2,0))*12/365*[11]核心假设及结论!$C$70*$H180,0)</f>
        <v>268965.54235620232</v>
      </c>
      <c r="CA180" s="1739">
        <f t="shared" si="80"/>
        <v>2033</v>
      </c>
      <c r="CB180" s="1742">
        <f>_xlfn.IFNA(INDEX($AR180:$AX180,MATCH(CA180,$AR$2:$AX$2,0))*12/365*[11]核心假设及结论!$C$70*$H180,0)</f>
        <v>0</v>
      </c>
    </row>
    <row r="181" spans="1:80" ht="30" customHeight="1">
      <c r="A181" s="1756" t="s">
        <v>1687</v>
      </c>
      <c r="B181" s="1757" t="s">
        <v>2052</v>
      </c>
      <c r="C181" s="1756" t="s">
        <v>2053</v>
      </c>
      <c r="D181" s="1756" t="s">
        <v>1685</v>
      </c>
      <c r="E181" s="1758" t="s">
        <v>1692</v>
      </c>
      <c r="F181" s="1759"/>
      <c r="G181" s="1760" t="s">
        <v>1661</v>
      </c>
      <c r="H181" s="1761">
        <v>205</v>
      </c>
      <c r="I181" s="1761" t="s">
        <v>1913</v>
      </c>
      <c r="J181" s="1773">
        <v>44986</v>
      </c>
      <c r="K181" s="1773">
        <v>45966</v>
      </c>
      <c r="L181" s="1764">
        <f t="shared" si="62"/>
        <v>33</v>
      </c>
      <c r="M181" s="1774">
        <f t="shared" si="73"/>
        <v>160783.55000000002</v>
      </c>
      <c r="N181" s="1775">
        <f t="shared" si="74"/>
        <v>670.69</v>
      </c>
      <c r="O181" s="1760">
        <v>137491.45000000001</v>
      </c>
      <c r="P181" s="1776">
        <v>0.18</v>
      </c>
      <c r="Q181" s="1783">
        <f t="shared" si="63"/>
        <v>95</v>
      </c>
      <c r="R181" s="1784">
        <v>19475</v>
      </c>
      <c r="S181" s="1777">
        <f t="shared" si="64"/>
        <v>18.62</v>
      </c>
      <c r="T181" s="1784">
        <v>3817.1</v>
      </c>
      <c r="U181" s="1777"/>
      <c r="V181" s="1785">
        <v>430198.25</v>
      </c>
      <c r="W181" s="1785">
        <f t="shared" si="65"/>
        <v>2098.528048780488</v>
      </c>
      <c r="X181" s="1786">
        <f t="shared" si="89"/>
        <v>0.36487003375769195</v>
      </c>
      <c r="Y181" s="1789">
        <f>VLOOKUP(E181,[11]核心假设及结论!$C$25:$E$45,3,0)</f>
        <v>0.2</v>
      </c>
      <c r="Z181" s="1790">
        <f t="shared" si="83"/>
        <v>144365.1</v>
      </c>
      <c r="AA181" s="1790">
        <f t="shared" si="83"/>
        <v>0</v>
      </c>
      <c r="AB181" s="1790">
        <f t="shared" si="83"/>
        <v>0</v>
      </c>
      <c r="AC181" s="1790">
        <f t="shared" si="82"/>
        <v>0</v>
      </c>
      <c r="AD181" s="1790">
        <f t="shared" si="82"/>
        <v>0</v>
      </c>
      <c r="AE181" s="1790">
        <f t="shared" si="82"/>
        <v>0</v>
      </c>
      <c r="AF181" s="1790">
        <f t="shared" si="82"/>
        <v>0</v>
      </c>
      <c r="AG181" s="1794">
        <v>704.22</v>
      </c>
      <c r="AH181" s="1794">
        <v>0</v>
      </c>
      <c r="AI181" s="1794">
        <v>0</v>
      </c>
      <c r="AJ181" s="1794">
        <v>0</v>
      </c>
      <c r="AK181" s="1794">
        <v>0</v>
      </c>
      <c r="AL181" s="1794">
        <v>0</v>
      </c>
      <c r="AM181" s="1794">
        <v>0</v>
      </c>
      <c r="AN181" s="1797"/>
      <c r="AO181" s="1797"/>
      <c r="AP181" s="1808">
        <f t="shared" si="75"/>
        <v>1.8243501687884596</v>
      </c>
      <c r="AQ181" s="1810">
        <f>IF(AP181&gt;[11]核心假设及结论!$B$59,[11]核心假设及结论!$D$59,IF(AP181&lt;=[11]核心假设及结论!$B$58,[11]核心假设及结论!$D$57,[11]核心假设及结论!$D$58))</f>
        <v>1</v>
      </c>
      <c r="AR181" s="1809">
        <f t="shared" si="76"/>
        <v>704.22</v>
      </c>
      <c r="AS181" s="1811">
        <f>AH181*(AS$2&lt;=YEAR($K181))+AR181*$AQ181*(AS$2=YEAR($K181)+1)+INDEX([11]核心假设及结论!$E$17:$E$21,MATCH($D181,[11]核心假设及结论!$B$17:$B$21,0))*(AS$2&gt;YEAR($K181)+1)*AR181</f>
        <v>704.22</v>
      </c>
      <c r="AT181" s="1809">
        <f>AI181*(AT$2&lt;=YEAR($K181))+AS181*$AQ181*(AT$2=YEAR($K181)+1)+INDEX([11]核心假设及结论!$E$17:$E$21,MATCH($D181,[11]核心假设及结论!$B$17:$B$21,0))*(AT$2&gt;YEAR($K181)+1)*AS181</f>
        <v>723.28639805711157</v>
      </c>
      <c r="AU181" s="1809">
        <f>AJ181*(AU$2&lt;=YEAR($K181))+AT181*$AQ181*(AU$2=YEAR($K181)+1)+INDEX([11]核心假设及结论!$E$17:$E$21,MATCH($D181,[11]核心假设及结论!$B$17:$B$21,0))*(AU$2&gt;YEAR($K181)+1)*AT181</f>
        <v>742.86900913696059</v>
      </c>
      <c r="AV181" s="1809">
        <f>AK181*(AV$2&lt;=YEAR($K181))+AU181*$AQ181*(AV$2=YEAR($K181)+1)+INDEX([11]核心假设及结论!$E$17:$E$21,MATCH($D181,[11]核心假设及结论!$B$17:$B$21,0))*(AV$2&gt;YEAR($K181)+1)*AU181</f>
        <v>762.98180944438911</v>
      </c>
      <c r="AW181" s="1809">
        <f>AL181*(AW$2&lt;=YEAR($K181))+AV181*$AQ181*(AW$2=YEAR($K181)+1)+INDEX([11]核心假设及结论!$E$17:$E$21,MATCH($D181,[11]核心假设及结论!$B$17:$B$21,0))*(AW$2&gt;YEAR($K181)+1)*AV181</f>
        <v>783.63915358287136</v>
      </c>
      <c r="AX181" s="1809">
        <f>AM181*(AX$2&lt;=YEAR($K181))+AW181*$AQ181*(AX$2=YEAR($K181)+1)+INDEX([11]核心假设及结论!$E$17:$E$21,MATCH($D181,[11]核心假设及结论!$B$17:$B$21,0))*(AX$2&gt;YEAR($K181)+1)*AW181</f>
        <v>804.85578479946412</v>
      </c>
      <c r="AZ181" s="1746">
        <f t="shared" si="66"/>
        <v>45966</v>
      </c>
      <c r="BA181" s="1817">
        <f t="shared" si="67"/>
        <v>45658</v>
      </c>
      <c r="BB181" s="1817">
        <f t="shared" si="68"/>
        <v>45966</v>
      </c>
      <c r="BC181" s="1817">
        <f t="shared" si="69"/>
        <v>46022</v>
      </c>
      <c r="BD181" s="1818">
        <f t="shared" si="70"/>
        <v>309</v>
      </c>
      <c r="BE181" s="1818">
        <f t="shared" si="71"/>
        <v>56</v>
      </c>
      <c r="BG181" s="1777">
        <f t="shared" si="86"/>
        <v>173.23811999999998</v>
      </c>
      <c r="BH181" s="1777">
        <f t="shared" si="84"/>
        <v>173.95773287571168</v>
      </c>
      <c r="BI181" s="1777">
        <f t="shared" si="84"/>
        <v>178.66754995009327</v>
      </c>
      <c r="BJ181" s="1777">
        <f t="shared" si="84"/>
        <v>183.50488292450086</v>
      </c>
      <c r="BK181" s="1777">
        <f t="shared" si="84"/>
        <v>188.4731842270231</v>
      </c>
      <c r="BL181" s="1777">
        <f t="shared" si="84"/>
        <v>193.5759997584816</v>
      </c>
      <c r="BM181" s="1777">
        <f t="shared" si="84"/>
        <v>167.61728116642868</v>
      </c>
      <c r="BO181" s="1739">
        <f t="shared" si="72"/>
        <v>2025</v>
      </c>
      <c r="BP181" s="1742">
        <f>_xlfn.IFNA(INDEX($AR181:$AX181,MATCH(BO181,$AR$2:$AX$2,0))*12/365*[11]核心假设及结论!$C$70*$H181,0)</f>
        <v>142387.49589041094</v>
      </c>
      <c r="BR181" s="1739">
        <f t="shared" si="77"/>
        <v>2028</v>
      </c>
      <c r="BS181" s="1742">
        <f>_xlfn.IFNA(INDEX($AR181:$AX181,MATCH(BR181,$AR$2:$AX$2,0))*12/365*[11]核心假设及结论!$C$70*$H181,0)</f>
        <v>150202.00787481558</v>
      </c>
      <c r="BU181" s="1739">
        <f t="shared" si="78"/>
        <v>2031</v>
      </c>
      <c r="BV181" s="1742">
        <f>_xlfn.IFNA(INDEX($AR181:$AX181,MATCH(BU181,$AR$2:$AX$2,0))*12/365*[11]核心假设及结论!$C$70*$H181,0)</f>
        <v>162735.2244334259</v>
      </c>
      <c r="BX181" s="1739">
        <f t="shared" si="79"/>
        <v>2034</v>
      </c>
      <c r="BY181" s="1742">
        <f>_xlfn.IFNA(INDEX($AR181:$AX181,MATCH(BX181,$AR$2:$AX$2,0))*12/365*[11]核心假设及结论!$C$70*$H181,0)</f>
        <v>0</v>
      </c>
      <c r="CA181" s="1739">
        <f t="shared" si="80"/>
        <v>2037</v>
      </c>
      <c r="CB181" s="1742">
        <f>_xlfn.IFNA(INDEX($AR181:$AX181,MATCH(CA181,$AR$2:$AX$2,0))*12/365*[11]核心假设及结论!$C$70*$H181,0)</f>
        <v>0</v>
      </c>
    </row>
    <row r="182" spans="1:80" ht="30" customHeight="1">
      <c r="A182" s="1756" t="s">
        <v>1666</v>
      </c>
      <c r="B182" s="1757" t="s">
        <v>2054</v>
      </c>
      <c r="C182" s="1756" t="s">
        <v>2055</v>
      </c>
      <c r="D182" s="1756" t="s">
        <v>1698</v>
      </c>
      <c r="E182" s="1758" t="s">
        <v>1698</v>
      </c>
      <c r="F182" s="1759"/>
      <c r="G182" s="1827" t="s">
        <v>1661</v>
      </c>
      <c r="H182" s="1761">
        <v>202</v>
      </c>
      <c r="I182" s="1761" t="s">
        <v>1913</v>
      </c>
      <c r="J182" s="1773">
        <v>44450</v>
      </c>
      <c r="K182" s="1773">
        <v>45910</v>
      </c>
      <c r="L182" s="1764">
        <f t="shared" si="62"/>
        <v>48</v>
      </c>
      <c r="M182" s="1774">
        <f t="shared" si="73"/>
        <v>121018.04345</v>
      </c>
      <c r="N182" s="1775">
        <f t="shared" si="74"/>
        <v>486.36</v>
      </c>
      <c r="O182" s="1760">
        <v>98244.72</v>
      </c>
      <c r="P182" s="1776">
        <v>0.12</v>
      </c>
      <c r="Q182" s="1783">
        <f t="shared" si="63"/>
        <v>95</v>
      </c>
      <c r="R182" s="1784">
        <v>19190</v>
      </c>
      <c r="S182" s="1777">
        <f t="shared" si="64"/>
        <v>17.739224999999998</v>
      </c>
      <c r="T182" s="1777">
        <v>3583.3234499999999</v>
      </c>
      <c r="U182" s="1777"/>
      <c r="V182" s="1785">
        <v>824346.79666666698</v>
      </c>
      <c r="W182" s="1785">
        <f t="shared" si="65"/>
        <v>4080.9247359735991</v>
      </c>
      <c r="X182" s="1786">
        <f t="shared" si="89"/>
        <v>0.14245790785487328</v>
      </c>
      <c r="Y182" s="1789">
        <f>VLOOKUP(E182,[11]核心假设及结论!$C$25:$E$45,3,0)</f>
        <v>0.2</v>
      </c>
      <c r="Z182" s="1790">
        <f t="shared" si="83"/>
        <v>104450.16</v>
      </c>
      <c r="AA182" s="1790">
        <f t="shared" si="83"/>
        <v>0</v>
      </c>
      <c r="AB182" s="1790">
        <f t="shared" si="83"/>
        <v>0</v>
      </c>
      <c r="AC182" s="1790">
        <f t="shared" si="82"/>
        <v>0</v>
      </c>
      <c r="AD182" s="1790">
        <f t="shared" si="82"/>
        <v>0</v>
      </c>
      <c r="AE182" s="1790">
        <f t="shared" si="82"/>
        <v>0</v>
      </c>
      <c r="AF182" s="1790">
        <f t="shared" si="82"/>
        <v>0</v>
      </c>
      <c r="AG182" s="1794">
        <v>517.08000000000004</v>
      </c>
      <c r="AH182" s="1794">
        <v>0</v>
      </c>
      <c r="AI182" s="1794">
        <v>0</v>
      </c>
      <c r="AJ182" s="1794">
        <v>0</v>
      </c>
      <c r="AK182" s="1794">
        <v>0</v>
      </c>
      <c r="AL182" s="1794">
        <v>0</v>
      </c>
      <c r="AM182" s="1794">
        <v>0</v>
      </c>
      <c r="AN182" s="1795"/>
      <c r="AO182" s="1795"/>
      <c r="AP182" s="1808">
        <f t="shared" si="75"/>
        <v>0.71228953927436633</v>
      </c>
      <c r="AQ182" s="1812">
        <f>IF(AP182&gt;[11]核心假设及结论!$B$62,[11]核心假设及结论!$D$62,IF(AP182&lt;=[11]核心假设及结论!$B$61,[11]核心假设及结论!$D$60,[11]核心假设及结论!$D$61))</f>
        <v>1.0811176582269599</v>
      </c>
      <c r="AR182" s="1809">
        <f t="shared" si="76"/>
        <v>517.08000000000004</v>
      </c>
      <c r="AS182" s="1811">
        <f>AH182*(AS$2&lt;=YEAR($K182))+AR182*$AQ182*(AS$2=YEAR($K182)+1)+INDEX([11]核心假设及结论!$E$17:$E$21,MATCH($D182,[11]核心假设及结论!$B$17:$B$21,0))*(AS$2&gt;YEAR($K182)+1)*AR182</f>
        <v>559.02431871599651</v>
      </c>
      <c r="AT182" s="1809">
        <f>AI182*(AT$2&lt;=YEAR($K182))+AS182*$AQ182*(AT$2=YEAR($K182)+1)+INDEX([11]核心假设及结论!$E$17:$E$21,MATCH($D182,[11]核心假设及结论!$B$17:$B$21,0))*(AT$2&gt;YEAR($K182)+1)*AS182</f>
        <v>576.14019289052521</v>
      </c>
      <c r="AU182" s="1809">
        <f>AJ182*(AU$2&lt;=YEAR($K182))+AT182*$AQ182*(AU$2=YEAR($K182)+1)+INDEX([11]核心假设及结论!$E$17:$E$21,MATCH($D182,[11]核心假设及结论!$B$17:$B$21,0))*(AU$2&gt;YEAR($K182)+1)*AT182</f>
        <v>593.78011072281663</v>
      </c>
      <c r="AV182" s="1809">
        <f>AK182*(AV$2&lt;=YEAR($K182))+AU182*$AQ182*(AV$2=YEAR($K182)+1)+INDEX([11]核心假设及结论!$E$17:$E$21,MATCH($D182,[11]核心假设及结论!$B$17:$B$21,0))*(AV$2&gt;YEAR($K182)+1)*AU182</f>
        <v>611.9601170699691</v>
      </c>
      <c r="AW182" s="1809">
        <f>AL182*(AW$2&lt;=YEAR($K182))+AV182*$AQ182*(AW$2=YEAR($K182)+1)+INDEX([11]核心假设及结论!$E$17:$E$21,MATCH($D182,[11]核心假设及结论!$B$17:$B$21,0))*(AW$2&gt;YEAR($K182)+1)*AV182</f>
        <v>630.69674804097463</v>
      </c>
      <c r="AX182" s="1809">
        <f>AM182*(AX$2&lt;=YEAR($K182))+AW182*$AQ182*(AX$2=YEAR($K182)+1)+INDEX([11]核心假设及结论!$E$17:$E$21,MATCH($D182,[11]核心假设及结论!$B$17:$B$21,0))*(AX$2&gt;YEAR($K182)+1)*AW182</f>
        <v>650.00704603757731</v>
      </c>
      <c r="AZ182" s="1746">
        <f t="shared" si="66"/>
        <v>45910</v>
      </c>
      <c r="BA182" s="1817">
        <f t="shared" si="67"/>
        <v>45658</v>
      </c>
      <c r="BB182" s="1817">
        <f t="shared" si="68"/>
        <v>45910</v>
      </c>
      <c r="BC182" s="1817">
        <f t="shared" si="69"/>
        <v>46022</v>
      </c>
      <c r="BD182" s="1818">
        <f t="shared" si="70"/>
        <v>253</v>
      </c>
      <c r="BE182" s="1818">
        <f t="shared" si="71"/>
        <v>112</v>
      </c>
      <c r="BG182" s="1777">
        <f t="shared" si="86"/>
        <v>128.46002191768997</v>
      </c>
      <c r="BH182" s="1777">
        <f t="shared" si="84"/>
        <v>136.78057826713959</v>
      </c>
      <c r="BI182" s="1777">
        <f t="shared" si="84"/>
        <v>140.96844467788333</v>
      </c>
      <c r="BJ182" s="1777">
        <f t="shared" si="84"/>
        <v>145.28453269213563</v>
      </c>
      <c r="BK182" s="1777">
        <f t="shared" si="84"/>
        <v>149.73276812270748</v>
      </c>
      <c r="BL182" s="1777">
        <f t="shared" si="84"/>
        <v>154.31719698061215</v>
      </c>
      <c r="BM182" s="1777">
        <f t="shared" si="84"/>
        <v>109.21400579111155</v>
      </c>
      <c r="BO182" s="1739">
        <f t="shared" si="72"/>
        <v>2025</v>
      </c>
      <c r="BP182" s="1742">
        <f>_xlfn.IFNA(INDEX($AR182:$AX182,MATCH(BO182,$AR$2:$AX$2,0))*12/365*[11]核心假设及结论!$C$70*$H182,0)</f>
        <v>103019.33589041099</v>
      </c>
      <c r="BR182" s="1739">
        <f t="shared" si="77"/>
        <v>2029</v>
      </c>
      <c r="BS182" s="1742">
        <f>_xlfn.IFNA(INDEX($AR182:$AX182,MATCH(BR182,$AR$2:$AX$2,0))*12/365*[11]核心假设及结论!$C$70*$H182,0)</f>
        <v>121922.57455706342</v>
      </c>
      <c r="BU182" s="1739">
        <f t="shared" si="78"/>
        <v>2033</v>
      </c>
      <c r="BV182" s="1742">
        <f>_xlfn.IFNA(INDEX($AR182:$AX182,MATCH(BU182,$AR$2:$AX$2,0))*12/365*[11]核心假设及结论!$C$70*$H182,0)</f>
        <v>0</v>
      </c>
      <c r="BX182" s="1739">
        <f t="shared" si="79"/>
        <v>2037</v>
      </c>
      <c r="BY182" s="1742">
        <f>_xlfn.IFNA(INDEX($AR182:$AX182,MATCH(BX182,$AR$2:$AX$2,0))*12/365*[11]核心假设及结论!$C$70*$H182,0)</f>
        <v>0</v>
      </c>
      <c r="CA182" s="1739">
        <f t="shared" si="80"/>
        <v>2041</v>
      </c>
      <c r="CB182" s="1742">
        <f>_xlfn.IFNA(INDEX($AR182:$AX182,MATCH(CA182,$AR$2:$AX$2,0))*12/365*[11]核心假设及结论!$C$70*$H182,0)</f>
        <v>0</v>
      </c>
    </row>
    <row r="183" spans="1:80" ht="30" customHeight="1">
      <c r="A183" s="1756" t="s">
        <v>1662</v>
      </c>
      <c r="B183" s="1757" t="s">
        <v>2056</v>
      </c>
      <c r="C183" s="1756" t="s">
        <v>2057</v>
      </c>
      <c r="D183" s="1756" t="s">
        <v>1685</v>
      </c>
      <c r="E183" s="1758" t="s">
        <v>1745</v>
      </c>
      <c r="F183" s="1762"/>
      <c r="G183" s="1760" t="s">
        <v>1682</v>
      </c>
      <c r="H183" s="1761">
        <v>201</v>
      </c>
      <c r="I183" s="1761" t="s">
        <v>1913</v>
      </c>
      <c r="J183" s="1773">
        <v>45437</v>
      </c>
      <c r="K183" s="1773">
        <v>46166</v>
      </c>
      <c r="L183" s="1764">
        <f t="shared" si="62"/>
        <v>24</v>
      </c>
      <c r="M183" s="1774">
        <f t="shared" si="73"/>
        <v>273376.07999999996</v>
      </c>
      <c r="N183" s="1775">
        <f t="shared" si="74"/>
        <v>1247.08</v>
      </c>
      <c r="O183" s="1760">
        <v>250663.08</v>
      </c>
      <c r="P183" s="1776">
        <v>0</v>
      </c>
      <c r="Q183" s="1783">
        <f t="shared" si="63"/>
        <v>95</v>
      </c>
      <c r="R183" s="1784">
        <v>19095</v>
      </c>
      <c r="S183" s="1777">
        <f t="shared" si="64"/>
        <v>18</v>
      </c>
      <c r="T183" s="1784">
        <v>3618</v>
      </c>
      <c r="U183" s="1777"/>
      <c r="V183" s="1785">
        <v>10462450</v>
      </c>
      <c r="W183" s="1785">
        <f t="shared" si="65"/>
        <v>52051.990049751243</v>
      </c>
      <c r="X183" s="1786">
        <f t="shared" si="89"/>
        <v>2.578345225066786E-2</v>
      </c>
      <c r="Y183" s="1789" t="e">
        <f>VLOOKUP(E183,[11]核心假设及结论!$C$25:$E$45,3,0)</f>
        <v>#N/A</v>
      </c>
      <c r="Z183" s="1790">
        <f t="shared" si="83"/>
        <v>250663.08</v>
      </c>
      <c r="AA183" s="1790">
        <f t="shared" si="83"/>
        <v>256777.5</v>
      </c>
      <c r="AB183" s="1790">
        <f t="shared" si="83"/>
        <v>0</v>
      </c>
      <c r="AC183" s="1790">
        <f t="shared" si="82"/>
        <v>0</v>
      </c>
      <c r="AD183" s="1790">
        <f t="shared" si="82"/>
        <v>0</v>
      </c>
      <c r="AE183" s="1790">
        <f t="shared" si="82"/>
        <v>0</v>
      </c>
      <c r="AF183" s="1790">
        <f t="shared" si="82"/>
        <v>0</v>
      </c>
      <c r="AG183" s="1794">
        <v>1247.08</v>
      </c>
      <c r="AH183" s="1794">
        <v>1277.5</v>
      </c>
      <c r="AI183" s="1794">
        <v>0</v>
      </c>
      <c r="AJ183" s="1794">
        <v>0</v>
      </c>
      <c r="AK183" s="1794">
        <v>0</v>
      </c>
      <c r="AL183" s="1794">
        <v>0</v>
      </c>
      <c r="AM183" s="1794">
        <v>0</v>
      </c>
      <c r="AN183" s="1797"/>
      <c r="AO183" s="1797"/>
      <c r="AP183" s="1808">
        <f t="shared" si="75"/>
        <v>1.25</v>
      </c>
      <c r="AQ183" s="1810">
        <f>IF(AP183&gt;[11]核心假设及结论!$B$59,[11]核心假设及结论!$D$59,IF(AP183&lt;=[11]核心假设及结论!$B$58,[11]核心假设及结论!$D$57,[11]核心假设及结论!$D$58))</f>
        <v>1.0069999999999999</v>
      </c>
      <c r="AR183" s="1809">
        <f t="shared" si="76"/>
        <v>1247.08</v>
      </c>
      <c r="AS183" s="1809">
        <f>AH183*(AS$2&lt;=YEAR($K183))+AR183*$AQ183*(AS$2=YEAR($K183)+1)+INDEX([11]核心假设及结论!$E$17:$E$21,MATCH($D183,[11]核心假设及结论!$B$17:$B$21,0))*(AS$2&gt;YEAR($K183)+1)*AR183</f>
        <v>1277.5</v>
      </c>
      <c r="AT183" s="1811">
        <f>AI183*(AT$2&lt;=YEAR($K183))+AS183*$AQ183*(AT$2=YEAR($K183)+1)+INDEX([11]核心假设及结论!$E$17:$E$21,MATCH($D183,[11]核心假设及结论!$B$17:$B$21,0))*(AT$2&gt;YEAR($K183)+1)*AS183</f>
        <v>1286.4424999999999</v>
      </c>
      <c r="AU183" s="1809">
        <f>AJ183*(AU$2&lt;=YEAR($K183))+AT183*$AQ183*(AU$2=YEAR($K183)+1)+INDEX([11]核心假设及结论!$E$17:$E$21,MATCH($D183,[11]核心假设及结论!$B$17:$B$21,0))*(AU$2&gt;YEAR($K183)+1)*AT183</f>
        <v>1321.2722758975683</v>
      </c>
      <c r="AV183" s="1809">
        <f>AK183*(AV$2&lt;=YEAR($K183))+AU183*$AQ183*(AV$2=YEAR($K183)+1)+INDEX([11]核心假设及结论!$E$17:$E$21,MATCH($D183,[11]核心假设及结论!$B$17:$B$21,0))*(AV$2&gt;YEAR($K183)+1)*AU183</f>
        <v>1357.0450502494593</v>
      </c>
      <c r="AW183" s="1809">
        <f>AL183*(AW$2&lt;=YEAR($K183))+AV183*$AQ183*(AW$2=YEAR($K183)+1)+INDEX([11]核心假设及结论!$E$17:$E$21,MATCH($D183,[11]核心假设及结论!$B$17:$B$21,0))*(AW$2&gt;YEAR($K183)+1)*AV183</f>
        <v>1393.7863542588443</v>
      </c>
      <c r="AX183" s="1809">
        <f>AM183*(AX$2&lt;=YEAR($K183))+AW183*$AQ183*(AX$2=YEAR($K183)+1)+INDEX([11]核心假设及结论!$E$17:$E$21,MATCH($D183,[11]核心假设及结论!$B$17:$B$21,0))*(AX$2&gt;YEAR($K183)+1)*AW183</f>
        <v>1431.5224103732253</v>
      </c>
      <c r="AZ183" s="1746">
        <f t="shared" si="66"/>
        <v>46166</v>
      </c>
      <c r="BA183" s="1817">
        <f t="shared" si="67"/>
        <v>45658</v>
      </c>
      <c r="BB183" s="1817">
        <f t="shared" si="68"/>
        <v>45801</v>
      </c>
      <c r="BC183" s="1817">
        <f t="shared" si="69"/>
        <v>46022</v>
      </c>
      <c r="BD183" s="1818">
        <f t="shared" si="70"/>
        <v>144</v>
      </c>
      <c r="BE183" s="1818">
        <f t="shared" si="71"/>
        <v>221</v>
      </c>
      <c r="BG183" s="1777">
        <f t="shared" si="86"/>
        <v>305.2382828054794</v>
      </c>
      <c r="BH183" s="1777">
        <f t="shared" si="84"/>
        <v>309.4389774</v>
      </c>
      <c r="BI183" s="1777">
        <f t="shared" si="84"/>
        <v>315.37652872650699</v>
      </c>
      <c r="BJ183" s="1777">
        <f t="shared" si="84"/>
        <v>323.91518771740419</v>
      </c>
      <c r="BK183" s="1777">
        <f t="shared" si="84"/>
        <v>332.68502655436436</v>
      </c>
      <c r="BL183" s="1777">
        <f t="shared" si="84"/>
        <v>341.69230431405055</v>
      </c>
      <c r="BM183" s="1777">
        <f t="shared" si="84"/>
        <v>136.2213193835922</v>
      </c>
      <c r="BO183" s="1739">
        <f t="shared" si="72"/>
        <v>2026</v>
      </c>
      <c r="BP183" s="1742">
        <f>_xlfn.IFNA(INDEX($AR183:$AX183,MATCH(BO183,$AR$2:$AX$2,0))*12/365*[11]核心假设及结论!$C$70*$H183,0)</f>
        <v>253260</v>
      </c>
      <c r="BR183" s="1739">
        <f t="shared" si="77"/>
        <v>2028</v>
      </c>
      <c r="BS183" s="1742">
        <f>_xlfn.IFNA(INDEX($AR183:$AX183,MATCH(BR183,$AR$2:$AX$2,0))*12/365*[11]核心假设及结论!$C$70*$H183,0)</f>
        <v>261937.70379163849</v>
      </c>
      <c r="BU183" s="1739">
        <f t="shared" si="78"/>
        <v>2030</v>
      </c>
      <c r="BV183" s="1742">
        <f>_xlfn.IFNA(INDEX($AR183:$AX183,MATCH(BU183,$AR$2:$AX$2,0))*12/365*[11]核心假设及结论!$C$70*$H183,0)</f>
        <v>276313.37149087666</v>
      </c>
      <c r="BX183" s="1739">
        <f t="shared" si="79"/>
        <v>2032</v>
      </c>
      <c r="BY183" s="1742">
        <f>_xlfn.IFNA(INDEX($AR183:$AX183,MATCH(BX183,$AR$2:$AX$2,0))*12/365*[11]核心假设及结论!$C$70*$H183,0)</f>
        <v>0</v>
      </c>
      <c r="CA183" s="1739">
        <f t="shared" si="80"/>
        <v>2034</v>
      </c>
      <c r="CB183" s="1742">
        <f>_xlfn.IFNA(INDEX($AR183:$AX183,MATCH(CA183,$AR$2:$AX$2,0))*12/365*[11]核心假设及结论!$C$70*$H183,0)</f>
        <v>0</v>
      </c>
    </row>
    <row r="184" spans="1:80" ht="30" customHeight="1">
      <c r="A184" s="1756" t="s">
        <v>1662</v>
      </c>
      <c r="B184" s="1757" t="s">
        <v>2058</v>
      </c>
      <c r="C184" s="1756" t="s">
        <v>2059</v>
      </c>
      <c r="D184" s="1756" t="s">
        <v>1676</v>
      </c>
      <c r="E184" s="1758" t="s">
        <v>1758</v>
      </c>
      <c r="F184" s="1759"/>
      <c r="G184" s="1760" t="s">
        <v>1661</v>
      </c>
      <c r="H184" s="1761">
        <v>200</v>
      </c>
      <c r="I184" s="1761" t="s">
        <v>1913</v>
      </c>
      <c r="J184" s="1773">
        <v>44878</v>
      </c>
      <c r="K184" s="1773">
        <v>45973</v>
      </c>
      <c r="L184" s="1764">
        <f t="shared" si="62"/>
        <v>36</v>
      </c>
      <c r="M184" s="1774">
        <f t="shared" si="73"/>
        <v>129144</v>
      </c>
      <c r="N184" s="1775">
        <f t="shared" si="74"/>
        <v>532.72</v>
      </c>
      <c r="O184" s="1760">
        <v>106544</v>
      </c>
      <c r="P184" s="1776">
        <v>0.14000000000000001</v>
      </c>
      <c r="Q184" s="1783">
        <f t="shared" si="63"/>
        <v>95</v>
      </c>
      <c r="R184" s="1784">
        <v>19000</v>
      </c>
      <c r="S184" s="1777">
        <f t="shared" si="64"/>
        <v>18</v>
      </c>
      <c r="T184" s="1784">
        <v>3600</v>
      </c>
      <c r="U184" s="1777"/>
      <c r="V184" s="1785">
        <v>952497.58333333302</v>
      </c>
      <c r="W184" s="1785">
        <f t="shared" si="65"/>
        <v>4762.4879166666651</v>
      </c>
      <c r="X184" s="1786">
        <f t="shared" si="89"/>
        <v>0.13180505882298393</v>
      </c>
      <c r="Y184" s="1789">
        <f>VLOOKUP(E184,[11]核心假设及结论!$C$25:$E$45,3,0)</f>
        <v>0.2</v>
      </c>
      <c r="Z184" s="1790">
        <f t="shared" si="83"/>
        <v>109738.00000000001</v>
      </c>
      <c r="AA184" s="1790">
        <f t="shared" si="83"/>
        <v>0</v>
      </c>
      <c r="AB184" s="1790">
        <f t="shared" si="83"/>
        <v>0</v>
      </c>
      <c r="AC184" s="1790">
        <f t="shared" si="82"/>
        <v>0</v>
      </c>
      <c r="AD184" s="1790">
        <f t="shared" si="82"/>
        <v>0</v>
      </c>
      <c r="AE184" s="1790">
        <f t="shared" si="82"/>
        <v>0</v>
      </c>
      <c r="AF184" s="1790">
        <f t="shared" si="82"/>
        <v>0</v>
      </c>
      <c r="AG184" s="1794">
        <v>548.69000000000005</v>
      </c>
      <c r="AH184" s="1794">
        <v>0</v>
      </c>
      <c r="AI184" s="1794">
        <v>0</v>
      </c>
      <c r="AJ184" s="1794">
        <v>0</v>
      </c>
      <c r="AK184" s="1794">
        <v>0</v>
      </c>
      <c r="AL184" s="1794">
        <v>0</v>
      </c>
      <c r="AM184" s="1794">
        <v>0</v>
      </c>
      <c r="AN184" s="1797"/>
      <c r="AO184" s="1797"/>
      <c r="AP184" s="1808">
        <f t="shared" si="75"/>
        <v>0.65902529411491961</v>
      </c>
      <c r="AQ184" s="1808">
        <f>IF(AP184&gt;[11]核心假设及结论!$B$65,[11]核心假设及结论!$D$65,IF(AP184&lt;=[11]核心假设及结论!$B$64,[11]核心假设及结论!$D$63,[11]核心假设及结论!$D$64))</f>
        <v>1</v>
      </c>
      <c r="AR184" s="1809">
        <f t="shared" si="76"/>
        <v>548.69000000000005</v>
      </c>
      <c r="AS184" s="1811">
        <f>AH184*(AS$2&lt;=YEAR($K184))+AR184*$AQ184*(AS$2=YEAR($K184)+1)+INDEX([11]核心假设及结论!$E$17:$E$21,MATCH($D184,[11]核心假设及结论!$B$17:$B$21,0))*(AS$2&gt;YEAR($K184)+1)*AR184</f>
        <v>548.69000000000005</v>
      </c>
      <c r="AT184" s="1809">
        <f>AI184*(AT$2&lt;=YEAR($K184))+AS184*$AQ184*(AT$2=YEAR($K184)+1)+INDEX([11]核心假设及结论!$E$17:$E$21,MATCH($D184,[11]核心假设及结论!$B$17:$B$21,0))*(AT$2&gt;YEAR($K184)+1)*AS184</f>
        <v>567.66100475900328</v>
      </c>
      <c r="AU184" s="1809">
        <f>AJ184*(AU$2&lt;=YEAR($K184))+AT184*$AQ184*(AU$2=YEAR($K184)+1)+INDEX([11]核心假设及结论!$E$17:$E$21,MATCH($D184,[11]核心假设及结论!$B$17:$B$21,0))*(AU$2&gt;YEAR($K184)+1)*AT184</f>
        <v>587.28793366746459</v>
      </c>
      <c r="AV184" s="1809">
        <f>AK184*(AV$2&lt;=YEAR($K184))+AU184*$AQ184*(AV$2=YEAR($K184)+1)+INDEX([11]核心假设及结论!$E$17:$E$21,MATCH($D184,[11]核心假设及结论!$B$17:$B$21,0))*(AV$2&gt;YEAR($K184)+1)*AU184</f>
        <v>607.59346536024316</v>
      </c>
      <c r="AW184" s="1809">
        <f>AL184*(AW$2&lt;=YEAR($K184))+AV184*$AQ184*(AW$2=YEAR($K184)+1)+INDEX([11]核心假设及结论!$E$17:$E$21,MATCH($D184,[11]核心假设及结论!$B$17:$B$21,0))*(AW$2&gt;YEAR($K184)+1)*AV184</f>
        <v>628.60106258798271</v>
      </c>
      <c r="AX184" s="1809">
        <f>AM184*(AX$2&lt;=YEAR($K184))+AW184*$AQ184*(AX$2=YEAR($K184)+1)+INDEX([11]核心假设及结论!$E$17:$E$21,MATCH($D184,[11]核心假设及结论!$B$17:$B$21,0))*(AX$2&gt;YEAR($K184)+1)*AW184</f>
        <v>650.33499932798361</v>
      </c>
      <c r="AZ184" s="1746">
        <f t="shared" si="66"/>
        <v>45973</v>
      </c>
      <c r="BA184" s="1817">
        <f t="shared" si="67"/>
        <v>45658</v>
      </c>
      <c r="BB184" s="1817">
        <f t="shared" si="68"/>
        <v>45973</v>
      </c>
      <c r="BC184" s="1817">
        <f t="shared" si="69"/>
        <v>46022</v>
      </c>
      <c r="BD184" s="1818">
        <f t="shared" si="70"/>
        <v>316</v>
      </c>
      <c r="BE184" s="1818">
        <f t="shared" si="71"/>
        <v>49</v>
      </c>
      <c r="BG184" s="1777">
        <f t="shared" si="86"/>
        <v>131.68559999999999</v>
      </c>
      <c r="BH184" s="1777">
        <f t="shared" si="84"/>
        <v>132.29683018072845</v>
      </c>
      <c r="BI184" s="1777">
        <f t="shared" si="84"/>
        <v>136.87100465986902</v>
      </c>
      <c r="BJ184" s="1777">
        <f t="shared" si="84"/>
        <v>141.60333162185469</v>
      </c>
      <c r="BK184" s="1777">
        <f t="shared" si="84"/>
        <v>146.49927920261786</v>
      </c>
      <c r="BL184" s="1777">
        <f t="shared" si="84"/>
        <v>151.56450459936903</v>
      </c>
      <c r="BM184" s="1777">
        <f t="shared" si="84"/>
        <v>135.12714068228567</v>
      </c>
      <c r="BO184" s="1739">
        <f t="shared" si="72"/>
        <v>2025</v>
      </c>
      <c r="BP184" s="1742">
        <f>_xlfn.IFNA(INDEX($AR184:$AX184,MATCH(BO184,$AR$2:$AX$2,0))*12/365*[11]核心假设及结论!$C$70*$H184,0)</f>
        <v>108234.7397260274</v>
      </c>
      <c r="BR184" s="1739">
        <f t="shared" si="77"/>
        <v>2028</v>
      </c>
      <c r="BS184" s="1742">
        <f>_xlfn.IFNA(INDEX($AR184:$AX184,MATCH(BR184,$AR$2:$AX$2,0))*12/365*[11]核心假设及结论!$C$70*$H184,0)</f>
        <v>115848.57869604781</v>
      </c>
      <c r="BU184" s="1739">
        <f t="shared" si="78"/>
        <v>2031</v>
      </c>
      <c r="BV184" s="1742">
        <f>_xlfn.IFNA(INDEX($AR184:$AX184,MATCH(BU184,$AR$2:$AX$2,0))*12/365*[11]核心假设及结论!$C$70*$H184,0)</f>
        <v>128285.26014141049</v>
      </c>
      <c r="BX184" s="1739">
        <f t="shared" si="79"/>
        <v>2034</v>
      </c>
      <c r="BY184" s="1742">
        <f>_xlfn.IFNA(INDEX($AR184:$AX184,MATCH(BX184,$AR$2:$AX$2,0))*12/365*[11]核心假设及结论!$C$70*$H184,0)</f>
        <v>0</v>
      </c>
      <c r="CA184" s="1739">
        <f t="shared" si="80"/>
        <v>2037</v>
      </c>
      <c r="CB184" s="1742">
        <f>_xlfn.IFNA(INDEX($AR184:$AX184,MATCH(CA184,$AR$2:$AX$2,0))*12/365*[11]核心假设及结论!$C$70*$H184,0)</f>
        <v>0</v>
      </c>
    </row>
    <row r="185" spans="1:80" ht="30" customHeight="1">
      <c r="A185" s="1756" t="s">
        <v>1662</v>
      </c>
      <c r="B185" s="1757" t="s">
        <v>2060</v>
      </c>
      <c r="C185" s="1756" t="s">
        <v>2061</v>
      </c>
      <c r="D185" s="1756" t="s">
        <v>1685</v>
      </c>
      <c r="E185" s="1758" t="s">
        <v>1692</v>
      </c>
      <c r="F185" s="1759"/>
      <c r="G185" s="1760" t="s">
        <v>1661</v>
      </c>
      <c r="H185" s="1761">
        <v>198</v>
      </c>
      <c r="I185" s="1761" t="s">
        <v>1913</v>
      </c>
      <c r="J185" s="1773">
        <v>45675</v>
      </c>
      <c r="K185" s="1773">
        <v>46731</v>
      </c>
      <c r="L185" s="1764">
        <f t="shared" si="62"/>
        <v>35</v>
      </c>
      <c r="M185" s="1774">
        <f t="shared" si="73"/>
        <v>181853.1</v>
      </c>
      <c r="N185" s="1775">
        <f t="shared" si="74"/>
        <v>804.82999999999993</v>
      </c>
      <c r="O185" s="1760">
        <v>159356.34</v>
      </c>
      <c r="P185" s="1776">
        <v>0.18</v>
      </c>
      <c r="Q185" s="1783">
        <f t="shared" si="63"/>
        <v>95</v>
      </c>
      <c r="R185" s="1784">
        <v>18810</v>
      </c>
      <c r="S185" s="1777">
        <f t="shared" si="64"/>
        <v>18.62</v>
      </c>
      <c r="T185" s="1777">
        <v>3686.76</v>
      </c>
      <c r="U185" s="1777"/>
      <c r="V185" s="1785">
        <v>181523.83333333299</v>
      </c>
      <c r="W185" s="1785">
        <f t="shared" si="65"/>
        <v>916.78703703703536</v>
      </c>
      <c r="X185" s="1786">
        <f t="shared" si="89"/>
        <v>0.98150384292971815</v>
      </c>
      <c r="Y185" s="1789">
        <f>VLOOKUP(E185,[11]核心假设及结论!$C$25:$E$45,3,0)</f>
        <v>0.2</v>
      </c>
      <c r="Z185" s="1790">
        <f t="shared" si="83"/>
        <v>150563.16</v>
      </c>
      <c r="AA185" s="1790">
        <f t="shared" si="83"/>
        <v>152067.96</v>
      </c>
      <c r="AB185" s="1790">
        <f t="shared" si="83"/>
        <v>153574.74</v>
      </c>
      <c r="AC185" s="1790">
        <f t="shared" si="82"/>
        <v>0</v>
      </c>
      <c r="AD185" s="1790">
        <f t="shared" si="82"/>
        <v>0</v>
      </c>
      <c r="AE185" s="1790">
        <f t="shared" si="82"/>
        <v>0</v>
      </c>
      <c r="AF185" s="1790">
        <f t="shared" si="82"/>
        <v>0</v>
      </c>
      <c r="AG185" s="1794">
        <v>760.42</v>
      </c>
      <c r="AH185" s="1794">
        <v>768.02</v>
      </c>
      <c r="AI185" s="1794">
        <v>775.63</v>
      </c>
      <c r="AJ185" s="1794">
        <v>0</v>
      </c>
      <c r="AK185" s="1794">
        <v>0</v>
      </c>
      <c r="AL185" s="1794">
        <v>0</v>
      </c>
      <c r="AM185" s="1794">
        <v>0</v>
      </c>
      <c r="AN185" s="1795"/>
      <c r="AO185" s="1795"/>
      <c r="AP185" s="1808">
        <f t="shared" si="75"/>
        <v>4.9075192146485902</v>
      </c>
      <c r="AQ185" s="1810">
        <f>IF(AP185&gt;[11]核心假设及结论!$B$59,[11]核心假设及结论!$D$59,IF(AP185&lt;=[11]核心假设及结论!$B$58,[11]核心假设及结论!$D$57,[11]核心假设及结论!$D$58))</f>
        <v>1</v>
      </c>
      <c r="AR185" s="1809">
        <f t="shared" si="76"/>
        <v>760.42</v>
      </c>
      <c r="AS185" s="1809">
        <f>AH185*(AS$2&lt;=YEAR($K185))+AR185*$AQ185*(AS$2=YEAR($K185)+1)+INDEX([11]核心假设及结论!$E$17:$E$21,MATCH($D185,[11]核心假设及结论!$B$17:$B$21,0))*(AS$2&gt;YEAR($K185)+1)*AR185</f>
        <v>768.02</v>
      </c>
      <c r="AT185" s="1809">
        <f>AI185*(AT$2&lt;=YEAR($K185))+AS185*$AQ185*(AT$2=YEAR($K185)+1)+INDEX([11]核心假设及结论!$E$17:$E$21,MATCH($D185,[11]核心假设及结论!$B$17:$B$21,0))*(AT$2&gt;YEAR($K185)+1)*AS185</f>
        <v>775.63</v>
      </c>
      <c r="AU185" s="1811">
        <f>AJ185*(AU$2&lt;=YEAR($K185))+AT185*$AQ185*(AU$2=YEAR($K185)+1)+INDEX([11]核心假设及结论!$E$17:$E$21,MATCH($D185,[11]核心假设及结论!$B$17:$B$21,0))*(AU$2&gt;YEAR($K185)+1)*AT185</f>
        <v>775.63</v>
      </c>
      <c r="AV185" s="1809">
        <f>AK185*(AV$2&lt;=YEAR($K185))+AU185*$AQ185*(AV$2=YEAR($K185)+1)+INDEX([11]核心假设及结论!$E$17:$E$21,MATCH($D185,[11]核心假设及结论!$B$17:$B$21,0))*(AV$2&gt;YEAR($K185)+1)*AU185</f>
        <v>796.6297874599378</v>
      </c>
      <c r="AW185" s="1809">
        <f>AL185*(AW$2&lt;=YEAR($K185))+AV185*$AQ185*(AW$2=YEAR($K185)+1)+INDEX([11]核心假设及结论!$E$17:$E$21,MATCH($D185,[11]核心假设及结论!$B$17:$B$21,0))*(AW$2&gt;YEAR($K185)+1)*AV185</f>
        <v>818.19813347661341</v>
      </c>
      <c r="AX185" s="1809">
        <f>AM185*(AX$2&lt;=YEAR($K185))+AW185*$AQ185*(AX$2=YEAR($K185)+1)+INDEX([11]核心假设及结论!$E$17:$E$21,MATCH($D185,[11]核心假设及结论!$B$17:$B$21,0))*(AX$2&gt;YEAR($K185)+1)*AW185</f>
        <v>840.3504314835584</v>
      </c>
      <c r="AZ185" s="1746">
        <f t="shared" si="66"/>
        <v>46731</v>
      </c>
      <c r="BA185" s="1817">
        <f t="shared" si="67"/>
        <v>45658</v>
      </c>
      <c r="BB185" s="1817">
        <f t="shared" si="68"/>
        <v>46001</v>
      </c>
      <c r="BC185" s="1817">
        <f t="shared" si="69"/>
        <v>46022</v>
      </c>
      <c r="BD185" s="1818">
        <f t="shared" si="70"/>
        <v>344</v>
      </c>
      <c r="BE185" s="1818">
        <f t="shared" si="71"/>
        <v>21</v>
      </c>
      <c r="BG185" s="1777">
        <f t="shared" si="86"/>
        <v>180.77968504109589</v>
      </c>
      <c r="BH185" s="1777">
        <f t="shared" si="84"/>
        <v>182.58558174246576</v>
      </c>
      <c r="BI185" s="1777">
        <f t="shared" si="84"/>
        <v>184.28968799999996</v>
      </c>
      <c r="BJ185" s="1777">
        <f t="shared" si="84"/>
        <v>184.57675797126052</v>
      </c>
      <c r="BK185" s="1777">
        <f t="shared" ref="BK185:BM246" si="90">(AV185*$BD185*$H185*12/365+$BE185*AW185*$H185*12/365)/10000</f>
        <v>189.57407974509715</v>
      </c>
      <c r="BL185" s="1777">
        <f t="shared" si="90"/>
        <v>194.70670146235969</v>
      </c>
      <c r="BM185" s="1777">
        <f t="shared" si="90"/>
        <v>188.17955700561578</v>
      </c>
      <c r="BO185" s="1739">
        <f t="shared" si="72"/>
        <v>2027</v>
      </c>
      <c r="BP185" s="1742">
        <f>_xlfn.IFNA(INDEX($AR185:$AX185,MATCH(BO185,$AR$2:$AX$2,0))*12/365*[11]核心假设及结论!$C$70*$H185,0)</f>
        <v>151470.97643835616</v>
      </c>
      <c r="BR185" s="1739">
        <f t="shared" si="77"/>
        <v>2030</v>
      </c>
      <c r="BS185" s="1742">
        <f>_xlfn.IFNA(INDEX($AR185:$AX185,MATCH(BR185,$AR$2:$AX$2,0))*12/365*[11]核心假设及结论!$C$70*$H185,0)</f>
        <v>159784.00809373424</v>
      </c>
      <c r="BU185" s="1739">
        <f t="shared" si="78"/>
        <v>2033</v>
      </c>
      <c r="BV185" s="1742">
        <f>_xlfn.IFNA(INDEX($AR185:$AX185,MATCH(BU185,$AR$2:$AX$2,0))*12/365*[11]核心假设及结论!$C$70*$H185,0)</f>
        <v>0</v>
      </c>
      <c r="BX185" s="1739">
        <f t="shared" si="79"/>
        <v>2036</v>
      </c>
      <c r="BY185" s="1742">
        <f>_xlfn.IFNA(INDEX($AR185:$AX185,MATCH(BX185,$AR$2:$AX$2,0))*12/365*[11]核心假设及结论!$C$70*$H185,0)</f>
        <v>0</v>
      </c>
      <c r="CA185" s="1739">
        <f t="shared" si="80"/>
        <v>2039</v>
      </c>
      <c r="CB185" s="1742">
        <f>_xlfn.IFNA(INDEX($AR185:$AX185,MATCH(CA185,$AR$2:$AX$2,0))*12/365*[11]核心假设及结论!$C$70*$H185,0)</f>
        <v>0</v>
      </c>
    </row>
    <row r="186" spans="1:80" ht="30" customHeight="1">
      <c r="A186" s="1756" t="s">
        <v>1662</v>
      </c>
      <c r="B186" s="1757" t="s">
        <v>2062</v>
      </c>
      <c r="C186" s="1756" t="s">
        <v>2063</v>
      </c>
      <c r="D186" s="1756" t="s">
        <v>1698</v>
      </c>
      <c r="E186" s="1758" t="s">
        <v>1698</v>
      </c>
      <c r="F186" s="1759"/>
      <c r="G186" s="1760" t="s">
        <v>1661</v>
      </c>
      <c r="H186" s="1761">
        <v>198</v>
      </c>
      <c r="I186" s="1761" t="s">
        <v>1913</v>
      </c>
      <c r="J186" s="1773">
        <v>45292</v>
      </c>
      <c r="K186" s="1773">
        <v>46599</v>
      </c>
      <c r="L186" s="1764">
        <f t="shared" si="62"/>
        <v>43</v>
      </c>
      <c r="M186" s="1774">
        <f t="shared" si="73"/>
        <v>160837.38</v>
      </c>
      <c r="N186" s="1775">
        <f t="shared" si="74"/>
        <v>699.57999999999993</v>
      </c>
      <c r="O186" s="1760">
        <v>138516.84</v>
      </c>
      <c r="P186" s="1776">
        <v>7.0000000000000007E-2</v>
      </c>
      <c r="Q186" s="1783">
        <f t="shared" si="63"/>
        <v>95</v>
      </c>
      <c r="R186" s="1784">
        <v>18810</v>
      </c>
      <c r="S186" s="1777">
        <f t="shared" si="64"/>
        <v>17.73</v>
      </c>
      <c r="T186" s="1784">
        <v>3510.54</v>
      </c>
      <c r="U186" s="1777"/>
      <c r="V186" s="1785">
        <v>2320324.1175000002</v>
      </c>
      <c r="W186" s="1785">
        <f t="shared" si="65"/>
        <v>11718.808674242426</v>
      </c>
      <c r="X186" s="1786">
        <f t="shared" si="89"/>
        <v>6.780382051517421E-2</v>
      </c>
      <c r="Y186" s="1789">
        <f>VLOOKUP(E186,[11]核心假设及结论!$C$25:$E$45,3,0)</f>
        <v>0.2</v>
      </c>
      <c r="Z186" s="1790">
        <f t="shared" si="83"/>
        <v>150563.16</v>
      </c>
      <c r="AA186" s="1790">
        <f t="shared" si="83"/>
        <v>150563.16</v>
      </c>
      <c r="AB186" s="1790">
        <f t="shared" si="83"/>
        <v>159595.91999999998</v>
      </c>
      <c r="AC186" s="1790">
        <f t="shared" si="82"/>
        <v>0</v>
      </c>
      <c r="AD186" s="1790">
        <f t="shared" si="82"/>
        <v>0</v>
      </c>
      <c r="AE186" s="1790">
        <f t="shared" si="82"/>
        <v>0</v>
      </c>
      <c r="AF186" s="1790">
        <f t="shared" si="82"/>
        <v>0</v>
      </c>
      <c r="AG186" s="1794">
        <v>760.42</v>
      </c>
      <c r="AH186" s="1794">
        <v>760.42</v>
      </c>
      <c r="AI186" s="1794">
        <v>806.04</v>
      </c>
      <c r="AJ186" s="1794">
        <v>0</v>
      </c>
      <c r="AK186" s="1794">
        <v>0</v>
      </c>
      <c r="AL186" s="1794">
        <v>0</v>
      </c>
      <c r="AM186" s="1794">
        <v>0</v>
      </c>
      <c r="AN186" s="1797"/>
      <c r="AO186" s="1797"/>
      <c r="AP186" s="1808">
        <f t="shared" si="75"/>
        <v>0.33901910257587103</v>
      </c>
      <c r="AQ186" s="1812">
        <f>IF(AP186&gt;[11]核心假设及结论!$B$62,[11]核心假设及结论!$D$62,IF(AP186&lt;=[11]核心假设及结论!$B$61,[11]核心假设及结论!$D$60,[11]核心假设及结论!$D$61))</f>
        <v>1.0811176582269599</v>
      </c>
      <c r="AR186" s="1809">
        <f t="shared" si="76"/>
        <v>760.42</v>
      </c>
      <c r="AS186" s="1809">
        <f>AH186*(AS$2&lt;=YEAR($K186))+AR186*$AQ186*(AS$2=YEAR($K186)+1)+INDEX([11]核心假设及结论!$E$17:$E$21,MATCH($D186,[11]核心假设及结论!$B$17:$B$21,0))*(AS$2&gt;YEAR($K186)+1)*AR186</f>
        <v>760.42</v>
      </c>
      <c r="AT186" s="1809">
        <f>AI186*(AT$2&lt;=YEAR($K186))+AS186*$AQ186*(AT$2=YEAR($K186)+1)+INDEX([11]核心假设及结论!$E$17:$E$21,MATCH($D186,[11]核心假设及结论!$B$17:$B$21,0))*(AT$2&gt;YEAR($K186)+1)*AS186</f>
        <v>806.04</v>
      </c>
      <c r="AU186" s="1811">
        <f>AJ186*(AU$2&lt;=YEAR($K186))+AT186*$AQ186*(AU$2=YEAR($K186)+1)+INDEX([11]核心假设及结论!$E$17:$E$21,MATCH($D186,[11]核心假设及结论!$B$17:$B$21,0))*(AU$2&gt;YEAR($K186)+1)*AT186</f>
        <v>871.42407723725876</v>
      </c>
      <c r="AV186" s="1809">
        <f>AK186*(AV$2&lt;=YEAR($K186))+AU186*$AQ186*(AV$2=YEAR($K186)+1)+INDEX([11]核心假设及结论!$E$17:$E$21,MATCH($D186,[11]核心假设及结论!$B$17:$B$21,0))*(AV$2&gt;YEAR($K186)+1)*AU186</f>
        <v>898.10482145408605</v>
      </c>
      <c r="AW186" s="1809">
        <f>AL186*(AW$2&lt;=YEAR($K186))+AV186*$AQ186*(AW$2=YEAR($K186)+1)+INDEX([11]核心假设及结论!$E$17:$E$21,MATCH($D186,[11]核心假设及结论!$B$17:$B$21,0))*(AW$2&gt;YEAR($K186)+1)*AV186</f>
        <v>925.60246083201639</v>
      </c>
      <c r="AX186" s="1809">
        <f>AM186*(AX$2&lt;=YEAR($K186))+AW186*$AQ186*(AX$2=YEAR($K186)+1)+INDEX([11]核心假设及结论!$E$17:$E$21,MATCH($D186,[11]核心假设及结论!$B$17:$B$21,0))*(AX$2&gt;YEAR($K186)+1)*AW186</f>
        <v>953.94200658133718</v>
      </c>
      <c r="AZ186" s="1746">
        <f t="shared" si="66"/>
        <v>46599</v>
      </c>
      <c r="BA186" s="1817">
        <f t="shared" si="67"/>
        <v>45658</v>
      </c>
      <c r="BB186" s="1817">
        <f t="shared" si="68"/>
        <v>45869</v>
      </c>
      <c r="BC186" s="1817">
        <f t="shared" si="69"/>
        <v>46022</v>
      </c>
      <c r="BD186" s="1818">
        <f t="shared" si="70"/>
        <v>212</v>
      </c>
      <c r="BE186" s="1818">
        <f t="shared" si="71"/>
        <v>153</v>
      </c>
      <c r="BG186" s="1777">
        <f t="shared" si="86"/>
        <v>180.675792</v>
      </c>
      <c r="BH186" s="1777">
        <f t="shared" ref="BH186:BM247" si="91">(AS186*$BD186*$H186*12/365+$BE186*AT186*$H186*12/365)/10000</f>
        <v>185.21939401643834</v>
      </c>
      <c r="BI186" s="1777">
        <f t="shared" si="91"/>
        <v>198.02714313148115</v>
      </c>
      <c r="BJ186" s="1777">
        <f t="shared" si="91"/>
        <v>209.70767515805341</v>
      </c>
      <c r="BK186" s="1777">
        <f t="shared" si="90"/>
        <v>216.12838005633475</v>
      </c>
      <c r="BL186" s="1777">
        <f t="shared" si="90"/>
        <v>222.74567027921015</v>
      </c>
      <c r="BM186" s="1777">
        <f t="shared" si="90"/>
        <v>131.6471331559174</v>
      </c>
      <c r="BO186" s="1739">
        <f t="shared" si="72"/>
        <v>2027</v>
      </c>
      <c r="BP186" s="1742">
        <f>_xlfn.IFNA(INDEX($AR186:$AX186,MATCH(BO186,$AR$2:$AX$2,0))*12/365*[11]核心假设及结论!$C$70*$H186,0)</f>
        <v>157409.67452054797</v>
      </c>
      <c r="BR186" s="1739">
        <f t="shared" si="77"/>
        <v>2031</v>
      </c>
      <c r="BS186" s="1742">
        <f>_xlfn.IFNA(INDEX($AR186:$AX186,MATCH(BR186,$AR$2:$AX$2,0))*12/365*[11]核心假设及结论!$C$70*$H186,0)</f>
        <v>186293.11295648688</v>
      </c>
      <c r="BU186" s="1739">
        <f t="shared" si="78"/>
        <v>2035</v>
      </c>
      <c r="BV186" s="1742">
        <f>_xlfn.IFNA(INDEX($AR186:$AX186,MATCH(BU186,$AR$2:$AX$2,0))*12/365*[11]核心假设及结论!$C$70*$H186,0)</f>
        <v>0</v>
      </c>
      <c r="BX186" s="1739">
        <f t="shared" si="79"/>
        <v>2039</v>
      </c>
      <c r="BY186" s="1742">
        <f>_xlfn.IFNA(INDEX($AR186:$AX186,MATCH(BX186,$AR$2:$AX$2,0))*12/365*[11]核心假设及结论!$C$70*$H186,0)</f>
        <v>0</v>
      </c>
      <c r="CA186" s="1739">
        <f t="shared" si="80"/>
        <v>2043</v>
      </c>
      <c r="CB186" s="1742">
        <f>_xlfn.IFNA(INDEX($AR186:$AX186,MATCH(CA186,$AR$2:$AX$2,0))*12/365*[11]核心假设及结论!$C$70*$H186,0)</f>
        <v>0</v>
      </c>
    </row>
    <row r="187" spans="1:80" ht="30" customHeight="1">
      <c r="A187" s="1756" t="s">
        <v>1687</v>
      </c>
      <c r="B187" s="1757" t="s">
        <v>2064</v>
      </c>
      <c r="C187" s="1756" t="s">
        <v>2065</v>
      </c>
      <c r="D187" s="1756" t="s">
        <v>1698</v>
      </c>
      <c r="E187" s="1758" t="s">
        <v>1698</v>
      </c>
      <c r="F187" s="1759"/>
      <c r="G187" s="1760" t="s">
        <v>1661</v>
      </c>
      <c r="H187" s="1761">
        <v>198</v>
      </c>
      <c r="I187" s="1761" t="s">
        <v>1913</v>
      </c>
      <c r="J187" s="1773">
        <v>44855</v>
      </c>
      <c r="K187" s="1773">
        <v>45950</v>
      </c>
      <c r="L187" s="1764">
        <f t="shared" si="62"/>
        <v>36</v>
      </c>
      <c r="M187" s="1774">
        <f t="shared" si="73"/>
        <v>155160.72</v>
      </c>
      <c r="N187" s="1775">
        <f t="shared" si="74"/>
        <v>669.09</v>
      </c>
      <c r="O187" s="1760">
        <v>132479.82</v>
      </c>
      <c r="P187" s="1776">
        <v>0.14000000000000001</v>
      </c>
      <c r="Q187" s="1783">
        <f t="shared" si="63"/>
        <v>95</v>
      </c>
      <c r="R187" s="1784">
        <v>18810</v>
      </c>
      <c r="S187" s="1777">
        <f t="shared" si="64"/>
        <v>19.55</v>
      </c>
      <c r="T187" s="1784">
        <v>3870.9</v>
      </c>
      <c r="U187" s="1777"/>
      <c r="V187" s="1785">
        <v>736960.96499999997</v>
      </c>
      <c r="W187" s="1785">
        <f t="shared" si="65"/>
        <v>3722.0250757575755</v>
      </c>
      <c r="X187" s="1786">
        <f t="shared" si="89"/>
        <v>0.20528878351107785</v>
      </c>
      <c r="Y187" s="1789">
        <f>VLOOKUP(E187,[11]核心假设及结论!$C$25:$E$45,3,0)</f>
        <v>0.2</v>
      </c>
      <c r="Z187" s="1790">
        <f t="shared" si="83"/>
        <v>138489.12000000002</v>
      </c>
      <c r="AA187" s="1790">
        <f t="shared" si="83"/>
        <v>0</v>
      </c>
      <c r="AB187" s="1790">
        <f t="shared" si="83"/>
        <v>0</v>
      </c>
      <c r="AC187" s="1790">
        <f t="shared" si="82"/>
        <v>0</v>
      </c>
      <c r="AD187" s="1790">
        <f t="shared" si="82"/>
        <v>0</v>
      </c>
      <c r="AE187" s="1790">
        <f t="shared" si="82"/>
        <v>0</v>
      </c>
      <c r="AF187" s="1790">
        <f t="shared" si="82"/>
        <v>0</v>
      </c>
      <c r="AG187" s="1794">
        <v>699.44</v>
      </c>
      <c r="AH187" s="1794">
        <v>0</v>
      </c>
      <c r="AI187" s="1794">
        <v>0</v>
      </c>
      <c r="AJ187" s="1794">
        <v>0</v>
      </c>
      <c r="AK187" s="1794">
        <v>0</v>
      </c>
      <c r="AL187" s="1794">
        <v>0</v>
      </c>
      <c r="AM187" s="1794">
        <v>0</v>
      </c>
      <c r="AN187" s="1797"/>
      <c r="AO187" s="1797"/>
      <c r="AP187" s="1808">
        <f t="shared" si="75"/>
        <v>1.0264439175553892</v>
      </c>
      <c r="AQ187" s="1812">
        <f>IF(AP187&gt;[11]核心假设及结论!$B$62,[11]核心假设及结论!$D$62,IF(AP187&lt;=[11]核心假设及结论!$B$61,[11]核心假设及结论!$D$60,[11]核心假设及结论!$D$61))</f>
        <v>1.0489999999999999</v>
      </c>
      <c r="AR187" s="1809">
        <f t="shared" si="76"/>
        <v>699.44</v>
      </c>
      <c r="AS187" s="1811">
        <f>AH187*(AS$2&lt;=YEAR($K187))+AR187*$AQ187*(AS$2=YEAR($K187)+1)+INDEX([11]核心假设及结论!$E$17:$E$21,MATCH($D187,[11]核心假设及结论!$B$17:$B$21,0))*(AS$2&gt;YEAR($K187)+1)*AR187</f>
        <v>733.71256000000005</v>
      </c>
      <c r="AT187" s="1809">
        <f>AI187*(AT$2&lt;=YEAR($K187))+AS187*$AQ187*(AT$2=YEAR($K187)+1)+INDEX([11]核心假设及结论!$E$17:$E$21,MATCH($D187,[11]核心假设及结论!$B$17:$B$21,0))*(AT$2&gt;YEAR($K187)+1)*AS187</f>
        <v>756.17693487026622</v>
      </c>
      <c r="AU187" s="1809">
        <f>AJ187*(AU$2&lt;=YEAR($K187))+AT187*$AQ187*(AU$2=YEAR($K187)+1)+INDEX([11]核心假设及结论!$E$17:$E$21,MATCH($D187,[11]核心假设及结论!$B$17:$B$21,0))*(AU$2&gt;YEAR($K187)+1)*AT187</f>
        <v>779.32911061218692</v>
      </c>
      <c r="AV187" s="1809">
        <f>AK187*(AV$2&lt;=YEAR($K187))+AU187*$AQ187*(AV$2=YEAR($K187)+1)+INDEX([11]核心假设及结论!$E$17:$E$21,MATCH($D187,[11]核心假设及结论!$B$17:$B$21,0))*(AV$2&gt;YEAR($K187)+1)*AU187</f>
        <v>803.19014590385927</v>
      </c>
      <c r="AW187" s="1809">
        <f>AL187*(AW$2&lt;=YEAR($K187))+AV187*$AQ187*(AW$2=YEAR($K187)+1)+INDEX([11]核心假设及结论!$E$17:$E$21,MATCH($D187,[11]核心假设及结论!$B$17:$B$21,0))*(AW$2&gt;YEAR($K187)+1)*AV187</f>
        <v>827.78174418546439</v>
      </c>
      <c r="AX187" s="1809">
        <f>AM187*(AX$2&lt;=YEAR($K187))+AW187*$AQ187*(AX$2=YEAR($K187)+1)+INDEX([11]核心假设及结论!$E$17:$E$21,MATCH($D187,[11]核心假设及结论!$B$17:$B$21,0))*(AX$2&gt;YEAR($K187)+1)*AW187</f>
        <v>853.12627340020902</v>
      </c>
      <c r="AZ187" s="1746">
        <f t="shared" si="66"/>
        <v>45950</v>
      </c>
      <c r="BA187" s="1817">
        <f t="shared" si="67"/>
        <v>45658</v>
      </c>
      <c r="BB187" s="1817">
        <f t="shared" si="68"/>
        <v>45950</v>
      </c>
      <c r="BC187" s="1817">
        <f t="shared" si="69"/>
        <v>46022</v>
      </c>
      <c r="BD187" s="1818">
        <f t="shared" si="70"/>
        <v>293</v>
      </c>
      <c r="BE187" s="1818">
        <f t="shared" si="71"/>
        <v>72</v>
      </c>
      <c r="BG187" s="1777">
        <f t="shared" si="86"/>
        <v>167.79326602310141</v>
      </c>
      <c r="BH187" s="1777">
        <f t="shared" si="91"/>
        <v>175.38298796498802</v>
      </c>
      <c r="BI187" s="1777">
        <f t="shared" si="91"/>
        <v>180.75276000148261</v>
      </c>
      <c r="BJ187" s="1777">
        <f t="shared" si="91"/>
        <v>186.28694052513148</v>
      </c>
      <c r="BK187" s="1777">
        <f t="shared" si="90"/>
        <v>191.99056329723118</v>
      </c>
      <c r="BL187" s="1777">
        <f t="shared" si="90"/>
        <v>197.86881619978823</v>
      </c>
      <c r="BM187" s="1777">
        <f t="shared" si="90"/>
        <v>162.71759219191142</v>
      </c>
      <c r="BO187" s="1739">
        <f t="shared" si="72"/>
        <v>2025</v>
      </c>
      <c r="BP187" s="1742">
        <f>_xlfn.IFNA(INDEX($AR187:$AX187,MATCH(BO187,$AR$2:$AX$2,0))*12/365*[11]核心假设及结论!$C$70*$H187,0)</f>
        <v>136592.00876712331</v>
      </c>
      <c r="BR187" s="1739">
        <f t="shared" si="77"/>
        <v>2028</v>
      </c>
      <c r="BS187" s="1742">
        <f>_xlfn.IFNA(INDEX($AR187:$AX187,MATCH(BR187,$AR$2:$AX$2,0))*12/365*[11]核心假设及结论!$C$70*$H187,0)</f>
        <v>152193.36713544297</v>
      </c>
      <c r="BU187" s="1739">
        <f t="shared" si="78"/>
        <v>2031</v>
      </c>
      <c r="BV187" s="1742">
        <f>_xlfn.IFNA(INDEX($AR187:$AX187,MATCH(BU187,$AR$2:$AX$2,0))*12/365*[11]核心假设及结论!$C$70*$H187,0)</f>
        <v>166605.0431999093</v>
      </c>
      <c r="BX187" s="1739">
        <f t="shared" si="79"/>
        <v>2034</v>
      </c>
      <c r="BY187" s="1742">
        <f>_xlfn.IFNA(INDEX($AR187:$AX187,MATCH(BX187,$AR$2:$AX$2,0))*12/365*[11]核心假设及结论!$C$70*$H187,0)</f>
        <v>0</v>
      </c>
      <c r="CA187" s="1739">
        <f t="shared" si="80"/>
        <v>2037</v>
      </c>
      <c r="CB187" s="1742">
        <f>_xlfn.IFNA(INDEX($AR187:$AX187,MATCH(CA187,$AR$2:$AX$2,0))*12/365*[11]核心假设及结论!$C$70*$H187,0)</f>
        <v>0</v>
      </c>
    </row>
    <row r="188" spans="1:80" ht="30" customHeight="1">
      <c r="A188" s="1756" t="s">
        <v>1687</v>
      </c>
      <c r="B188" s="1757" t="s">
        <v>2066</v>
      </c>
      <c r="C188" s="1756" t="s">
        <v>2067</v>
      </c>
      <c r="D188" s="1756" t="s">
        <v>1698</v>
      </c>
      <c r="E188" s="1758" t="s">
        <v>1698</v>
      </c>
      <c r="F188" s="1759"/>
      <c r="G188" s="1760" t="s">
        <v>1661</v>
      </c>
      <c r="H188" s="1761">
        <v>198</v>
      </c>
      <c r="I188" s="1761" t="s">
        <v>1913</v>
      </c>
      <c r="J188" s="1773">
        <v>45169</v>
      </c>
      <c r="K188" s="1773">
        <v>47786</v>
      </c>
      <c r="L188" s="1764">
        <f t="shared" si="62"/>
        <v>86</v>
      </c>
      <c r="M188" s="1774">
        <f t="shared" si="73"/>
        <v>81609.66</v>
      </c>
      <c r="N188" s="1775">
        <f t="shared" si="74"/>
        <v>304.17</v>
      </c>
      <c r="O188" s="1760">
        <v>60225.66</v>
      </c>
      <c r="P188" s="1776">
        <v>0.08</v>
      </c>
      <c r="Q188" s="1783">
        <f t="shared" si="63"/>
        <v>90</v>
      </c>
      <c r="R188" s="1784">
        <v>17820</v>
      </c>
      <c r="S188" s="1777">
        <f t="shared" si="64"/>
        <v>18</v>
      </c>
      <c r="T188" s="1784">
        <v>3564</v>
      </c>
      <c r="U188" s="1777"/>
      <c r="V188" s="1785">
        <v>478930.87099999998</v>
      </c>
      <c r="W188" s="1785">
        <f t="shared" si="65"/>
        <v>2418.8427828282829</v>
      </c>
      <c r="X188" s="1786">
        <f t="shared" si="89"/>
        <v>0.16295809004134965</v>
      </c>
      <c r="Y188" s="1789">
        <f>VLOOKUP(E188,[11]核心假设及结论!$C$25:$E$45,3,0)</f>
        <v>0.2</v>
      </c>
      <c r="Z188" s="1790">
        <f t="shared" si="83"/>
        <v>60225.66</v>
      </c>
      <c r="AA188" s="1790">
        <f t="shared" si="83"/>
        <v>66246.84</v>
      </c>
      <c r="AB188" s="1790">
        <f t="shared" si="83"/>
        <v>66246.84</v>
      </c>
      <c r="AC188" s="1790">
        <f t="shared" si="82"/>
        <v>72270</v>
      </c>
      <c r="AD188" s="1790">
        <f t="shared" si="82"/>
        <v>72270</v>
      </c>
      <c r="AE188" s="1790">
        <f t="shared" si="82"/>
        <v>78293.16</v>
      </c>
      <c r="AF188" s="1790">
        <f t="shared" si="82"/>
        <v>0</v>
      </c>
      <c r="AG188" s="1794">
        <v>304.17</v>
      </c>
      <c r="AH188" s="1794">
        <v>334.58</v>
      </c>
      <c r="AI188" s="1794">
        <v>334.58</v>
      </c>
      <c r="AJ188" s="1794">
        <v>365</v>
      </c>
      <c r="AK188" s="1794">
        <v>365</v>
      </c>
      <c r="AL188" s="1794">
        <v>395.42</v>
      </c>
      <c r="AM188" s="1794">
        <v>0</v>
      </c>
      <c r="AN188" s="1797"/>
      <c r="AO188" s="1797"/>
      <c r="AP188" s="1808">
        <f t="shared" si="75"/>
        <v>0.81479045020674823</v>
      </c>
      <c r="AQ188" s="1812">
        <f>IF(AP188&gt;[11]核心假设及结论!$B$62,[11]核心假设及结论!$D$62,IF(AP188&lt;=[11]核心假设及结论!$B$61,[11]核心假设及结论!$D$60,[11]核心假设及结论!$D$61))</f>
        <v>1.0811176582269599</v>
      </c>
      <c r="AR188" s="1809">
        <f t="shared" si="76"/>
        <v>304.17</v>
      </c>
      <c r="AS188" s="1809">
        <f>AH188*(AS$2&lt;=YEAR($K188))+AR188*$AQ188*(AS$2=YEAR($K188)+1)+INDEX([11]核心假设及结论!$E$17:$E$21,MATCH($D188,[11]核心假设及结论!$B$17:$B$21,0))*(AS$2&gt;YEAR($K188)+1)*AR188</f>
        <v>334.58</v>
      </c>
      <c r="AT188" s="1809">
        <f>AI188*(AT$2&lt;=YEAR($K188))+AS188*$AQ188*(AT$2=YEAR($K188)+1)+INDEX([11]核心假设及结论!$E$17:$E$21,MATCH($D188,[11]核心假设及结论!$B$17:$B$21,0))*(AT$2&gt;YEAR($K188)+1)*AS188</f>
        <v>334.58</v>
      </c>
      <c r="AU188" s="1809">
        <f>AJ188*(AU$2&lt;=YEAR($K188))+AT188*$AQ188*(AU$2=YEAR($K188)+1)+INDEX([11]核心假设及结论!$E$17:$E$21,MATCH($D188,[11]核心假设及结论!$B$17:$B$21,0))*(AU$2&gt;YEAR($K188)+1)*AT188</f>
        <v>365</v>
      </c>
      <c r="AV188" s="1809">
        <f>AK188*(AV$2&lt;=YEAR($K188))+AU188*$AQ188*(AV$2=YEAR($K188)+1)+INDEX([11]核心假设及结论!$E$17:$E$21,MATCH($D188,[11]核心假设及结论!$B$17:$B$21,0))*(AV$2&gt;YEAR($K188)+1)*AU188</f>
        <v>365</v>
      </c>
      <c r="AW188" s="1809">
        <f>AL188*(AW$2&lt;=YEAR($K188))+AV188*$AQ188*(AW$2=YEAR($K188)+1)+INDEX([11]核心假设及结论!$E$17:$E$21,MATCH($D188,[11]核心假设及结论!$B$17:$B$21,0))*(AW$2&gt;YEAR($K188)+1)*AV188</f>
        <v>395.42</v>
      </c>
      <c r="AX188" s="1811">
        <f>AM188*(AX$2&lt;=YEAR($K188))+AW188*$AQ188*(AX$2=YEAR($K188)+1)+INDEX([11]核心假设及结论!$E$17:$E$21,MATCH($D188,[11]核心假设及结论!$B$17:$B$21,0))*(AX$2&gt;YEAR($K188)+1)*AW188</f>
        <v>427.49554441610451</v>
      </c>
      <c r="AZ188" s="1746">
        <f t="shared" si="66"/>
        <v>47786</v>
      </c>
      <c r="BA188" s="1817">
        <f t="shared" si="67"/>
        <v>45658</v>
      </c>
      <c r="BB188" s="1817">
        <f t="shared" si="68"/>
        <v>45960</v>
      </c>
      <c r="BC188" s="1817">
        <f t="shared" si="69"/>
        <v>46022</v>
      </c>
      <c r="BD188" s="1818">
        <f t="shared" si="70"/>
        <v>303</v>
      </c>
      <c r="BE188" s="1818">
        <f t="shared" si="71"/>
        <v>62</v>
      </c>
      <c r="BG188" s="1777">
        <f t="shared" si="86"/>
        <v>73.498122936986292</v>
      </c>
      <c r="BH188" s="1777">
        <f t="shared" si="91"/>
        <v>79.49620800000001</v>
      </c>
      <c r="BI188" s="1777">
        <f t="shared" si="91"/>
        <v>80.72394253150685</v>
      </c>
      <c r="BJ188" s="1777">
        <f t="shared" si="91"/>
        <v>86.724000000000004</v>
      </c>
      <c r="BK188" s="1777">
        <f t="shared" si="90"/>
        <v>87.951734531506844</v>
      </c>
      <c r="BL188" s="1777">
        <f t="shared" si="90"/>
        <v>95.246343396993197</v>
      </c>
      <c r="BM188" s="1777">
        <f t="shared" si="90"/>
        <v>84.319455424766389</v>
      </c>
      <c r="BO188" s="1739">
        <f t="shared" si="72"/>
        <v>2030</v>
      </c>
      <c r="BP188" s="1742">
        <f>_xlfn.IFNA(INDEX($AR188:$AX188,MATCH(BO188,$AR$2:$AX$2,0))*12/365*[11]核心假设及结论!$C$70*$H188,0)</f>
        <v>77220.650958904109</v>
      </c>
      <c r="BR188" s="1739">
        <f t="shared" si="77"/>
        <v>2037</v>
      </c>
      <c r="BS188" s="1742">
        <f>_xlfn.IFNA(INDEX($AR188:$AX188,MATCH(BR188,$AR$2:$AX$2,0))*12/365*[11]核心假设及结论!$C$70*$H188,0)</f>
        <v>0</v>
      </c>
      <c r="BU188" s="1739">
        <f t="shared" si="78"/>
        <v>2044</v>
      </c>
      <c r="BV188" s="1742">
        <f>_xlfn.IFNA(INDEX($AR188:$AX188,MATCH(BU188,$AR$2:$AX$2,0))*12/365*[11]核心假设及结论!$C$70*$H188,0)</f>
        <v>0</v>
      </c>
      <c r="BX188" s="1739">
        <f t="shared" si="79"/>
        <v>2051</v>
      </c>
      <c r="BY188" s="1742">
        <f>_xlfn.IFNA(INDEX($AR188:$AX188,MATCH(BX188,$AR$2:$AX$2,0))*12/365*[11]核心假设及结论!$C$70*$H188,0)</f>
        <v>0</v>
      </c>
      <c r="CA188" s="1739">
        <f t="shared" si="80"/>
        <v>2058</v>
      </c>
      <c r="CB188" s="1742">
        <f>_xlfn.IFNA(INDEX($AR188:$AX188,MATCH(CA188,$AR$2:$AX$2,0))*12/365*[11]核心假设及结论!$C$70*$H188,0)</f>
        <v>0</v>
      </c>
    </row>
    <row r="189" spans="1:80" ht="30" customHeight="1">
      <c r="A189" s="1756" t="s">
        <v>1687</v>
      </c>
      <c r="B189" s="1757" t="s">
        <v>2068</v>
      </c>
      <c r="C189" s="1756" t="s">
        <v>2069</v>
      </c>
      <c r="D189" s="1756" t="s">
        <v>1698</v>
      </c>
      <c r="E189" s="1758" t="s">
        <v>1698</v>
      </c>
      <c r="F189" s="1759"/>
      <c r="G189" s="1760" t="s">
        <v>1661</v>
      </c>
      <c r="H189" s="1761">
        <v>197</v>
      </c>
      <c r="I189" s="1761" t="s">
        <v>1913</v>
      </c>
      <c r="J189" s="1773">
        <v>44886</v>
      </c>
      <c r="K189" s="1773">
        <v>45981</v>
      </c>
      <c r="L189" s="1764">
        <f t="shared" si="62"/>
        <v>36</v>
      </c>
      <c r="M189" s="1774">
        <f t="shared" si="73"/>
        <v>107229.07</v>
      </c>
      <c r="N189" s="1775">
        <f t="shared" si="74"/>
        <v>431.31000000000006</v>
      </c>
      <c r="O189" s="1760">
        <v>84968.07</v>
      </c>
      <c r="P189" s="1776">
        <v>0.11</v>
      </c>
      <c r="Q189" s="1783">
        <f t="shared" si="63"/>
        <v>95</v>
      </c>
      <c r="R189" s="1784">
        <v>18715</v>
      </c>
      <c r="S189" s="1777">
        <f t="shared" si="64"/>
        <v>18</v>
      </c>
      <c r="T189" s="1777">
        <v>3546</v>
      </c>
      <c r="U189" s="1777"/>
      <c r="V189" s="1785">
        <v>667026.62166666705</v>
      </c>
      <c r="W189" s="1785">
        <f t="shared" si="65"/>
        <v>3385.9219373942492</v>
      </c>
      <c r="X189" s="1786">
        <f t="shared" si="89"/>
        <v>0.15544067752638141</v>
      </c>
      <c r="Y189" s="1789">
        <f>VLOOKUP(E189,[11]核心假设及结论!$C$25:$E$45,3,0)</f>
        <v>0.2</v>
      </c>
      <c r="Z189" s="1790">
        <f t="shared" si="83"/>
        <v>89162.200000000012</v>
      </c>
      <c r="AA189" s="1790">
        <f t="shared" si="83"/>
        <v>0</v>
      </c>
      <c r="AB189" s="1790">
        <f t="shared" si="83"/>
        <v>0</v>
      </c>
      <c r="AC189" s="1790">
        <f t="shared" si="82"/>
        <v>0</v>
      </c>
      <c r="AD189" s="1790">
        <f t="shared" si="82"/>
        <v>0</v>
      </c>
      <c r="AE189" s="1790">
        <f t="shared" si="82"/>
        <v>0</v>
      </c>
      <c r="AF189" s="1790">
        <f t="shared" si="82"/>
        <v>0</v>
      </c>
      <c r="AG189" s="1794">
        <v>452.6</v>
      </c>
      <c r="AH189" s="1794">
        <v>0</v>
      </c>
      <c r="AI189" s="1794">
        <v>0</v>
      </c>
      <c r="AJ189" s="1794">
        <v>0</v>
      </c>
      <c r="AK189" s="1794">
        <v>0</v>
      </c>
      <c r="AL189" s="1794">
        <v>0</v>
      </c>
      <c r="AM189" s="1794">
        <v>0</v>
      </c>
      <c r="AN189" s="1795"/>
      <c r="AO189" s="1795"/>
      <c r="AP189" s="1808">
        <f t="shared" si="75"/>
        <v>0.77720338763190699</v>
      </c>
      <c r="AQ189" s="1812">
        <f>IF(AP189&gt;[11]核心假设及结论!$B$62,[11]核心假设及结论!$D$62,IF(AP189&lt;=[11]核心假设及结论!$B$61,[11]核心假设及结论!$D$60,[11]核心假设及结论!$D$61))</f>
        <v>1.0811176582269599</v>
      </c>
      <c r="AR189" s="1809">
        <f t="shared" si="76"/>
        <v>452.6</v>
      </c>
      <c r="AS189" s="1811">
        <f>AH189*(AS$2&lt;=YEAR($K189))+AR189*$AQ189*(AS$2=YEAR($K189)+1)+INDEX([11]核心假设及结论!$E$17:$E$21,MATCH($D189,[11]核心假设及结论!$B$17:$B$21,0))*(AS$2&gt;YEAR($K189)+1)*AR189</f>
        <v>489.3138521135221</v>
      </c>
      <c r="AT189" s="1809">
        <f>AI189*(AT$2&lt;=YEAR($K189))+AS189*$AQ189*(AT$2=YEAR($K189)+1)+INDEX([11]核心假设及结论!$E$17:$E$21,MATCH($D189,[11]核心假设及结论!$B$17:$B$21,0))*(AT$2&gt;YEAR($K189)+1)*AS189</f>
        <v>504.29537267396086</v>
      </c>
      <c r="AU189" s="1809">
        <f>AJ189*(AU$2&lt;=YEAR($K189))+AT189*$AQ189*(AU$2=YEAR($K189)+1)+INDEX([11]核心假设及结论!$E$17:$E$21,MATCH($D189,[11]核心假设及结论!$B$17:$B$21,0))*(AU$2&gt;YEAR($K189)+1)*AT189</f>
        <v>519.73558852236943</v>
      </c>
      <c r="AV189" s="1809">
        <f>AK189*(AV$2&lt;=YEAR($K189))+AU189*$AQ189*(AV$2=YEAR($K189)+1)+INDEX([11]核心假设及结论!$E$17:$E$21,MATCH($D189,[11]核心假设及结论!$B$17:$B$21,0))*(AV$2&gt;YEAR($K189)+1)*AU189</f>
        <v>535.64854371831825</v>
      </c>
      <c r="AW189" s="1809">
        <f>AL189*(AW$2&lt;=YEAR($K189))+AV189*$AQ189*(AW$2=YEAR($K189)+1)+INDEX([11]核心假设及结论!$E$17:$E$21,MATCH($D189,[11]核心假设及结论!$B$17:$B$21,0))*(AW$2&gt;YEAR($K189)+1)*AV189</f>
        <v>552.04871231404252</v>
      </c>
      <c r="AX189" s="1809">
        <f>AM189*(AX$2&lt;=YEAR($K189))+AW189*$AQ189*(AX$2=YEAR($K189)+1)+INDEX([11]核心假设及结论!$E$17:$E$21,MATCH($D189,[11]核心假设及结论!$B$17:$B$21,0))*(AX$2&gt;YEAR($K189)+1)*AW189</f>
        <v>568.95101151970198</v>
      </c>
      <c r="AZ189" s="1746">
        <f t="shared" si="66"/>
        <v>45981</v>
      </c>
      <c r="BA189" s="1817">
        <f t="shared" si="67"/>
        <v>45658</v>
      </c>
      <c r="BB189" s="1817">
        <f t="shared" si="68"/>
        <v>45981</v>
      </c>
      <c r="BC189" s="1817">
        <f t="shared" si="69"/>
        <v>46022</v>
      </c>
      <c r="BD189" s="1818">
        <f t="shared" si="70"/>
        <v>324</v>
      </c>
      <c r="BE189" s="1818">
        <f t="shared" si="71"/>
        <v>41</v>
      </c>
      <c r="BG189" s="1777">
        <f t="shared" si="86"/>
        <v>107.96955874034273</v>
      </c>
      <c r="BH189" s="1777">
        <f t="shared" si="91"/>
        <v>116.07162173519826</v>
      </c>
      <c r="BI189" s="1777">
        <f t="shared" si="91"/>
        <v>119.62543362913563</v>
      </c>
      <c r="BJ189" s="1777">
        <f t="shared" si="91"/>
        <v>123.2880540224175</v>
      </c>
      <c r="BK189" s="1777">
        <f t="shared" si="90"/>
        <v>127.06281434897534</v>
      </c>
      <c r="BL189" s="1777">
        <f t="shared" si="90"/>
        <v>130.95314804260386</v>
      </c>
      <c r="BM189" s="1777">
        <f t="shared" si="90"/>
        <v>119.39179779708338</v>
      </c>
      <c r="BO189" s="1739">
        <f t="shared" si="72"/>
        <v>2025</v>
      </c>
      <c r="BP189" s="1742">
        <f>_xlfn.IFNA(INDEX($AR189:$AX189,MATCH(BO189,$AR$2:$AX$2,0))*12/365*[11]核心假设及结论!$C$70*$H189,0)</f>
        <v>87940.800000000017</v>
      </c>
      <c r="BR189" s="1739">
        <f t="shared" si="77"/>
        <v>2028</v>
      </c>
      <c r="BS189" s="1742">
        <f>_xlfn.IFNA(INDEX($AR189:$AX189,MATCH(BR189,$AR$2:$AX$2,0))*12/365*[11]核心假设及结论!$C$70*$H189,0)</f>
        <v>100985.33681645598</v>
      </c>
      <c r="BU189" s="1739">
        <f t="shared" si="78"/>
        <v>2031</v>
      </c>
      <c r="BV189" s="1742">
        <f>_xlfn.IFNA(INDEX($AR189:$AX189,MATCH(BU189,$AR$2:$AX$2,0))*12/365*[11]核心假设及结论!$C$70*$H189,0)</f>
        <v>110547.96092322539</v>
      </c>
      <c r="BX189" s="1739">
        <f t="shared" si="79"/>
        <v>2034</v>
      </c>
      <c r="BY189" s="1742">
        <f>_xlfn.IFNA(INDEX($AR189:$AX189,MATCH(BX189,$AR$2:$AX$2,0))*12/365*[11]核心假设及结论!$C$70*$H189,0)</f>
        <v>0</v>
      </c>
      <c r="CA189" s="1739">
        <f t="shared" si="80"/>
        <v>2037</v>
      </c>
      <c r="CB189" s="1742">
        <f>_xlfn.IFNA(INDEX($AR189:$AX189,MATCH(CA189,$AR$2:$AX$2,0))*12/365*[11]核心假设及结论!$C$70*$H189,0)</f>
        <v>0</v>
      </c>
    </row>
    <row r="190" spans="1:80" ht="30" customHeight="1">
      <c r="A190" s="1756" t="s">
        <v>1666</v>
      </c>
      <c r="B190" s="1757" t="s">
        <v>2070</v>
      </c>
      <c r="C190" s="1756" t="s">
        <v>2071</v>
      </c>
      <c r="D190" s="1756" t="s">
        <v>1685</v>
      </c>
      <c r="E190" s="1758" t="s">
        <v>1692</v>
      </c>
      <c r="F190" s="1759"/>
      <c r="G190" s="1760" t="s">
        <v>1661</v>
      </c>
      <c r="H190" s="1761">
        <v>197</v>
      </c>
      <c r="I190" s="1761" t="s">
        <v>1913</v>
      </c>
      <c r="J190" s="1773">
        <v>45101</v>
      </c>
      <c r="K190" s="1773">
        <v>46196</v>
      </c>
      <c r="L190" s="1764">
        <f t="shared" si="62"/>
        <v>36</v>
      </c>
      <c r="M190" s="1774">
        <f t="shared" si="73"/>
        <v>106127.84</v>
      </c>
      <c r="N190" s="1775">
        <f t="shared" si="74"/>
        <v>425.71999999999997</v>
      </c>
      <c r="O190" s="1760">
        <v>83866.84</v>
      </c>
      <c r="P190" s="1776">
        <v>0.17</v>
      </c>
      <c r="Q190" s="1783">
        <f t="shared" si="63"/>
        <v>95</v>
      </c>
      <c r="R190" s="1784">
        <v>18715</v>
      </c>
      <c r="S190" s="1777">
        <f t="shared" si="64"/>
        <v>18</v>
      </c>
      <c r="T190" s="1784">
        <v>3546</v>
      </c>
      <c r="U190" s="1777"/>
      <c r="V190" s="1785">
        <v>393197.23166666698</v>
      </c>
      <c r="W190" s="1785">
        <f t="shared" si="65"/>
        <v>1995.925033840949</v>
      </c>
      <c r="X190" s="1786">
        <f t="shared" si="89"/>
        <v>0.26089156214345827</v>
      </c>
      <c r="Y190" s="1789">
        <f>VLOOKUP(E190,[11]核心假设及结论!$C$25:$E$45,3,0)</f>
        <v>0.2</v>
      </c>
      <c r="Z190" s="1790">
        <f t="shared" si="83"/>
        <v>83866.840000000011</v>
      </c>
      <c r="AA190" s="1790">
        <f t="shared" si="83"/>
        <v>89906.86</v>
      </c>
      <c r="AB190" s="1790">
        <f t="shared" si="83"/>
        <v>0</v>
      </c>
      <c r="AC190" s="1790">
        <f t="shared" si="82"/>
        <v>0</v>
      </c>
      <c r="AD190" s="1790">
        <f t="shared" si="82"/>
        <v>0</v>
      </c>
      <c r="AE190" s="1790">
        <f t="shared" si="82"/>
        <v>0</v>
      </c>
      <c r="AF190" s="1790">
        <f t="shared" si="82"/>
        <v>0</v>
      </c>
      <c r="AG190" s="1794">
        <v>425.72</v>
      </c>
      <c r="AH190" s="1794">
        <v>456.38</v>
      </c>
      <c r="AI190" s="1794">
        <v>0</v>
      </c>
      <c r="AJ190" s="1794">
        <v>0</v>
      </c>
      <c r="AK190" s="1794">
        <v>0</v>
      </c>
      <c r="AL190" s="1794">
        <v>0</v>
      </c>
      <c r="AM190" s="1794">
        <v>0</v>
      </c>
      <c r="AN190" s="1797"/>
      <c r="AO190" s="1797"/>
      <c r="AP190" s="1808">
        <f t="shared" si="75"/>
        <v>1.3044578107172913</v>
      </c>
      <c r="AQ190" s="1810">
        <f>IF(AP190&gt;[11]核心假设及结论!$B$59,[11]核心假设及结论!$D$59,IF(AP190&lt;=[11]核心假设及结论!$B$58,[11]核心假设及结论!$D$57,[11]核心假设及结论!$D$58))</f>
        <v>1.0069999999999999</v>
      </c>
      <c r="AR190" s="1809">
        <f t="shared" si="76"/>
        <v>425.72</v>
      </c>
      <c r="AS190" s="1809">
        <f>AH190*(AS$2&lt;=YEAR($K190))+AR190*$AQ190*(AS$2=YEAR($K190)+1)+INDEX([11]核心假设及结论!$E$17:$E$21,MATCH($D190,[11]核心假设及结论!$B$17:$B$21,0))*(AS$2&gt;YEAR($K190)+1)*AR190</f>
        <v>456.38</v>
      </c>
      <c r="AT190" s="1811">
        <f>AI190*(AT$2&lt;=YEAR($K190))+AS190*$AQ190*(AT$2=YEAR($K190)+1)+INDEX([11]核心假设及结论!$E$17:$E$21,MATCH($D190,[11]核心假设及结论!$B$17:$B$21,0))*(AT$2&gt;YEAR($K190)+1)*AS190</f>
        <v>459.57465999999994</v>
      </c>
      <c r="AU190" s="1809">
        <f>AJ190*(AU$2&lt;=YEAR($K190))+AT190*$AQ190*(AU$2=YEAR($K190)+1)+INDEX([11]核心假设及结论!$E$17:$E$21,MATCH($D190,[11]核心假设及结论!$B$17:$B$21,0))*(AU$2&gt;YEAR($K190)+1)*AT190</f>
        <v>472.01740999932076</v>
      </c>
      <c r="AV190" s="1809">
        <f>AK190*(AV$2&lt;=YEAR($K190))+AU190*$AQ190*(AV$2=YEAR($K190)+1)+INDEX([11]核心假设及结论!$E$17:$E$21,MATCH($D190,[11]核心假设及结论!$B$17:$B$21,0))*(AV$2&gt;YEAR($K190)+1)*AU190</f>
        <v>484.7970411216034</v>
      </c>
      <c r="AW190" s="1809">
        <f>AL190*(AW$2&lt;=YEAR($K190))+AV190*$AQ190*(AW$2=YEAR($K190)+1)+INDEX([11]核心假设及结论!$E$17:$E$21,MATCH($D190,[11]核心假设及结论!$B$17:$B$21,0))*(AW$2&gt;YEAR($K190)+1)*AV190</f>
        <v>497.92267425178198</v>
      </c>
      <c r="AX190" s="1809">
        <f>AM190*(AX$2&lt;=YEAR($K190))+AW190*$AQ190*(AX$2=YEAR($K190)+1)+INDEX([11]核心假设及结论!$E$17:$E$21,MATCH($D190,[11]核心假设及结论!$B$17:$B$21,0))*(AX$2&gt;YEAR($K190)+1)*AW190</f>
        <v>511.40367721810776</v>
      </c>
      <c r="AZ190" s="1746">
        <f t="shared" si="66"/>
        <v>46196</v>
      </c>
      <c r="BA190" s="1817">
        <f t="shared" si="67"/>
        <v>45658</v>
      </c>
      <c r="BB190" s="1817">
        <f t="shared" si="68"/>
        <v>45831</v>
      </c>
      <c r="BC190" s="1817">
        <f t="shared" si="69"/>
        <v>46022</v>
      </c>
      <c r="BD190" s="1818">
        <f t="shared" si="70"/>
        <v>174</v>
      </c>
      <c r="BE190" s="1818">
        <f t="shared" si="71"/>
        <v>191</v>
      </c>
      <c r="BG190" s="1777">
        <f t="shared" si="86"/>
        <v>104.43300960000002</v>
      </c>
      <c r="BH190" s="1777">
        <f t="shared" si="91"/>
        <v>108.28342807173696</v>
      </c>
      <c r="BI190" s="1777">
        <f t="shared" si="91"/>
        <v>110.1826825693954</v>
      </c>
      <c r="BJ190" s="1777">
        <f t="shared" si="91"/>
        <v>113.16582261777302</v>
      </c>
      <c r="BK190" s="1777">
        <f t="shared" si="90"/>
        <v>116.22972966456369</v>
      </c>
      <c r="BL190" s="1777">
        <f t="shared" si="90"/>
        <v>119.37659043513969</v>
      </c>
      <c r="BM190" s="1777">
        <f t="shared" si="90"/>
        <v>57.632532321147281</v>
      </c>
      <c r="BO190" s="1739">
        <f t="shared" si="72"/>
        <v>2026</v>
      </c>
      <c r="BP190" s="1742">
        <f>_xlfn.IFNA(INDEX($AR190:$AX190,MATCH(BO190,$AR$2:$AX$2,0))*12/365*[11]核心假设及结论!$C$70*$H190,0)</f>
        <v>88675.259178082197</v>
      </c>
      <c r="BR190" s="1739">
        <f t="shared" si="77"/>
        <v>2029</v>
      </c>
      <c r="BS190" s="1742">
        <f>_xlfn.IFNA(INDEX($AR190:$AX190,MATCH(BR190,$AR$2:$AX$2,0))*12/365*[11]核心假设及结论!$C$70*$H190,0)</f>
        <v>94196.72919546334</v>
      </c>
      <c r="BU190" s="1739">
        <f t="shared" si="78"/>
        <v>2032</v>
      </c>
      <c r="BV190" s="1742">
        <f>_xlfn.IFNA(INDEX($AR190:$AX190,MATCH(BU190,$AR$2:$AX$2,0))*12/365*[11]核心假设及结论!$C$70*$H190,0)</f>
        <v>0</v>
      </c>
      <c r="BX190" s="1739">
        <f t="shared" si="79"/>
        <v>2035</v>
      </c>
      <c r="BY190" s="1742">
        <f>_xlfn.IFNA(INDEX($AR190:$AX190,MATCH(BX190,$AR$2:$AX$2,0))*12/365*[11]核心假设及结论!$C$70*$H190,0)</f>
        <v>0</v>
      </c>
      <c r="CA190" s="1739">
        <f t="shared" si="80"/>
        <v>2038</v>
      </c>
      <c r="CB190" s="1742">
        <f>_xlfn.IFNA(INDEX($AR190:$AX190,MATCH(CA190,$AR$2:$AX$2,0))*12/365*[11]核心假设及结论!$C$70*$H190,0)</f>
        <v>0</v>
      </c>
    </row>
    <row r="191" spans="1:80" ht="30" customHeight="1">
      <c r="A191" s="1756" t="s">
        <v>1662</v>
      </c>
      <c r="B191" s="1757" t="s">
        <v>2072</v>
      </c>
      <c r="C191" s="1756" t="s">
        <v>2073</v>
      </c>
      <c r="D191" s="1756" t="s">
        <v>1685</v>
      </c>
      <c r="E191" s="1758" t="s">
        <v>1871</v>
      </c>
      <c r="F191" s="1759"/>
      <c r="G191" s="1760" t="s">
        <v>1661</v>
      </c>
      <c r="H191" s="1761">
        <v>195</v>
      </c>
      <c r="I191" s="1761" t="s">
        <v>1913</v>
      </c>
      <c r="J191" s="1773">
        <v>44986</v>
      </c>
      <c r="K191" s="1773">
        <v>46081</v>
      </c>
      <c r="L191" s="1764">
        <f t="shared" si="62"/>
        <v>36</v>
      </c>
      <c r="M191" s="1774">
        <f t="shared" si="73"/>
        <v>186956.25</v>
      </c>
      <c r="N191" s="1775">
        <f t="shared" si="74"/>
        <v>845.75</v>
      </c>
      <c r="O191" s="1760">
        <v>164921.25</v>
      </c>
      <c r="P191" s="1776">
        <v>0.11</v>
      </c>
      <c r="Q191" s="1783">
        <f t="shared" si="63"/>
        <v>95</v>
      </c>
      <c r="R191" s="1784">
        <v>18525</v>
      </c>
      <c r="S191" s="1777">
        <f t="shared" si="64"/>
        <v>18</v>
      </c>
      <c r="T191" s="1784">
        <v>3510</v>
      </c>
      <c r="U191" s="1777"/>
      <c r="V191" s="1785">
        <v>1321775</v>
      </c>
      <c r="W191" s="1785">
        <f t="shared" si="65"/>
        <v>6778.333333333333</v>
      </c>
      <c r="X191" s="1786">
        <f t="shared" si="89"/>
        <v>0.13878780427833784</v>
      </c>
      <c r="Y191" s="1789">
        <f>VLOOKUP(E191,[11]核心假设及结论!$C$25:$E$45,3,0)</f>
        <v>0.2</v>
      </c>
      <c r="Z191" s="1790">
        <f t="shared" si="83"/>
        <v>164921.25</v>
      </c>
      <c r="AA191" s="1790">
        <f t="shared" si="83"/>
        <v>169868.4</v>
      </c>
      <c r="AB191" s="1790">
        <f t="shared" si="83"/>
        <v>0</v>
      </c>
      <c r="AC191" s="1790">
        <f t="shared" si="82"/>
        <v>0</v>
      </c>
      <c r="AD191" s="1790">
        <f t="shared" si="82"/>
        <v>0</v>
      </c>
      <c r="AE191" s="1790">
        <f t="shared" si="82"/>
        <v>0</v>
      </c>
      <c r="AF191" s="1790">
        <f t="shared" si="82"/>
        <v>0</v>
      </c>
      <c r="AG191" s="1794">
        <v>845.75</v>
      </c>
      <c r="AH191" s="1794">
        <v>871.12</v>
      </c>
      <c r="AI191" s="1794">
        <v>0</v>
      </c>
      <c r="AJ191" s="1794">
        <v>0</v>
      </c>
      <c r="AK191" s="1794">
        <v>0</v>
      </c>
      <c r="AL191" s="1794">
        <v>0</v>
      </c>
      <c r="AM191" s="1794">
        <v>0</v>
      </c>
      <c r="AN191" s="1796"/>
      <c r="AO191" s="1796"/>
      <c r="AP191" s="1808">
        <f t="shared" si="75"/>
        <v>0.69393902139168917</v>
      </c>
      <c r="AQ191" s="1810">
        <f>IF(AP191&gt;[11]核心假设及结论!$B$59,[11]核心假设及结论!$D$59,IF(AP191&lt;=[11]核心假设及结论!$B$58,[11]核心假设及结论!$D$57,[11]核心假设及结论!$D$58))</f>
        <v>1.0342640124442799</v>
      </c>
      <c r="AR191" s="1809">
        <f t="shared" si="76"/>
        <v>845.75</v>
      </c>
      <c r="AS191" s="1809">
        <f>AH191*(AS$2&lt;=YEAR($K191))+AR191*$AQ191*(AS$2=YEAR($K191)+1)+INDEX([11]核心假设及结论!$E$17:$E$21,MATCH($D191,[11]核心假设及结论!$B$17:$B$21,0))*(AS$2&gt;YEAR($K191)+1)*AR191</f>
        <v>871.12</v>
      </c>
      <c r="AT191" s="1811">
        <f>AI191*(AT$2&lt;=YEAR($K191))+AS191*$AQ191*(AT$2=YEAR($K191)+1)+INDEX([11]核心假设及结论!$E$17:$E$21,MATCH($D191,[11]核心假设及结论!$B$17:$B$21,0))*(AT$2&gt;YEAR($K191)+1)*AS191</f>
        <v>900.96806652046109</v>
      </c>
      <c r="AU191" s="1809">
        <f>AJ191*(AU$2&lt;=YEAR($K191))+AT191*$AQ191*(AU$2=YEAR($K191)+1)+INDEX([11]核心假设及结论!$E$17:$E$21,MATCH($D191,[11]核心假设及结论!$B$17:$B$21,0))*(AU$2&gt;YEAR($K191)+1)*AT191</f>
        <v>925.36131833527077</v>
      </c>
      <c r="AV191" s="1809">
        <f>AK191*(AV$2&lt;=YEAR($K191))+AU191*$AQ191*(AV$2=YEAR($K191)+1)+INDEX([11]核心假设及结论!$E$17:$E$21,MATCH($D191,[11]核心假设及结论!$B$17:$B$21,0))*(AV$2&gt;YEAR($K191)+1)*AU191</f>
        <v>950.41500502697761</v>
      </c>
      <c r="AW191" s="1809">
        <f>AL191*(AW$2&lt;=YEAR($K191))+AV191*$AQ191*(AW$2=YEAR($K191)+1)+INDEX([11]核心假设及结论!$E$17:$E$21,MATCH($D191,[11]核心假设及结论!$B$17:$B$21,0))*(AW$2&gt;YEAR($K191)+1)*AV191</f>
        <v>976.14700753371699</v>
      </c>
      <c r="AX191" s="1809">
        <f>AM191*(AX$2&lt;=YEAR($K191))+AW191*$AQ191*(AX$2=YEAR($K191)+1)+INDEX([11]核心假设及结论!$E$17:$E$21,MATCH($D191,[11]核心假设及结论!$B$17:$B$21,0))*(AX$2&gt;YEAR($K191)+1)*AW191</f>
        <v>1002.5756909109231</v>
      </c>
      <c r="AZ191" s="1746">
        <f t="shared" si="66"/>
        <v>46081</v>
      </c>
      <c r="BA191" s="1817">
        <f t="shared" si="67"/>
        <v>45658</v>
      </c>
      <c r="BB191" s="1817">
        <f t="shared" si="68"/>
        <v>45716</v>
      </c>
      <c r="BC191" s="1817">
        <f t="shared" si="69"/>
        <v>46022</v>
      </c>
      <c r="BD191" s="1818">
        <f t="shared" si="70"/>
        <v>59</v>
      </c>
      <c r="BE191" s="1818">
        <f t="shared" si="71"/>
        <v>306</v>
      </c>
      <c r="BG191" s="1777">
        <f t="shared" si="86"/>
        <v>202.88246843835617</v>
      </c>
      <c r="BH191" s="1777">
        <f t="shared" si="91"/>
        <v>209.69753467159202</v>
      </c>
      <c r="BI191" s="1777">
        <f t="shared" si="91"/>
        <v>215.61188209441156</v>
      </c>
      <c r="BJ191" s="1777">
        <f t="shared" si="91"/>
        <v>221.44946405722862</v>
      </c>
      <c r="BK191" s="1777">
        <f t="shared" si="90"/>
        <v>227.44509558040198</v>
      </c>
      <c r="BL191" s="1777">
        <f t="shared" si="90"/>
        <v>233.60305577533214</v>
      </c>
      <c r="BM191" s="1777">
        <f t="shared" si="90"/>
        <v>37.92208216086631</v>
      </c>
      <c r="BO191" s="1739">
        <f t="shared" si="72"/>
        <v>2026</v>
      </c>
      <c r="BP191" s="1742">
        <f>_xlfn.IFNA(INDEX($AR191:$AX191,MATCH(BO191,$AR$2:$AX$2,0))*12/365*[11]核心假设及结论!$C$70*$H191,0)</f>
        <v>167541.43561643834</v>
      </c>
      <c r="BR191" s="1739">
        <f t="shared" si="77"/>
        <v>2029</v>
      </c>
      <c r="BS191" s="1742">
        <f>_xlfn.IFNA(INDEX($AR191:$AX191,MATCH(BR191,$AR$2:$AX$2,0))*12/365*[11]核心假设及结论!$C$70*$H191,0)</f>
        <v>182792.14617231186</v>
      </c>
      <c r="BU191" s="1739">
        <f t="shared" si="78"/>
        <v>2032</v>
      </c>
      <c r="BV191" s="1742">
        <f>_xlfn.IFNA(INDEX($AR191:$AX191,MATCH(BU191,$AR$2:$AX$2,0))*12/365*[11]核心假设及结论!$C$70*$H191,0)</f>
        <v>0</v>
      </c>
      <c r="BX191" s="1739">
        <f t="shared" si="79"/>
        <v>2035</v>
      </c>
      <c r="BY191" s="1742">
        <f>_xlfn.IFNA(INDEX($AR191:$AX191,MATCH(BX191,$AR$2:$AX$2,0))*12/365*[11]核心假设及结论!$C$70*$H191,0)</f>
        <v>0</v>
      </c>
      <c r="CA191" s="1739">
        <f t="shared" si="80"/>
        <v>2038</v>
      </c>
      <c r="CB191" s="1742">
        <f>_xlfn.IFNA(INDEX($AR191:$AX191,MATCH(CA191,$AR$2:$AX$2,0))*12/365*[11]核心假设及结论!$C$70*$H191,0)</f>
        <v>0</v>
      </c>
    </row>
    <row r="192" spans="1:80" ht="30" customHeight="1">
      <c r="A192" s="1756" t="s">
        <v>1662</v>
      </c>
      <c r="B192" s="1757" t="s">
        <v>2074</v>
      </c>
      <c r="C192" s="1756" t="s">
        <v>2075</v>
      </c>
      <c r="D192" s="1756" t="s">
        <v>1698</v>
      </c>
      <c r="E192" s="1758" t="s">
        <v>1698</v>
      </c>
      <c r="F192" s="1762"/>
      <c r="G192" s="1763" t="s">
        <v>1682</v>
      </c>
      <c r="H192" s="1761">
        <v>195</v>
      </c>
      <c r="I192" s="1761" t="s">
        <v>1913</v>
      </c>
      <c r="J192" s="1773">
        <v>44895</v>
      </c>
      <c r="K192" s="1773">
        <v>47816</v>
      </c>
      <c r="L192" s="1764">
        <f t="shared" si="62"/>
        <v>96</v>
      </c>
      <c r="M192" s="1774">
        <f t="shared" si="73"/>
        <v>133705.65</v>
      </c>
      <c r="N192" s="1775">
        <f t="shared" si="74"/>
        <v>578.06999999999994</v>
      </c>
      <c r="O192" s="1760">
        <v>112723.65</v>
      </c>
      <c r="P192" s="1776">
        <v>0</v>
      </c>
      <c r="Q192" s="1783">
        <f t="shared" si="63"/>
        <v>95</v>
      </c>
      <c r="R192" s="1784">
        <v>18525</v>
      </c>
      <c r="S192" s="1777">
        <f t="shared" si="64"/>
        <v>12.6</v>
      </c>
      <c r="T192" s="1784">
        <v>2457</v>
      </c>
      <c r="U192" s="1777"/>
      <c r="V192" s="1785">
        <v>643365.70083333296</v>
      </c>
      <c r="W192" s="1785">
        <f t="shared" si="65"/>
        <v>3299.3112863247843</v>
      </c>
      <c r="X192" s="1786">
        <f t="shared" si="89"/>
        <v>0.20400318175183635</v>
      </c>
      <c r="Y192" s="1789">
        <f>VLOOKUP(E192,[11]核心假设及结论!$C$25:$E$45,3,0)</f>
        <v>0.2</v>
      </c>
      <c r="Z192" s="1790">
        <f t="shared" si="83"/>
        <v>115650.6</v>
      </c>
      <c r="AA192" s="1790">
        <f t="shared" si="83"/>
        <v>118639.95</v>
      </c>
      <c r="AB192" s="1790">
        <f t="shared" si="83"/>
        <v>124556.25</v>
      </c>
      <c r="AC192" s="1790">
        <f t="shared" si="82"/>
        <v>130472.55</v>
      </c>
      <c r="AD192" s="1790">
        <f t="shared" si="82"/>
        <v>136390.80000000002</v>
      </c>
      <c r="AE192" s="1790">
        <f t="shared" si="82"/>
        <v>142369.5</v>
      </c>
      <c r="AF192" s="1790">
        <f t="shared" si="82"/>
        <v>0</v>
      </c>
      <c r="AG192" s="1794">
        <v>593.08000000000004</v>
      </c>
      <c r="AH192" s="1794">
        <v>608.41</v>
      </c>
      <c r="AI192" s="1794">
        <v>638.75</v>
      </c>
      <c r="AJ192" s="1794">
        <v>669.09</v>
      </c>
      <c r="AK192" s="1794">
        <v>699.44</v>
      </c>
      <c r="AL192" s="1794">
        <v>730.1</v>
      </c>
      <c r="AM192" s="1794">
        <v>0</v>
      </c>
      <c r="AN192" s="1797"/>
      <c r="AO192" s="1797"/>
      <c r="AP192" s="1808">
        <f t="shared" si="75"/>
        <v>1.0200159087591816</v>
      </c>
      <c r="AQ192" s="1812">
        <f>IF(AP192&gt;[11]核心假设及结论!$B$62,[11]核心假设及结论!$D$62,IF(AP192&lt;=[11]核心假设及结论!$B$61,[11]核心假设及结论!$D$60,[11]核心假设及结论!$D$61))</f>
        <v>1.0489999999999999</v>
      </c>
      <c r="AR192" s="1809">
        <f t="shared" si="76"/>
        <v>593.08000000000004</v>
      </c>
      <c r="AS192" s="1809">
        <f>AH192*(AS$2&lt;=YEAR($K192))+AR192*$AQ192*(AS$2=YEAR($K192)+1)+INDEX([11]核心假设及结论!$E$17:$E$21,MATCH($D192,[11]核心假设及结论!$B$17:$B$21,0))*(AS$2&gt;YEAR($K192)+1)*AR192</f>
        <v>608.41</v>
      </c>
      <c r="AT192" s="1809">
        <f>AI192*(AT$2&lt;=YEAR($K192))+AS192*$AQ192*(AT$2=YEAR($K192)+1)+INDEX([11]核心假设及结论!$E$17:$E$21,MATCH($D192,[11]核心假设及结论!$B$17:$B$21,0))*(AT$2&gt;YEAR($K192)+1)*AS192</f>
        <v>638.75</v>
      </c>
      <c r="AU192" s="1809">
        <f>AJ192*(AU$2&lt;=YEAR($K192))+AT192*$AQ192*(AU$2=YEAR($K192)+1)+INDEX([11]核心假设及结论!$E$17:$E$21,MATCH($D192,[11]核心假设及结论!$B$17:$B$21,0))*(AU$2&gt;YEAR($K192)+1)*AT192</f>
        <v>669.09</v>
      </c>
      <c r="AV192" s="1809">
        <f>AK192*(AV$2&lt;=YEAR($K192))+AU192*$AQ192*(AV$2=YEAR($K192)+1)+INDEX([11]核心假设及结论!$E$17:$E$21,MATCH($D192,[11]核心假设及结论!$B$17:$B$21,0))*(AV$2&gt;YEAR($K192)+1)*AU192</f>
        <v>699.44</v>
      </c>
      <c r="AW192" s="1809">
        <f>AL192*(AW$2&lt;=YEAR($K192))+AV192*$AQ192*(AW$2=YEAR($K192)+1)+INDEX([11]核心假设及结论!$E$17:$E$21,MATCH($D192,[11]核心假设及结论!$B$17:$B$21,0))*(AW$2&gt;YEAR($K192)+1)*AV192</f>
        <v>730.1</v>
      </c>
      <c r="AX192" s="1811">
        <f>AM192*(AX$2&lt;=YEAR($K192))+AW192*$AQ192*(AX$2=YEAR($K192)+1)+INDEX([11]核心假设及结论!$E$17:$E$21,MATCH($D192,[11]核心假设及结论!$B$17:$B$21,0))*(AX$2&gt;YEAR($K192)+1)*AW192</f>
        <v>765.87490000000003</v>
      </c>
      <c r="AZ192" s="1746">
        <f t="shared" si="66"/>
        <v>47816</v>
      </c>
      <c r="BA192" s="1817">
        <f t="shared" si="67"/>
        <v>45658</v>
      </c>
      <c r="BB192" s="1817">
        <f t="shared" si="68"/>
        <v>45990</v>
      </c>
      <c r="BC192" s="1817">
        <f t="shared" si="69"/>
        <v>46022</v>
      </c>
      <c r="BD192" s="1818">
        <f t="shared" si="70"/>
        <v>333</v>
      </c>
      <c r="BE192" s="1818">
        <f t="shared" si="71"/>
        <v>32</v>
      </c>
      <c r="BG192" s="1777">
        <f t="shared" si="86"/>
        <v>139.09521599999999</v>
      </c>
      <c r="BH192" s="1777">
        <f t="shared" si="91"/>
        <v>142.99036717808221</v>
      </c>
      <c r="BI192" s="1777">
        <f t="shared" si="91"/>
        <v>150.08992717808221</v>
      </c>
      <c r="BJ192" s="1777">
        <f t="shared" si="91"/>
        <v>157.18969232876711</v>
      </c>
      <c r="BK192" s="1777">
        <f t="shared" si="90"/>
        <v>164.29795200000001</v>
      </c>
      <c r="BL192" s="1777">
        <f t="shared" si="90"/>
        <v>171.57732452383564</v>
      </c>
      <c r="BM192" s="1777">
        <f t="shared" si="90"/>
        <v>163.50275056931508</v>
      </c>
      <c r="BO192" s="1739">
        <f t="shared" si="72"/>
        <v>2030</v>
      </c>
      <c r="BP192" s="1742">
        <f>_xlfn.IFNA(INDEX($AR192:$AX192,MATCH(BO192,$AR$2:$AX$2,0))*12/365*[11]核心假设及结论!$C$70*$H192,0)</f>
        <v>140419.23287671234</v>
      </c>
      <c r="BR192" s="1739">
        <f t="shared" si="77"/>
        <v>2038</v>
      </c>
      <c r="BS192" s="1742">
        <f>_xlfn.IFNA(INDEX($AR192:$AX192,MATCH(BR192,$AR$2:$AX$2,0))*12/365*[11]核心假设及结论!$C$70*$H192,0)</f>
        <v>0</v>
      </c>
      <c r="BU192" s="1739">
        <f t="shared" si="78"/>
        <v>2046</v>
      </c>
      <c r="BV192" s="1742">
        <f>_xlfn.IFNA(INDEX($AR192:$AX192,MATCH(BU192,$AR$2:$AX$2,0))*12/365*[11]核心假设及结论!$C$70*$H192,0)</f>
        <v>0</v>
      </c>
      <c r="BX192" s="1739">
        <f t="shared" si="79"/>
        <v>2054</v>
      </c>
      <c r="BY192" s="1742">
        <f>_xlfn.IFNA(INDEX($AR192:$AX192,MATCH(BX192,$AR$2:$AX$2,0))*12/365*[11]核心假设及结论!$C$70*$H192,0)</f>
        <v>0</v>
      </c>
      <c r="CA192" s="1739">
        <f t="shared" si="80"/>
        <v>2062</v>
      </c>
      <c r="CB192" s="1742">
        <f>_xlfn.IFNA(INDEX($AR192:$AX192,MATCH(CA192,$AR$2:$AX$2,0))*12/365*[11]核心假设及结论!$C$70*$H192,0)</f>
        <v>0</v>
      </c>
    </row>
    <row r="193" spans="1:80" ht="30" customHeight="1">
      <c r="A193" s="1756" t="s">
        <v>1662</v>
      </c>
      <c r="B193" s="1757" t="s">
        <v>2076</v>
      </c>
      <c r="C193" s="1756" t="s">
        <v>2077</v>
      </c>
      <c r="D193" s="1756" t="s">
        <v>1685</v>
      </c>
      <c r="E193" s="1758" t="s">
        <v>1692</v>
      </c>
      <c r="F193" s="1759"/>
      <c r="G193" s="1760" t="s">
        <v>1661</v>
      </c>
      <c r="H193" s="1761">
        <v>194</v>
      </c>
      <c r="I193" s="1761" t="s">
        <v>1913</v>
      </c>
      <c r="J193" s="1773">
        <v>45077</v>
      </c>
      <c r="K193" s="1773">
        <v>46172</v>
      </c>
      <c r="L193" s="1764">
        <f t="shared" si="62"/>
        <v>36</v>
      </c>
      <c r="M193" s="1774">
        <f t="shared" si="73"/>
        <v>164426.64000000001</v>
      </c>
      <c r="N193" s="1775">
        <f t="shared" si="74"/>
        <v>734.56000000000006</v>
      </c>
      <c r="O193" s="1760">
        <v>142504.64000000001</v>
      </c>
      <c r="P193" s="1776">
        <v>0.18</v>
      </c>
      <c r="Q193" s="1783">
        <f t="shared" si="63"/>
        <v>95</v>
      </c>
      <c r="R193" s="1784">
        <v>18430</v>
      </c>
      <c r="S193" s="1777">
        <f t="shared" si="64"/>
        <v>18</v>
      </c>
      <c r="T193" s="1784">
        <v>3492</v>
      </c>
      <c r="U193" s="1777"/>
      <c r="V193" s="1785">
        <v>418696.75</v>
      </c>
      <c r="W193" s="1785">
        <f t="shared" si="65"/>
        <v>2158.230670103093</v>
      </c>
      <c r="X193" s="1786">
        <f>(N193+Q193+S193)*H193/V193</f>
        <v>0.39271057155327815</v>
      </c>
      <c r="Y193" s="1789">
        <f>VLOOKUP(E193,[11]核心假设及结论!$C$25:$E$45,3,0)</f>
        <v>0.2</v>
      </c>
      <c r="Z193" s="1790">
        <f t="shared" si="83"/>
        <v>142504.63999999998</v>
      </c>
      <c r="AA193" s="1790">
        <f t="shared" si="83"/>
        <v>149630.25999999998</v>
      </c>
      <c r="AB193" s="1790">
        <f t="shared" si="83"/>
        <v>0</v>
      </c>
      <c r="AC193" s="1790">
        <f t="shared" si="82"/>
        <v>0</v>
      </c>
      <c r="AD193" s="1790">
        <f t="shared" si="82"/>
        <v>0</v>
      </c>
      <c r="AE193" s="1790">
        <f t="shared" si="82"/>
        <v>0</v>
      </c>
      <c r="AF193" s="1790">
        <f t="shared" si="82"/>
        <v>0</v>
      </c>
      <c r="AG193" s="1794">
        <v>734.56</v>
      </c>
      <c r="AH193" s="1794">
        <v>771.29</v>
      </c>
      <c r="AI193" s="1794">
        <v>0</v>
      </c>
      <c r="AJ193" s="1794">
        <v>0</v>
      </c>
      <c r="AK193" s="1794">
        <v>0</v>
      </c>
      <c r="AL193" s="1794">
        <v>0</v>
      </c>
      <c r="AM193" s="1794">
        <v>0</v>
      </c>
      <c r="AN193" s="1797"/>
      <c r="AO193" s="1797"/>
      <c r="AP193" s="1808">
        <f t="shared" si="75"/>
        <v>1.9635528577663908</v>
      </c>
      <c r="AQ193" s="1810">
        <f>IF(AP193&gt;[11]核心假设及结论!$B$59,[11]核心假设及结论!$D$59,IF(AP193&lt;=[11]核心假设及结论!$B$58,[11]核心假设及结论!$D$57,[11]核心假设及结论!$D$58))</f>
        <v>1</v>
      </c>
      <c r="AR193" s="1809">
        <f t="shared" si="76"/>
        <v>734.56</v>
      </c>
      <c r="AS193" s="1809">
        <f>AH193*(AS$2&lt;=YEAR($K193))+AR193*$AQ193*(AS$2=YEAR($K193)+1)+INDEX([11]核心假设及结论!$E$17:$E$21,MATCH($D193,[11]核心假设及结论!$B$17:$B$21,0))*(AS$2&gt;YEAR($K193)+1)*AR193</f>
        <v>771.29</v>
      </c>
      <c r="AT193" s="1811">
        <f>AI193*(AT$2&lt;=YEAR($K193))+AS193*$AQ193*(AT$2=YEAR($K193)+1)+INDEX([11]核心假设及结论!$E$17:$E$21,MATCH($D193,[11]核心假设及结论!$B$17:$B$21,0))*(AT$2&gt;YEAR($K193)+1)*AS193</f>
        <v>771.29</v>
      </c>
      <c r="AU193" s="1809">
        <f>AJ193*(AU$2&lt;=YEAR($K193))+AT193*$AQ193*(AU$2=YEAR($K193)+1)+INDEX([11]核心假设及结论!$E$17:$E$21,MATCH($D193,[11]核心假设及结论!$B$17:$B$21,0))*(AU$2&gt;YEAR($K193)+1)*AT193</f>
        <v>792.17228416896637</v>
      </c>
      <c r="AV193" s="1809">
        <f>AK193*(AV$2&lt;=YEAR($K193))+AU193*$AQ193*(AV$2=YEAR($K193)+1)+INDEX([11]核心假设及结论!$E$17:$E$21,MATCH($D193,[11]核心假设及结论!$B$17:$B$21,0))*(AV$2&gt;YEAR($K193)+1)*AU193</f>
        <v>813.61994555287595</v>
      </c>
      <c r="AW193" s="1809">
        <f>AL193*(AW$2&lt;=YEAR($K193))+AV193*$AQ193*(AW$2=YEAR($K193)+1)+INDEX([11]核心假设及结论!$E$17:$E$21,MATCH($D193,[11]核心假设及结论!$B$17:$B$21,0))*(AW$2&gt;YEAR($K193)+1)*AV193</f>
        <v>835.64829145205022</v>
      </c>
      <c r="AX193" s="1809">
        <f>AM193*(AX$2&lt;=YEAR($K193))+AW193*$AQ193*(AX$2=YEAR($K193)+1)+INDEX([11]核心假设及结论!$E$17:$E$21,MATCH($D193,[11]核心假设及结论!$B$17:$B$21,0))*(AX$2&gt;YEAR($K193)+1)*AW193</f>
        <v>858.27304360417588</v>
      </c>
      <c r="AZ193" s="1746">
        <f t="shared" si="66"/>
        <v>46172</v>
      </c>
      <c r="BA193" s="1817">
        <f t="shared" si="67"/>
        <v>45658</v>
      </c>
      <c r="BB193" s="1817">
        <f t="shared" si="68"/>
        <v>45807</v>
      </c>
      <c r="BC193" s="1817">
        <f t="shared" si="69"/>
        <v>46022</v>
      </c>
      <c r="BD193" s="1818">
        <f t="shared" si="70"/>
        <v>150</v>
      </c>
      <c r="BE193" s="1818">
        <f t="shared" si="71"/>
        <v>215</v>
      </c>
      <c r="BG193" s="1777">
        <f t="shared" si="86"/>
        <v>176.04230761643834</v>
      </c>
      <c r="BH193" s="1777">
        <f t="shared" si="91"/>
        <v>179.55631200000002</v>
      </c>
      <c r="BI193" s="1777">
        <f t="shared" si="91"/>
        <v>182.4198738828085</v>
      </c>
      <c r="BJ193" s="1777">
        <f t="shared" si="91"/>
        <v>187.35879911778864</v>
      </c>
      <c r="BK193" s="1777">
        <f t="shared" si="90"/>
        <v>192.43144323962861</v>
      </c>
      <c r="BL193" s="1777">
        <f t="shared" si="90"/>
        <v>197.6414266191282</v>
      </c>
      <c r="BM193" s="1777">
        <f t="shared" si="90"/>
        <v>82.112040226459797</v>
      </c>
      <c r="BO193" s="1739">
        <f t="shared" si="72"/>
        <v>2026</v>
      </c>
      <c r="BP193" s="1742">
        <f>_xlfn.IFNA(INDEX($AR193:$AX193,MATCH(BO193,$AR$2:$AX$2,0))*12/365*[11]核心假设及结论!$C$70*$H193,0)</f>
        <v>147580.53041095889</v>
      </c>
      <c r="BR193" s="1739">
        <f t="shared" si="77"/>
        <v>2029</v>
      </c>
      <c r="BS193" s="1742">
        <f>_xlfn.IFNA(INDEX($AR193:$AX193,MATCH(BR193,$AR$2:$AX$2,0))*12/365*[11]核心假设及结论!$C$70*$H193,0)</f>
        <v>155680.04656825442</v>
      </c>
      <c r="BU193" s="1739">
        <f t="shared" si="78"/>
        <v>2032</v>
      </c>
      <c r="BV193" s="1742">
        <f>_xlfn.IFNA(INDEX($AR193:$AX193,MATCH(BU193,$AR$2:$AX$2,0))*12/365*[11]核心假设及结论!$C$70*$H193,0)</f>
        <v>0</v>
      </c>
      <c r="BX193" s="1739">
        <f t="shared" si="79"/>
        <v>2035</v>
      </c>
      <c r="BY193" s="1742">
        <f>_xlfn.IFNA(INDEX($AR193:$AX193,MATCH(BX193,$AR$2:$AX$2,0))*12/365*[11]核心假设及结论!$C$70*$H193,0)</f>
        <v>0</v>
      </c>
      <c r="CA193" s="1739">
        <f t="shared" si="80"/>
        <v>2038</v>
      </c>
      <c r="CB193" s="1742">
        <f>_xlfn.IFNA(INDEX($AR193:$AX193,MATCH(CA193,$AR$2:$AX$2,0))*12/365*[11]核心假设及结论!$C$70*$H193,0)</f>
        <v>0</v>
      </c>
    </row>
    <row r="194" spans="1:80" ht="30" customHeight="1">
      <c r="A194" s="1756" t="s">
        <v>1662</v>
      </c>
      <c r="B194" s="1757" t="s">
        <v>2078</v>
      </c>
      <c r="C194" s="1756" t="s">
        <v>2079</v>
      </c>
      <c r="D194" s="1756" t="s">
        <v>1685</v>
      </c>
      <c r="E194" s="1758" t="s">
        <v>1726</v>
      </c>
      <c r="F194" s="1759"/>
      <c r="G194" s="1827" t="s">
        <v>1661</v>
      </c>
      <c r="H194" s="1761">
        <v>193</v>
      </c>
      <c r="I194" s="1761" t="s">
        <v>1913</v>
      </c>
      <c r="J194" s="1773">
        <v>44515</v>
      </c>
      <c r="K194" s="1773">
        <v>45975</v>
      </c>
      <c r="L194" s="1764">
        <f t="shared" si="62"/>
        <v>48</v>
      </c>
      <c r="M194" s="1774">
        <f t="shared" si="73"/>
        <v>150908.48042499999</v>
      </c>
      <c r="N194" s="1775">
        <f t="shared" si="74"/>
        <v>669.17</v>
      </c>
      <c r="O194" s="1760">
        <v>129149.81</v>
      </c>
      <c r="P194" s="1776">
        <v>1.9E-2</v>
      </c>
      <c r="Q194" s="1783">
        <f t="shared" si="63"/>
        <v>95</v>
      </c>
      <c r="R194" s="1784">
        <v>18335</v>
      </c>
      <c r="S194" s="1777">
        <f t="shared" si="64"/>
        <v>17.739224999999998</v>
      </c>
      <c r="T194" s="1784">
        <v>3423.6704249999998</v>
      </c>
      <c r="U194" s="1777"/>
      <c r="V194" s="1785">
        <v>3098171.5641666702</v>
      </c>
      <c r="W194" s="1785">
        <f t="shared" si="65"/>
        <v>16052.702405008655</v>
      </c>
      <c r="X194" s="1786">
        <f>(N194+Q194)*H194/V194</f>
        <v>4.760382275333086E-2</v>
      </c>
      <c r="Y194" s="1789">
        <f>VLOOKUP(E194,[11]核心假设及结论!$C$25:$E$45,3,0)</f>
        <v>0.1</v>
      </c>
      <c r="Z194" s="1790">
        <f t="shared" si="83"/>
        <v>135018.94</v>
      </c>
      <c r="AA194" s="1790">
        <f t="shared" si="83"/>
        <v>0</v>
      </c>
      <c r="AB194" s="1790">
        <f t="shared" si="83"/>
        <v>0</v>
      </c>
      <c r="AC194" s="1790">
        <f t="shared" si="82"/>
        <v>0</v>
      </c>
      <c r="AD194" s="1790">
        <f t="shared" si="82"/>
        <v>0</v>
      </c>
      <c r="AE194" s="1790">
        <f t="shared" si="82"/>
        <v>0</v>
      </c>
      <c r="AF194" s="1790">
        <f t="shared" si="82"/>
        <v>0</v>
      </c>
      <c r="AG194" s="1794">
        <v>699.58</v>
      </c>
      <c r="AH194" s="1794">
        <v>0</v>
      </c>
      <c r="AI194" s="1794">
        <v>0</v>
      </c>
      <c r="AJ194" s="1794">
        <v>0</v>
      </c>
      <c r="AK194" s="1794">
        <v>0</v>
      </c>
      <c r="AL194" s="1794">
        <v>0</v>
      </c>
      <c r="AM194" s="1794">
        <v>0</v>
      </c>
      <c r="AN194" s="1797"/>
      <c r="AO194" s="1797"/>
      <c r="AP194" s="1808">
        <f t="shared" si="75"/>
        <v>0.4760382275333086</v>
      </c>
      <c r="AQ194" s="1810">
        <f>IF(AP194&gt;[11]核心假设及结论!$B$59,[11]核心假设及结论!$D$59,IF(AP194&lt;=[11]核心假设及结论!$B$58,[11]核心假设及结论!$D$57,[11]核心假设及结论!$D$58))</f>
        <v>1.0342640124442799</v>
      </c>
      <c r="AR194" s="1809">
        <f t="shared" si="76"/>
        <v>699.58</v>
      </c>
      <c r="AS194" s="1811">
        <f>AH194*(AS$2&lt;=YEAR($K194))+AR194*$AQ194*(AS$2=YEAR($K194)+1)+INDEX([11]核心假设及结论!$E$17:$E$21,MATCH($D194,[11]核心假设及结论!$B$17:$B$21,0))*(AS$2&gt;YEAR($K194)+1)*AR194</f>
        <v>723.55041782576939</v>
      </c>
      <c r="AT194" s="1809">
        <f>AI194*(AT$2&lt;=YEAR($K194))+AS194*$AQ194*(AT$2=YEAR($K194)+1)+INDEX([11]核心假设及结论!$E$17:$E$21,MATCH($D194,[11]核心假设及结论!$B$17:$B$21,0))*(AT$2&gt;YEAR($K194)+1)*AS194</f>
        <v>743.14017710647067</v>
      </c>
      <c r="AU194" s="1809">
        <f>AJ194*(AU$2&lt;=YEAR($K194))+AT194*$AQ194*(AU$2=YEAR($K194)+1)+INDEX([11]核心假设及结论!$E$17:$E$21,MATCH($D194,[11]核心假设及结论!$B$17:$B$21,0))*(AU$2&gt;YEAR($K194)+1)*AT194</f>
        <v>763.26031914865109</v>
      </c>
      <c r="AV194" s="1809">
        <f>AK194*(AV$2&lt;=YEAR($K194))+AU194*$AQ194*(AV$2=YEAR($K194)+1)+INDEX([11]核心假设及结论!$E$17:$E$21,MATCH($D194,[11]核心假设及结论!$B$17:$B$21,0))*(AV$2&gt;YEAR($K194)+1)*AU194</f>
        <v>783.92520379561677</v>
      </c>
      <c r="AW194" s="1809">
        <f>AL194*(AW$2&lt;=YEAR($K194))+AV194*$AQ194*(AW$2=YEAR($K194)+1)+INDEX([11]核心假设及结论!$E$17:$E$21,MATCH($D194,[11]核心假设及结论!$B$17:$B$21,0))*(AW$2&gt;YEAR($K194)+1)*AV194</f>
        <v>805.14957967612213</v>
      </c>
      <c r="AX194" s="1809">
        <f>AM194*(AX$2&lt;=YEAR($K194))+AW194*$AQ194*(AX$2=YEAR($K194)+1)+INDEX([11]核心假设及结论!$E$17:$E$21,MATCH($D194,[11]核心假设及结论!$B$17:$B$21,0))*(AX$2&gt;YEAR($K194)+1)*AW194</f>
        <v>826.94859473053839</v>
      </c>
      <c r="AZ194" s="1746">
        <f t="shared" si="66"/>
        <v>45975</v>
      </c>
      <c r="BA194" s="1817">
        <f t="shared" si="67"/>
        <v>45658</v>
      </c>
      <c r="BB194" s="1817">
        <f t="shared" si="68"/>
        <v>45975</v>
      </c>
      <c r="BC194" s="1817">
        <f t="shared" si="69"/>
        <v>46022</v>
      </c>
      <c r="BD194" s="1818">
        <f t="shared" si="70"/>
        <v>318</v>
      </c>
      <c r="BE194" s="1818">
        <f t="shared" si="71"/>
        <v>47</v>
      </c>
      <c r="BG194" s="1777">
        <f t="shared" si="86"/>
        <v>162.73758496470427</v>
      </c>
      <c r="BH194" s="1777">
        <f t="shared" si="91"/>
        <v>168.15849169371472</v>
      </c>
      <c r="BI194" s="1777">
        <f t="shared" si="91"/>
        <v>172.71129726486558</v>
      </c>
      <c r="BJ194" s="1777">
        <f t="shared" si="91"/>
        <v>177.3873677295102</v>
      </c>
      <c r="BK194" s="1777">
        <f t="shared" si="90"/>
        <v>182.19004042189903</v>
      </c>
      <c r="BL194" s="1777">
        <f t="shared" si="90"/>
        <v>187.1227430329086</v>
      </c>
      <c r="BM194" s="1777">
        <f t="shared" si="90"/>
        <v>166.85964839339857</v>
      </c>
      <c r="BO194" s="1739">
        <f t="shared" si="72"/>
        <v>2025</v>
      </c>
      <c r="BP194" s="1742">
        <f>_xlfn.IFNA(INDEX($AR194:$AX194,MATCH(BO194,$AR$2:$AX$2,0))*12/365*[11]核心假设及结论!$C$70*$H194,0)</f>
        <v>133169.36547945207</v>
      </c>
      <c r="BR194" s="1739">
        <f t="shared" si="77"/>
        <v>2029</v>
      </c>
      <c r="BS194" s="1742">
        <f>_xlfn.IFNA(INDEX($AR194:$AX194,MATCH(BR194,$AR$2:$AX$2,0))*12/365*[11]核心假设及结论!$C$70*$H194,0)</f>
        <v>149224.9949581355</v>
      </c>
      <c r="BU194" s="1739">
        <f t="shared" si="78"/>
        <v>2033</v>
      </c>
      <c r="BV194" s="1742">
        <f>_xlfn.IFNA(INDEX($AR194:$AX194,MATCH(BU194,$AR$2:$AX$2,0))*12/365*[11]核心假设及结论!$C$70*$H194,0)</f>
        <v>0</v>
      </c>
      <c r="BX194" s="1739">
        <f t="shared" si="79"/>
        <v>2037</v>
      </c>
      <c r="BY194" s="1742">
        <f>_xlfn.IFNA(INDEX($AR194:$AX194,MATCH(BX194,$AR$2:$AX$2,0))*12/365*[11]核心假设及结论!$C$70*$H194,0)</f>
        <v>0</v>
      </c>
      <c r="CA194" s="1739">
        <f t="shared" si="80"/>
        <v>2041</v>
      </c>
      <c r="CB194" s="1742">
        <f>_xlfn.IFNA(INDEX($AR194:$AX194,MATCH(CA194,$AR$2:$AX$2,0))*12/365*[11]核心假设及结论!$C$70*$H194,0)</f>
        <v>0</v>
      </c>
    </row>
    <row r="195" spans="1:80" ht="30" customHeight="1">
      <c r="A195" s="1756" t="s">
        <v>1662</v>
      </c>
      <c r="B195" s="1757" t="s">
        <v>2080</v>
      </c>
      <c r="C195" s="1756" t="s">
        <v>2081</v>
      </c>
      <c r="D195" s="1756" t="s">
        <v>1685</v>
      </c>
      <c r="E195" s="1758" t="s">
        <v>1718</v>
      </c>
      <c r="F195" s="1759"/>
      <c r="G195" s="1760" t="s">
        <v>1661</v>
      </c>
      <c r="H195" s="1761">
        <v>192</v>
      </c>
      <c r="I195" s="1761" t="s">
        <v>1913</v>
      </c>
      <c r="J195" s="1773">
        <v>44520</v>
      </c>
      <c r="K195" s="1773">
        <v>45980</v>
      </c>
      <c r="L195" s="1764">
        <f t="shared" si="62"/>
        <v>48</v>
      </c>
      <c r="M195" s="1774">
        <f t="shared" si="73"/>
        <v>205541.76000000001</v>
      </c>
      <c r="N195" s="1775">
        <f t="shared" si="74"/>
        <v>956.91</v>
      </c>
      <c r="O195" s="1760">
        <v>183726.72</v>
      </c>
      <c r="P195" s="1776">
        <v>0.17</v>
      </c>
      <c r="Q195" s="1783">
        <f t="shared" si="63"/>
        <v>95</v>
      </c>
      <c r="R195" s="1784">
        <v>18240</v>
      </c>
      <c r="S195" s="1777">
        <f t="shared" si="64"/>
        <v>18.62</v>
      </c>
      <c r="T195" s="1777">
        <v>3575.04</v>
      </c>
      <c r="U195" s="1777"/>
      <c r="V195" s="1785">
        <v>2713285.4166666698</v>
      </c>
      <c r="W195" s="1785">
        <f t="shared" si="65"/>
        <v>14131.694878472239</v>
      </c>
      <c r="X195" s="1786">
        <f>(N195+Q195)*H195/V195</f>
        <v>7.4436223612671201E-2</v>
      </c>
      <c r="Y195" s="1789">
        <f>VLOOKUP(E195,[11]核心假设及结论!$C$25:$E$45,3,0)</f>
        <v>0.2</v>
      </c>
      <c r="Z195" s="1790">
        <f t="shared" si="83"/>
        <v>183726.72</v>
      </c>
      <c r="AA195" s="1790">
        <f t="shared" si="83"/>
        <v>0</v>
      </c>
      <c r="AB195" s="1790">
        <f t="shared" si="83"/>
        <v>0</v>
      </c>
      <c r="AC195" s="1790">
        <f t="shared" si="82"/>
        <v>0</v>
      </c>
      <c r="AD195" s="1790">
        <f t="shared" si="82"/>
        <v>0</v>
      </c>
      <c r="AE195" s="1790">
        <f t="shared" si="82"/>
        <v>0</v>
      </c>
      <c r="AF195" s="1790">
        <f t="shared" si="82"/>
        <v>0</v>
      </c>
      <c r="AG195" s="1824">
        <v>956.91</v>
      </c>
      <c r="AH195" s="1824">
        <v>0</v>
      </c>
      <c r="AI195" s="1824">
        <v>0</v>
      </c>
      <c r="AJ195" s="1794">
        <v>0</v>
      </c>
      <c r="AK195" s="1794">
        <v>0</v>
      </c>
      <c r="AL195" s="1794">
        <v>0</v>
      </c>
      <c r="AM195" s="1794">
        <v>0</v>
      </c>
      <c r="AN195" s="1795"/>
      <c r="AO195" s="1795"/>
      <c r="AP195" s="1808">
        <f t="shared" si="75"/>
        <v>0.37218111806335596</v>
      </c>
      <c r="AQ195" s="1810">
        <f>IF(AP195&gt;[11]核心假设及结论!$B$59,[11]核心假设及结论!$D$59,IF(AP195&lt;=[11]核心假设及结论!$B$58,[11]核心假设及结论!$D$57,[11]核心假设及结论!$D$58))</f>
        <v>1.0342640124442799</v>
      </c>
      <c r="AR195" s="1809">
        <f t="shared" si="76"/>
        <v>956.91</v>
      </c>
      <c r="AS195" s="1811">
        <f>AH195*(AS$2&lt;=YEAR($K195))+AR195*$AQ195*(AS$2=YEAR($K195)+1)+INDEX([11]核心假设及结论!$E$17:$E$21,MATCH($D195,[11]核心假设及结论!$B$17:$B$21,0))*(AS$2&gt;YEAR($K195)+1)*AR195</f>
        <v>989.69757614805587</v>
      </c>
      <c r="AT195" s="1809">
        <f>AI195*(AT$2&lt;=YEAR($K195))+AS195*$AQ195*(AT$2=YEAR($K195)+1)+INDEX([11]核心假设及结论!$E$17:$E$21,MATCH($D195,[11]核心假设及结论!$B$17:$B$21,0))*(AT$2&gt;YEAR($K195)+1)*AS195</f>
        <v>1016.4931342733538</v>
      </c>
      <c r="AU195" s="1809">
        <f>AJ195*(AU$2&lt;=YEAR($K195))+AT195*$AQ195*(AU$2=YEAR($K195)+1)+INDEX([11]核心假设及结论!$E$17:$E$21,MATCH($D195,[11]核心假设及结论!$B$17:$B$21,0))*(AU$2&gt;YEAR($K195)+1)*AT195</f>
        <v>1044.0141684961488</v>
      </c>
      <c r="AV195" s="1809">
        <f>AK195*(AV$2&lt;=YEAR($K195))+AU195*$AQ195*(AV$2=YEAR($K195)+1)+INDEX([11]核心假设及结论!$E$17:$E$21,MATCH($D195,[11]核心假设及结论!$B$17:$B$21,0))*(AV$2&gt;YEAR($K195)+1)*AU195</f>
        <v>1072.2803207125185</v>
      </c>
      <c r="AW195" s="1809">
        <f>AL195*(AW$2&lt;=YEAR($K195))+AV195*$AQ195*(AW$2=YEAR($K195)+1)+INDEX([11]核心假设及结论!$E$17:$E$21,MATCH($D195,[11]核心假设及结论!$B$17:$B$21,0))*(AW$2&gt;YEAR($K195)+1)*AV195</f>
        <v>1101.3117646128792</v>
      </c>
      <c r="AX195" s="1809">
        <f>AM195*(AX$2&lt;=YEAR($K195))+AW195*$AQ195*(AX$2=YEAR($K195)+1)+INDEX([11]核心假设及结论!$E$17:$E$21,MATCH($D195,[11]核心假设及结论!$B$17:$B$21,0))*(AX$2&gt;YEAR($K195)+1)*AW195</f>
        <v>1131.1292200800472</v>
      </c>
      <c r="AZ195" s="1746">
        <f t="shared" si="66"/>
        <v>45980</v>
      </c>
      <c r="BA195" s="1817">
        <f t="shared" si="67"/>
        <v>45658</v>
      </c>
      <c r="BB195" s="1817">
        <f t="shared" si="68"/>
        <v>45980</v>
      </c>
      <c r="BC195" s="1817">
        <f t="shared" si="69"/>
        <v>46022</v>
      </c>
      <c r="BD195" s="1818">
        <f t="shared" si="70"/>
        <v>323</v>
      </c>
      <c r="BE195" s="1818">
        <f t="shared" si="71"/>
        <v>42</v>
      </c>
      <c r="BG195" s="1777">
        <f t="shared" si="86"/>
        <v>221.34132103251923</v>
      </c>
      <c r="BH195" s="1777">
        <f t="shared" si="91"/>
        <v>228.73671950853094</v>
      </c>
      <c r="BI195" s="1777">
        <f t="shared" si="91"/>
        <v>234.92964976388799</v>
      </c>
      <c r="BJ195" s="1777">
        <f t="shared" si="91"/>
        <v>241.29025045375204</v>
      </c>
      <c r="BK195" s="1777">
        <f t="shared" si="90"/>
        <v>247.82306116979439</v>
      </c>
      <c r="BL195" s="1777">
        <f t="shared" si="90"/>
        <v>254.53274441082021</v>
      </c>
      <c r="BM195" s="1777">
        <f t="shared" si="90"/>
        <v>230.62392234241381</v>
      </c>
      <c r="BO195" s="1739">
        <f t="shared" si="72"/>
        <v>2025</v>
      </c>
      <c r="BP195" s="1742">
        <f>_xlfn.IFNA(INDEX($AR195:$AX195,MATCH(BO195,$AR$2:$AX$2,0))*12/365*[11]核心假设及结论!$C$70*$H195,0)</f>
        <v>181209.91561643837</v>
      </c>
      <c r="BR195" s="1739">
        <f t="shared" si="77"/>
        <v>2029</v>
      </c>
      <c r="BS195" s="1742">
        <f>_xlfn.IFNA(INDEX($AR195:$AX195,MATCH(BR195,$AR$2:$AX$2,0))*12/365*[11]核心假设及结论!$C$70*$H195,0)</f>
        <v>203057.57744561444</v>
      </c>
      <c r="BU195" s="1739">
        <f t="shared" si="78"/>
        <v>2033</v>
      </c>
      <c r="BV195" s="1742">
        <f>_xlfn.IFNA(INDEX($AR195:$AX195,MATCH(BU195,$AR$2:$AX$2,0))*12/365*[11]核心假设及结论!$C$70*$H195,0)</f>
        <v>0</v>
      </c>
      <c r="BX195" s="1739">
        <f t="shared" si="79"/>
        <v>2037</v>
      </c>
      <c r="BY195" s="1742">
        <f>_xlfn.IFNA(INDEX($AR195:$AX195,MATCH(BX195,$AR$2:$AX$2,0))*12/365*[11]核心假设及结论!$C$70*$H195,0)</f>
        <v>0</v>
      </c>
      <c r="CA195" s="1739">
        <f t="shared" si="80"/>
        <v>2041</v>
      </c>
      <c r="CB195" s="1742">
        <f>_xlfn.IFNA(INDEX($AR195:$AX195,MATCH(CA195,$AR$2:$AX$2,0))*12/365*[11]核心假设及结论!$C$70*$H195,0)</f>
        <v>0</v>
      </c>
    </row>
    <row r="196" spans="1:80" ht="30" customHeight="1">
      <c r="A196" s="1756" t="s">
        <v>1687</v>
      </c>
      <c r="B196" s="1757" t="s">
        <v>2082</v>
      </c>
      <c r="C196" s="1756" t="s">
        <v>2083</v>
      </c>
      <c r="D196" s="1756" t="s">
        <v>1685</v>
      </c>
      <c r="E196" s="1758" t="s">
        <v>1692</v>
      </c>
      <c r="F196" s="1759"/>
      <c r="G196" s="1760" t="s">
        <v>1661</v>
      </c>
      <c r="H196" s="1761">
        <v>192</v>
      </c>
      <c r="I196" s="1761" t="s">
        <v>1913</v>
      </c>
      <c r="J196" s="1773">
        <v>45658</v>
      </c>
      <c r="K196" s="1773">
        <v>46706</v>
      </c>
      <c r="L196" s="1764">
        <f t="shared" ref="L196:L259" si="92">DATEDIF(J196,K196,"M")+1</f>
        <v>35</v>
      </c>
      <c r="M196" s="1774">
        <f t="shared" si="73"/>
        <v>164265.60000000001</v>
      </c>
      <c r="N196" s="1775">
        <f t="shared" si="74"/>
        <v>742.55000000000007</v>
      </c>
      <c r="O196" s="1760">
        <v>142569.60000000001</v>
      </c>
      <c r="P196" s="1776">
        <v>0.18</v>
      </c>
      <c r="Q196" s="1783">
        <f t="shared" ref="Q196:Q259" si="93">R196/H196</f>
        <v>95</v>
      </c>
      <c r="R196" s="1784">
        <v>18240</v>
      </c>
      <c r="S196" s="1777">
        <f t="shared" ref="S196:S259" si="94">T196/H196</f>
        <v>18</v>
      </c>
      <c r="T196" s="1784">
        <v>3456</v>
      </c>
      <c r="U196" s="1777"/>
      <c r="V196" s="1785">
        <v>3034342</v>
      </c>
      <c r="W196" s="1785">
        <f t="shared" ref="W196:W259" si="95">V196/H196</f>
        <v>15803.864583333334</v>
      </c>
      <c r="X196" s="1786">
        <f>(N196+Q196+S196)*H196/V196</f>
        <v>5.4135492966844216E-2</v>
      </c>
      <c r="Y196" s="1789">
        <f>VLOOKUP(E196,[11]核心假设及结论!$C$25:$E$45,3,0)</f>
        <v>0.2</v>
      </c>
      <c r="Z196" s="1790">
        <f t="shared" si="83"/>
        <v>148920.95999999999</v>
      </c>
      <c r="AA196" s="1790">
        <f t="shared" si="83"/>
        <v>154759.67999999999</v>
      </c>
      <c r="AB196" s="1790">
        <f t="shared" si="83"/>
        <v>157680</v>
      </c>
      <c r="AC196" s="1790">
        <f t="shared" si="82"/>
        <v>0</v>
      </c>
      <c r="AD196" s="1790">
        <f t="shared" si="82"/>
        <v>0</v>
      </c>
      <c r="AE196" s="1790">
        <f t="shared" si="82"/>
        <v>0</v>
      </c>
      <c r="AF196" s="1790">
        <f t="shared" si="82"/>
        <v>0</v>
      </c>
      <c r="AG196" s="1794">
        <v>775.63</v>
      </c>
      <c r="AH196" s="1794">
        <v>806.04</v>
      </c>
      <c r="AI196" s="1794">
        <v>821.25</v>
      </c>
      <c r="AJ196" s="1794">
        <v>0</v>
      </c>
      <c r="AK196" s="1794">
        <v>0</v>
      </c>
      <c r="AL196" s="1794">
        <v>0</v>
      </c>
      <c r="AM196" s="1794">
        <v>0</v>
      </c>
      <c r="AN196" s="1797"/>
      <c r="AO196" s="1797"/>
      <c r="AP196" s="1808">
        <f t="shared" si="75"/>
        <v>0.27067746483422106</v>
      </c>
      <c r="AQ196" s="1810">
        <f>IF(AP196&gt;[11]核心假设及结论!$B$59,[11]核心假设及结论!$D$59,IF(AP196&lt;=[11]核心假设及结论!$B$58,[11]核心假设及结论!$D$57,[11]核心假设及结论!$D$58))</f>
        <v>1.0342640124442799</v>
      </c>
      <c r="AR196" s="1809">
        <f t="shared" si="76"/>
        <v>775.63</v>
      </c>
      <c r="AS196" s="1809">
        <f>AH196*(AS$2&lt;=YEAR($K196))+AR196*$AQ196*(AS$2=YEAR($K196)+1)+INDEX([11]核心假设及结论!$E$17:$E$21,MATCH($D196,[11]核心假设及结论!$B$17:$B$21,0))*(AS$2&gt;YEAR($K196)+1)*AR196</f>
        <v>806.04</v>
      </c>
      <c r="AT196" s="1809">
        <f>AI196*(AT$2&lt;=YEAR($K196))+AS196*$AQ196*(AT$2=YEAR($K196)+1)+INDEX([11]核心假设及结论!$E$17:$E$21,MATCH($D196,[11]核心假设及结论!$B$17:$B$21,0))*(AT$2&gt;YEAR($K196)+1)*AS196</f>
        <v>821.25</v>
      </c>
      <c r="AU196" s="1811">
        <f>AJ196*(AU$2&lt;=YEAR($K196))+AT196*$AQ196*(AU$2=YEAR($K196)+1)+INDEX([11]核心假设及结论!$E$17:$E$21,MATCH($D196,[11]核心假设及结论!$B$17:$B$21,0))*(AU$2&gt;YEAR($K196)+1)*AT196</f>
        <v>849.38932021986489</v>
      </c>
      <c r="AV196" s="1809">
        <f>AK196*(AV$2&lt;=YEAR($K196))+AU196*$AQ196*(AV$2=YEAR($K196)+1)+INDEX([11]核心假设及结论!$E$17:$E$21,MATCH($D196,[11]核心假设及结论!$B$17:$B$21,0))*(AV$2&gt;YEAR($K196)+1)*AU196</f>
        <v>872.38610373179483</v>
      </c>
      <c r="AW196" s="1809">
        <f>AL196*(AW$2&lt;=YEAR($K196))+AV196*$AQ196*(AW$2=YEAR($K196)+1)+INDEX([11]核心假设及结论!$E$17:$E$21,MATCH($D196,[11]核心假设及结论!$B$17:$B$21,0))*(AW$2&gt;YEAR($K196)+1)*AV196</f>
        <v>896.00551345211375</v>
      </c>
      <c r="AX196" s="1809">
        <f>AM196*(AX$2&lt;=YEAR($K196))+AW196*$AQ196*(AX$2=YEAR($K196)+1)+INDEX([11]核心假设及结论!$E$17:$E$21,MATCH($D196,[11]核心假设及结论!$B$17:$B$21,0))*(AX$2&gt;YEAR($K196)+1)*AW196</f>
        <v>920.26440666850158</v>
      </c>
      <c r="AZ196" s="1746">
        <f t="shared" ref="AZ196:AZ259" si="96">K196</f>
        <v>46706</v>
      </c>
      <c r="BA196" s="1817">
        <f t="shared" ref="BA196:BA259" si="97">$BA$2</f>
        <v>45658</v>
      </c>
      <c r="BB196" s="1817">
        <f t="shared" ref="BB196:BB259" si="98">DATE(YEAR(BA196),MONTH(AZ196),DAY(AZ196))</f>
        <v>45976</v>
      </c>
      <c r="BC196" s="1817">
        <f t="shared" ref="BC196:BC259" si="99">$BB$2</f>
        <v>46022</v>
      </c>
      <c r="BD196" s="1818">
        <f t="shared" ref="BD196:BD259" si="100">BB196-BA196+1</f>
        <v>319</v>
      </c>
      <c r="BE196" s="1818">
        <f t="shared" ref="BE196:BE259" si="101">365-BD196</f>
        <v>46</v>
      </c>
      <c r="BG196" s="1777">
        <f t="shared" si="86"/>
        <v>179.5881584219178</v>
      </c>
      <c r="BH196" s="1777">
        <f t="shared" si="91"/>
        <v>186.15326439452056</v>
      </c>
      <c r="BI196" s="1777">
        <f t="shared" si="91"/>
        <v>190.03307334635127</v>
      </c>
      <c r="BJ196" s="1777">
        <f t="shared" si="91"/>
        <v>196.36705036597974</v>
      </c>
      <c r="BK196" s="1777">
        <f t="shared" si="90"/>
        <v>201.6835883052297</v>
      </c>
      <c r="BL196" s="1777">
        <f t="shared" si="90"/>
        <v>207.14406880310551</v>
      </c>
      <c r="BM196" s="1777">
        <f t="shared" si="90"/>
        <v>185.3074664535859</v>
      </c>
      <c r="BO196" s="1739">
        <f t="shared" ref="BO196:BO259" si="102">YEAR(K196)</f>
        <v>2027</v>
      </c>
      <c r="BP196" s="1742">
        <f>_xlfn.IFNA(INDEX($AR196:$AX196,MATCH(BO196,$AR$2:$AX$2,0))*12/365*[11]核心假设及结论!$C$70*$H196,0)</f>
        <v>155520</v>
      </c>
      <c r="BR196" s="1739">
        <f t="shared" si="77"/>
        <v>2030</v>
      </c>
      <c r="BS196" s="1742">
        <f>_xlfn.IFNA(INDEX($AR196:$AX196,MATCH(BR196,$AR$2:$AX$2,0))*12/365*[11]核心假设及结论!$C$70*$H196,0)</f>
        <v>169676.44134194549</v>
      </c>
      <c r="BU196" s="1739">
        <f t="shared" si="78"/>
        <v>2033</v>
      </c>
      <c r="BV196" s="1742">
        <f>_xlfn.IFNA(INDEX($AR196:$AX196,MATCH(BU196,$AR$2:$AX$2,0))*12/365*[11]核心假设及结论!$C$70*$H196,0)</f>
        <v>0</v>
      </c>
      <c r="BX196" s="1739">
        <f t="shared" si="79"/>
        <v>2036</v>
      </c>
      <c r="BY196" s="1742">
        <f>_xlfn.IFNA(INDEX($AR196:$AX196,MATCH(BX196,$AR$2:$AX$2,0))*12/365*[11]核心假设及结论!$C$70*$H196,0)</f>
        <v>0</v>
      </c>
      <c r="CA196" s="1739">
        <f t="shared" si="80"/>
        <v>2039</v>
      </c>
      <c r="CB196" s="1742">
        <f>_xlfn.IFNA(INDEX($AR196:$AX196,MATCH(CA196,$AR$2:$AX$2,0))*12/365*[11]核心假设及结论!$C$70*$H196,0)</f>
        <v>0</v>
      </c>
    </row>
    <row r="197" spans="1:80" ht="30" customHeight="1">
      <c r="A197" s="1756" t="s">
        <v>1687</v>
      </c>
      <c r="B197" s="1757" t="s">
        <v>2084</v>
      </c>
      <c r="C197" s="1756" t="s">
        <v>2085</v>
      </c>
      <c r="D197" s="1756" t="s">
        <v>1685</v>
      </c>
      <c r="E197" s="1758" t="s">
        <v>1692</v>
      </c>
      <c r="F197" s="1759"/>
      <c r="G197" s="1760" t="s">
        <v>1661</v>
      </c>
      <c r="H197" s="1761">
        <v>192</v>
      </c>
      <c r="I197" s="1761" t="s">
        <v>1913</v>
      </c>
      <c r="J197" s="1773">
        <v>45680</v>
      </c>
      <c r="K197" s="1773">
        <v>46733</v>
      </c>
      <c r="L197" s="1764">
        <f t="shared" si="92"/>
        <v>35</v>
      </c>
      <c r="M197" s="1774">
        <f t="shared" ref="M197:M260" si="103">O197+R197+T197</f>
        <v>153104.64000000001</v>
      </c>
      <c r="N197" s="1775">
        <f t="shared" ref="N197:N260" si="104">O197/H197</f>
        <v>684.42000000000007</v>
      </c>
      <c r="O197" s="1760">
        <v>131408.64000000001</v>
      </c>
      <c r="P197" s="1776">
        <v>0.18</v>
      </c>
      <c r="Q197" s="1783">
        <f t="shared" si="93"/>
        <v>95</v>
      </c>
      <c r="R197" s="1784">
        <v>18240</v>
      </c>
      <c r="S197" s="1777">
        <f t="shared" si="94"/>
        <v>18</v>
      </c>
      <c r="T197" s="1777">
        <v>3456</v>
      </c>
      <c r="U197" s="1777"/>
      <c r="V197" s="1785">
        <v>3304572</v>
      </c>
      <c r="W197" s="1785">
        <f t="shared" si="95"/>
        <v>17211.3125</v>
      </c>
      <c r="X197" s="1786">
        <f>(N197+Q197+S197)*H197/V197</f>
        <v>4.633115574422346E-2</v>
      </c>
      <c r="Y197" s="1789">
        <f>VLOOKUP(E197,[11]核心假设及结论!$C$25:$E$45,3,0)</f>
        <v>0.2</v>
      </c>
      <c r="Z197" s="1790">
        <f t="shared" si="83"/>
        <v>140160</v>
      </c>
      <c r="AA197" s="1790">
        <f t="shared" si="83"/>
        <v>146000.63999999998</v>
      </c>
      <c r="AB197" s="1790">
        <f t="shared" si="83"/>
        <v>151839.36000000002</v>
      </c>
      <c r="AC197" s="1790">
        <f t="shared" si="82"/>
        <v>0</v>
      </c>
      <c r="AD197" s="1790">
        <f t="shared" si="82"/>
        <v>0</v>
      </c>
      <c r="AE197" s="1790">
        <f t="shared" si="82"/>
        <v>0</v>
      </c>
      <c r="AF197" s="1790">
        <f t="shared" si="82"/>
        <v>0</v>
      </c>
      <c r="AG197" s="1794">
        <v>730</v>
      </c>
      <c r="AH197" s="1794">
        <v>760.42</v>
      </c>
      <c r="AI197" s="1794">
        <v>790.83</v>
      </c>
      <c r="AJ197" s="1794">
        <v>0</v>
      </c>
      <c r="AK197" s="1794">
        <v>0</v>
      </c>
      <c r="AL197" s="1794">
        <v>0</v>
      </c>
      <c r="AM197" s="1794">
        <v>0</v>
      </c>
      <c r="AN197" s="1795"/>
      <c r="AO197" s="1795"/>
      <c r="AP197" s="1808">
        <f t="shared" ref="AP197:AP260" si="105">IFERROR(X197/Y197,1.25)</f>
        <v>0.23165577872111728</v>
      </c>
      <c r="AQ197" s="1810">
        <f>IF(AP197&gt;[11]核心假设及结论!$B$59,[11]核心假设及结论!$D$59,IF(AP197&lt;=[11]核心假设及结论!$B$58,[11]核心假设及结论!$D$57,[11]核心假设及结论!$D$58))</f>
        <v>1.0342640124442799</v>
      </c>
      <c r="AR197" s="1809">
        <f t="shared" ref="AR197:AR260" si="106">IF(K197&lt;=BA197,AQ197*AG197,AG197)</f>
        <v>730</v>
      </c>
      <c r="AS197" s="1809">
        <f>AH197*(AS$2&lt;=YEAR($K197))+AR197*$AQ197*(AS$2=YEAR($K197)+1)+INDEX([11]核心假设及结论!$E$17:$E$21,MATCH($D197,[11]核心假设及结论!$B$17:$B$21,0))*(AS$2&gt;YEAR($K197)+1)*AR197</f>
        <v>760.42</v>
      </c>
      <c r="AT197" s="1809">
        <f>AI197*(AT$2&lt;=YEAR($K197))+AS197*$AQ197*(AT$2=YEAR($K197)+1)+INDEX([11]核心假设及结论!$E$17:$E$21,MATCH($D197,[11]核心假设及结论!$B$17:$B$21,0))*(AT$2&gt;YEAR($K197)+1)*AS197</f>
        <v>790.83</v>
      </c>
      <c r="AU197" s="1811">
        <f>AJ197*(AU$2&lt;=YEAR($K197))+AT197*$AQ197*(AU$2=YEAR($K197)+1)+INDEX([11]核心假设及结论!$E$17:$E$21,MATCH($D197,[11]核心假设及结论!$B$17:$B$21,0))*(AU$2&gt;YEAR($K197)+1)*AT197</f>
        <v>817.92700896130987</v>
      </c>
      <c r="AV197" s="1809">
        <f>AK197*(AV$2&lt;=YEAR($K197))+AU197*$AQ197*(AV$2=YEAR($K197)+1)+INDEX([11]核心假设及结论!$E$17:$E$21,MATCH($D197,[11]核心假设及结论!$B$17:$B$21,0))*(AV$2&gt;YEAR($K197)+1)*AU197</f>
        <v>840.07196641000337</v>
      </c>
      <c r="AW197" s="1809">
        <f>AL197*(AW$2&lt;=YEAR($K197))+AV197*$AQ197*(AW$2=YEAR($K197)+1)+INDEX([11]核心假设及结论!$E$17:$E$21,MATCH($D197,[11]核心假设及结论!$B$17:$B$21,0))*(AW$2&gt;YEAR($K197)+1)*AV197</f>
        <v>862.816487309997</v>
      </c>
      <c r="AX197" s="1809">
        <f>AM197*(AX$2&lt;=YEAR($K197))+AW197*$AQ197*(AX$2=YEAR($K197)+1)+INDEX([11]核心假设及结论!$E$17:$E$21,MATCH($D197,[11]核心假设及结论!$B$17:$B$21,0))*(AX$2&gt;YEAR($K197)+1)*AW197</f>
        <v>886.17680453656135</v>
      </c>
      <c r="AZ197" s="1746">
        <f t="shared" si="96"/>
        <v>46733</v>
      </c>
      <c r="BA197" s="1817">
        <f t="shared" si="97"/>
        <v>45658</v>
      </c>
      <c r="BB197" s="1817">
        <f t="shared" si="98"/>
        <v>46003</v>
      </c>
      <c r="BC197" s="1817">
        <f t="shared" si="99"/>
        <v>46022</v>
      </c>
      <c r="BD197" s="1818">
        <f t="shared" si="100"/>
        <v>346</v>
      </c>
      <c r="BE197" s="1818">
        <f t="shared" si="101"/>
        <v>19</v>
      </c>
      <c r="BG197" s="1777">
        <f t="shared" si="86"/>
        <v>168.55683997808219</v>
      </c>
      <c r="BH197" s="1777">
        <f t="shared" si="91"/>
        <v>175.56548804383559</v>
      </c>
      <c r="BI197" s="1777">
        <f t="shared" si="91"/>
        <v>182.53221793542201</v>
      </c>
      <c r="BJ197" s="1777">
        <f t="shared" si="91"/>
        <v>188.715976743391</v>
      </c>
      <c r="BK197" s="1777">
        <f t="shared" si="90"/>
        <v>193.82536575865052</v>
      </c>
      <c r="BL197" s="1777">
        <f t="shared" si="90"/>
        <v>199.0730888808562</v>
      </c>
      <c r="BM197" s="1777">
        <f t="shared" si="90"/>
        <v>193.54684102676006</v>
      </c>
      <c r="BO197" s="1739">
        <f t="shared" si="102"/>
        <v>2027</v>
      </c>
      <c r="BP197" s="1742">
        <f>_xlfn.IFNA(INDEX($AR197:$AX197,MATCH(BO197,$AR$2:$AX$2,0))*12/365*[11]核心假设及结论!$C$70*$H197,0)</f>
        <v>149759.36876712332</v>
      </c>
      <c r="BR197" s="1739">
        <f t="shared" ref="BR197:BR260" si="107">BO197+ROUND($L197/12,0)</f>
        <v>2030</v>
      </c>
      <c r="BS197" s="1742">
        <f>_xlfn.IFNA(INDEX($AR197:$AX197,MATCH(BR197,$AR$2:$AX$2,0))*12/365*[11]核心假设及结论!$C$70*$H197,0)</f>
        <v>163391.44000785481</v>
      </c>
      <c r="BU197" s="1739">
        <f t="shared" ref="BU197:BU260" si="108">BR197+ROUND($L197/12,0)</f>
        <v>2033</v>
      </c>
      <c r="BV197" s="1742">
        <f>_xlfn.IFNA(INDEX($AR197:$AX197,MATCH(BU197,$AR$2:$AX$2,0))*12/365*[11]核心假设及结论!$C$70*$H197,0)</f>
        <v>0</v>
      </c>
      <c r="BX197" s="1739">
        <f t="shared" ref="BX197:BX260" si="109">BU197+ROUND($L197/12,0)</f>
        <v>2036</v>
      </c>
      <c r="BY197" s="1742">
        <f>_xlfn.IFNA(INDEX($AR197:$AX197,MATCH(BX197,$AR$2:$AX$2,0))*12/365*[11]核心假设及结论!$C$70*$H197,0)</f>
        <v>0</v>
      </c>
      <c r="CA197" s="1739">
        <f t="shared" ref="CA197:CA260" si="110">BX197+ROUND($L197/12,0)</f>
        <v>2039</v>
      </c>
      <c r="CB197" s="1742">
        <f>_xlfn.IFNA(INDEX($AR197:$AX197,MATCH(CA197,$AR$2:$AX$2,0))*12/365*[11]核心假设及结论!$C$70*$H197,0)</f>
        <v>0</v>
      </c>
    </row>
    <row r="198" spans="1:80" ht="30" customHeight="1">
      <c r="A198" s="1756" t="s">
        <v>1687</v>
      </c>
      <c r="B198" s="1757" t="s">
        <v>2086</v>
      </c>
      <c r="C198" s="1756" t="s">
        <v>2087</v>
      </c>
      <c r="D198" s="1756" t="s">
        <v>1685</v>
      </c>
      <c r="E198" s="1758" t="s">
        <v>1692</v>
      </c>
      <c r="F198" s="1759"/>
      <c r="G198" s="1760" t="s">
        <v>1661</v>
      </c>
      <c r="H198" s="1761">
        <v>192</v>
      </c>
      <c r="I198" s="1761" t="s">
        <v>1913</v>
      </c>
      <c r="J198" s="1773">
        <v>45402</v>
      </c>
      <c r="K198" s="1773">
        <v>46496</v>
      </c>
      <c r="L198" s="1764">
        <f t="shared" si="92"/>
        <v>36</v>
      </c>
      <c r="M198" s="1774">
        <f t="shared" si="103"/>
        <v>150176.64000000001</v>
      </c>
      <c r="N198" s="1775">
        <f t="shared" si="104"/>
        <v>669.17</v>
      </c>
      <c r="O198" s="1760">
        <v>128480.64</v>
      </c>
      <c r="P198" s="1776">
        <v>0.18</v>
      </c>
      <c r="Q198" s="1783">
        <f t="shared" si="93"/>
        <v>95</v>
      </c>
      <c r="R198" s="1784">
        <v>18240</v>
      </c>
      <c r="S198" s="1777">
        <f t="shared" si="94"/>
        <v>18</v>
      </c>
      <c r="T198" s="1784">
        <v>3456</v>
      </c>
      <c r="U198" s="1777"/>
      <c r="V198" s="1785">
        <v>462968.29499999998</v>
      </c>
      <c r="W198" s="1785">
        <f t="shared" si="95"/>
        <v>2411.2932031249998</v>
      </c>
      <c r="X198" s="1786">
        <f>(N198+Q198)*H198/V198</f>
        <v>0.31691293245037438</v>
      </c>
      <c r="Y198" s="1789">
        <f>VLOOKUP(E198,[11]核心假设及结论!$C$25:$E$45,3,0)</f>
        <v>0.2</v>
      </c>
      <c r="Z198" s="1790">
        <f t="shared" si="83"/>
        <v>128480.63999999998</v>
      </c>
      <c r="AA198" s="1790">
        <f t="shared" si="83"/>
        <v>134319.36000000002</v>
      </c>
      <c r="AB198" s="1790">
        <f t="shared" si="83"/>
        <v>140160</v>
      </c>
      <c r="AC198" s="1790">
        <f t="shared" si="82"/>
        <v>0</v>
      </c>
      <c r="AD198" s="1790">
        <f t="shared" si="82"/>
        <v>0</v>
      </c>
      <c r="AE198" s="1790">
        <f t="shared" si="82"/>
        <v>0</v>
      </c>
      <c r="AF198" s="1790">
        <f t="shared" si="82"/>
        <v>0</v>
      </c>
      <c r="AG198" s="1794">
        <v>669.17</v>
      </c>
      <c r="AH198" s="1794">
        <v>699.58</v>
      </c>
      <c r="AI198" s="1794">
        <v>730</v>
      </c>
      <c r="AJ198" s="1794">
        <v>0</v>
      </c>
      <c r="AK198" s="1794">
        <v>0</v>
      </c>
      <c r="AL198" s="1794">
        <v>0</v>
      </c>
      <c r="AM198" s="1794">
        <v>0</v>
      </c>
      <c r="AN198" s="1797"/>
      <c r="AO198" s="1797"/>
      <c r="AP198" s="1808">
        <f t="shared" si="105"/>
        <v>1.5845646622518719</v>
      </c>
      <c r="AQ198" s="1810">
        <f>IF(AP198&gt;[11]核心假设及结论!$B$59,[11]核心假设及结论!$D$59,IF(AP198&lt;=[11]核心假设及结论!$B$58,[11]核心假设及结论!$D$57,[11]核心假设及结论!$D$58))</f>
        <v>1</v>
      </c>
      <c r="AR198" s="1809">
        <f t="shared" si="106"/>
        <v>669.17</v>
      </c>
      <c r="AS198" s="1809">
        <f>AH198*(AS$2&lt;=YEAR($K198))+AR198*$AQ198*(AS$2=YEAR($K198)+1)+INDEX([11]核心假设及结论!$E$17:$E$21,MATCH($D198,[11]核心假设及结论!$B$17:$B$21,0))*(AS$2&gt;YEAR($K198)+1)*AR198</f>
        <v>699.58</v>
      </c>
      <c r="AT198" s="1809">
        <f>AI198*(AT$2&lt;=YEAR($K198))+AS198*$AQ198*(AT$2=YEAR($K198)+1)+INDEX([11]核心假设及结论!$E$17:$E$21,MATCH($D198,[11]核心假设及结论!$B$17:$B$21,0))*(AT$2&gt;YEAR($K198)+1)*AS198</f>
        <v>730</v>
      </c>
      <c r="AU198" s="1811">
        <f>AJ198*(AU$2&lt;=YEAR($K198))+AT198*$AQ198*(AU$2=YEAR($K198)+1)+INDEX([11]核心假设及结论!$E$17:$E$21,MATCH($D198,[11]核心假设及结论!$B$17:$B$21,0))*(AU$2&gt;YEAR($K198)+1)*AT198</f>
        <v>730</v>
      </c>
      <c r="AV198" s="1809">
        <f>AK198*(AV$2&lt;=YEAR($K198))+AU198*$AQ198*(AV$2=YEAR($K198)+1)+INDEX([11]核心假设及结论!$E$17:$E$21,MATCH($D198,[11]核心假设及结论!$B$17:$B$21,0))*(AV$2&gt;YEAR($K198)+1)*AU198</f>
        <v>749.76437843527788</v>
      </c>
      <c r="AW198" s="1809">
        <f>AL198*(AW$2&lt;=YEAR($K198))+AV198*$AQ198*(AW$2=YEAR($K198)+1)+INDEX([11]核心假设及结论!$E$17:$E$21,MATCH($D198,[11]核心假设及结论!$B$17:$B$21,0))*(AW$2&gt;YEAR($K198)+1)*AV198</f>
        <v>770.06386735676517</v>
      </c>
      <c r="AX198" s="1809">
        <f>AM198*(AX$2&lt;=YEAR($K198))+AW198*$AQ198*(AX$2=YEAR($K198)+1)+INDEX([11]核心假设及结论!$E$17:$E$21,MATCH($D198,[11]核心假设及结论!$B$17:$B$21,0))*(AX$2&gt;YEAR($K198)+1)*AW198</f>
        <v>790.9129546085087</v>
      </c>
      <c r="AZ198" s="1746">
        <f t="shared" si="96"/>
        <v>46496</v>
      </c>
      <c r="BA198" s="1817">
        <f t="shared" si="97"/>
        <v>45658</v>
      </c>
      <c r="BB198" s="1817">
        <f t="shared" si="98"/>
        <v>45766</v>
      </c>
      <c r="BC198" s="1817">
        <f t="shared" si="99"/>
        <v>46022</v>
      </c>
      <c r="BD198" s="1818">
        <f t="shared" si="100"/>
        <v>109</v>
      </c>
      <c r="BE198" s="1818">
        <f t="shared" si="101"/>
        <v>256</v>
      </c>
      <c r="BG198" s="1777">
        <f t="shared" si="86"/>
        <v>159.09089069589044</v>
      </c>
      <c r="BH198" s="1777">
        <f t="shared" si="91"/>
        <v>166.09897065205479</v>
      </c>
      <c r="BI198" s="1777">
        <f t="shared" si="91"/>
        <v>168.19200000000001</v>
      </c>
      <c r="BJ198" s="1777">
        <f t="shared" si="91"/>
        <v>171.3858369167697</v>
      </c>
      <c r="BK198" s="1777">
        <f t="shared" si="90"/>
        <v>176.02602121713934</v>
      </c>
      <c r="BL198" s="1777">
        <f t="shared" si="90"/>
        <v>180.79183614562126</v>
      </c>
      <c r="BM198" s="1777">
        <f t="shared" si="90"/>
        <v>54.418278292756831</v>
      </c>
      <c r="BO198" s="1739">
        <f t="shared" si="102"/>
        <v>2027</v>
      </c>
      <c r="BP198" s="1742">
        <f>_xlfn.IFNA(INDEX($AR198:$AX198,MATCH(BO198,$AR$2:$AX$2,0))*12/365*[11]核心假设及结论!$C$70*$H198,0)</f>
        <v>138240</v>
      </c>
      <c r="BR198" s="1739">
        <f t="shared" si="107"/>
        <v>2030</v>
      </c>
      <c r="BS198" s="1742">
        <f>_xlfn.IFNA(INDEX($AR198:$AX198,MATCH(BR198,$AR$2:$AX$2,0))*12/365*[11]核心假设及结论!$C$70*$H198,0)</f>
        <v>145826.88907314962</v>
      </c>
      <c r="BU198" s="1739">
        <f t="shared" si="108"/>
        <v>2033</v>
      </c>
      <c r="BV198" s="1742">
        <f>_xlfn.IFNA(INDEX($AR198:$AX198,MATCH(BU198,$AR$2:$AX$2,0))*12/365*[11]核心假设及结论!$C$70*$H198,0)</f>
        <v>0</v>
      </c>
      <c r="BX198" s="1739">
        <f t="shared" si="109"/>
        <v>2036</v>
      </c>
      <c r="BY198" s="1742">
        <f>_xlfn.IFNA(INDEX($AR198:$AX198,MATCH(BX198,$AR$2:$AX$2,0))*12/365*[11]核心假设及结论!$C$70*$H198,0)</f>
        <v>0</v>
      </c>
      <c r="CA198" s="1739">
        <f t="shared" si="110"/>
        <v>2039</v>
      </c>
      <c r="CB198" s="1742">
        <f>_xlfn.IFNA(INDEX($AR198:$AX198,MATCH(CA198,$AR$2:$AX$2,0))*12/365*[11]核心假设及结论!$C$70*$H198,0)</f>
        <v>0</v>
      </c>
    </row>
    <row r="199" spans="1:80" ht="30" customHeight="1">
      <c r="A199" s="1756" t="s">
        <v>1662</v>
      </c>
      <c r="B199" s="1757" t="s">
        <v>2088</v>
      </c>
      <c r="C199" s="1756" t="s">
        <v>2089</v>
      </c>
      <c r="D199" s="1756" t="s">
        <v>1685</v>
      </c>
      <c r="E199" s="1758" t="s">
        <v>1692</v>
      </c>
      <c r="F199" s="1759"/>
      <c r="G199" s="1760" t="s">
        <v>1661</v>
      </c>
      <c r="H199" s="1761">
        <v>191</v>
      </c>
      <c r="I199" s="1761" t="s">
        <v>1913</v>
      </c>
      <c r="J199" s="1773">
        <v>45765</v>
      </c>
      <c r="K199" s="1773">
        <v>46820</v>
      </c>
      <c r="L199" s="1764">
        <f t="shared" si="92"/>
        <v>35</v>
      </c>
      <c r="M199" s="1774">
        <f t="shared" si="103"/>
        <v>162613.813975</v>
      </c>
      <c r="N199" s="1775">
        <f t="shared" si="104"/>
        <v>737.76</v>
      </c>
      <c r="O199" s="1760">
        <v>140912.16</v>
      </c>
      <c r="P199" s="1776">
        <v>0.18</v>
      </c>
      <c r="Q199" s="1783">
        <f t="shared" si="93"/>
        <v>95</v>
      </c>
      <c r="R199" s="1784">
        <v>18145</v>
      </c>
      <c r="S199" s="1777">
        <f t="shared" si="94"/>
        <v>18.621225000000003</v>
      </c>
      <c r="T199" s="1777">
        <v>3556.6539750000002</v>
      </c>
      <c r="U199" s="1777"/>
      <c r="V199" s="1785">
        <v>2041865</v>
      </c>
      <c r="W199" s="1785">
        <f t="shared" si="95"/>
        <v>10690.392670157067</v>
      </c>
      <c r="X199" s="1786">
        <f>(N199+Q199+S199)*H199/V199</f>
        <v>7.9639845912927637E-2</v>
      </c>
      <c r="Y199" s="1789">
        <f>VLOOKUP(E199,[11]核心假设及结论!$C$25:$E$45,3,0)</f>
        <v>0.2</v>
      </c>
      <c r="Z199" s="1790">
        <f t="shared" si="83"/>
        <v>140912.16</v>
      </c>
      <c r="AA199" s="1790">
        <f t="shared" si="83"/>
        <v>116191.03000000001</v>
      </c>
      <c r="AB199" s="1790">
        <f t="shared" si="83"/>
        <v>122001.25</v>
      </c>
      <c r="AC199" s="1790">
        <f t="shared" si="82"/>
        <v>127811.46999999999</v>
      </c>
      <c r="AD199" s="1790">
        <f t="shared" si="82"/>
        <v>0</v>
      </c>
      <c r="AE199" s="1790">
        <f t="shared" si="82"/>
        <v>0</v>
      </c>
      <c r="AF199" s="1790">
        <f t="shared" si="82"/>
        <v>0</v>
      </c>
      <c r="AG199" s="1794">
        <v>737.76</v>
      </c>
      <c r="AH199" s="1794">
        <v>608.33000000000004</v>
      </c>
      <c r="AI199" s="1794">
        <v>638.75</v>
      </c>
      <c r="AJ199" s="1794">
        <v>669.17</v>
      </c>
      <c r="AK199" s="1794">
        <v>0</v>
      </c>
      <c r="AL199" s="1794">
        <v>0</v>
      </c>
      <c r="AM199" s="1794">
        <v>0</v>
      </c>
      <c r="AN199" s="1795"/>
      <c r="AO199" s="1795"/>
      <c r="AP199" s="1808">
        <f t="shared" si="105"/>
        <v>0.39819922956463816</v>
      </c>
      <c r="AQ199" s="1810">
        <f>IF(AP199&gt;[11]核心假设及结论!$B$59,[11]核心假设及结论!$D$59,IF(AP199&lt;=[11]核心假设及结论!$B$58,[11]核心假设及结论!$D$57,[11]核心假设及结论!$D$58))</f>
        <v>1.0342640124442799</v>
      </c>
      <c r="AR199" s="1809">
        <f t="shared" si="106"/>
        <v>737.76</v>
      </c>
      <c r="AS199" s="1809">
        <f>AH199*(AS$2&lt;=YEAR($K199))+AR199*$AQ199*(AS$2=YEAR($K199)+1)+INDEX([11]核心假设及结论!$E$17:$E$21,MATCH($D199,[11]核心假设及结论!$B$17:$B$21,0))*(AS$2&gt;YEAR($K199)+1)*AR199</f>
        <v>608.33000000000004</v>
      </c>
      <c r="AT199" s="1809">
        <f>AI199*(AT$2&lt;=YEAR($K199))+AS199*$AQ199*(AT$2=YEAR($K199)+1)+INDEX([11]核心假设及结论!$E$17:$E$21,MATCH($D199,[11]核心假设及结论!$B$17:$B$21,0))*(AT$2&gt;YEAR($K199)+1)*AS199</f>
        <v>638.75</v>
      </c>
      <c r="AU199" s="1809">
        <f>AJ199*(AU$2&lt;=YEAR($K199))+AT199*$AQ199*(AU$2=YEAR($K199)+1)+INDEX([11]核心假设及结论!$E$17:$E$21,MATCH($D199,[11]核心假设及结论!$B$17:$B$21,0))*(AU$2&gt;YEAR($K199)+1)*AT199</f>
        <v>669.17</v>
      </c>
      <c r="AV199" s="1811">
        <f>AK199*(AV$2&lt;=YEAR($K199))+AU199*$AQ199*(AV$2=YEAR($K199)+1)+INDEX([11]核心假设及结论!$E$17:$E$21,MATCH($D199,[11]核心假设及结论!$B$17:$B$21,0))*(AV$2&gt;YEAR($K199)+1)*AU199</f>
        <v>692.09844920733872</v>
      </c>
      <c r="AW199" s="1809">
        <f>AL199*(AW$2&lt;=YEAR($K199))+AV199*$AQ199*(AW$2=YEAR($K199)+1)+INDEX([11]核心假设及结论!$E$17:$E$21,MATCH($D199,[11]核心假设及结论!$B$17:$B$21,0))*(AW$2&gt;YEAR($K199)+1)*AV199</f>
        <v>710.83666244652068</v>
      </c>
      <c r="AX199" s="1809">
        <f>AM199*(AX$2&lt;=YEAR($K199))+AW199*$AQ199*(AX$2=YEAR($K199)+1)+INDEX([11]核心假设及结论!$E$17:$E$21,MATCH($D199,[11]核心假设及结论!$B$17:$B$21,0))*(AX$2&gt;YEAR($K199)+1)*AW199</f>
        <v>730.08220327153845</v>
      </c>
      <c r="AZ199" s="1746">
        <f t="shared" si="96"/>
        <v>46820</v>
      </c>
      <c r="BA199" s="1817">
        <f t="shared" si="97"/>
        <v>45658</v>
      </c>
      <c r="BB199" s="1817">
        <f t="shared" si="98"/>
        <v>45724</v>
      </c>
      <c r="BC199" s="1817">
        <f t="shared" si="99"/>
        <v>46022</v>
      </c>
      <c r="BD199" s="1818">
        <f t="shared" si="100"/>
        <v>67</v>
      </c>
      <c r="BE199" s="1818">
        <f t="shared" si="101"/>
        <v>298</v>
      </c>
      <c r="BG199" s="1777">
        <f t="shared" si="86"/>
        <v>144.87465751232881</v>
      </c>
      <c r="BH199" s="1777">
        <f t="shared" si="91"/>
        <v>145.12165975890412</v>
      </c>
      <c r="BI199" s="1777">
        <f t="shared" si="91"/>
        <v>152.09392375890408</v>
      </c>
      <c r="BJ199" s="1777">
        <f t="shared" si="91"/>
        <v>157.66431130515056</v>
      </c>
      <c r="BK199" s="1777">
        <f t="shared" si="90"/>
        <v>162.13540276483522</v>
      </c>
      <c r="BL199" s="1777">
        <f t="shared" si="90"/>
        <v>166.52513626894535</v>
      </c>
      <c r="BM199" s="1777">
        <f t="shared" si="90"/>
        <v>30.716258483065896</v>
      </c>
      <c r="BO199" s="1739">
        <f t="shared" si="102"/>
        <v>2028</v>
      </c>
      <c r="BP199" s="1742">
        <f>_xlfn.IFNA(INDEX($AR199:$AX199,MATCH(BO199,$AR$2:$AX$2,0))*12/365*[11]核心假设及结论!$C$70*$H199,0)</f>
        <v>126060.62794520546</v>
      </c>
      <c r="BR199" s="1739">
        <f t="shared" si="107"/>
        <v>2031</v>
      </c>
      <c r="BS199" s="1742">
        <f>_xlfn.IFNA(INDEX($AR199:$AX199,MATCH(BR199,$AR$2:$AX$2,0))*12/365*[11]核心假设及结论!$C$70*$H199,0)</f>
        <v>137535.48574507117</v>
      </c>
      <c r="BU199" s="1739">
        <f t="shared" si="108"/>
        <v>2034</v>
      </c>
      <c r="BV199" s="1742">
        <f>_xlfn.IFNA(INDEX($AR199:$AX199,MATCH(BU199,$AR$2:$AX$2,0))*12/365*[11]核心假设及结论!$C$70*$H199,0)</f>
        <v>0</v>
      </c>
      <c r="BX199" s="1739">
        <f t="shared" si="109"/>
        <v>2037</v>
      </c>
      <c r="BY199" s="1742">
        <f>_xlfn.IFNA(INDEX($AR199:$AX199,MATCH(BX199,$AR$2:$AX$2,0))*12/365*[11]核心假设及结论!$C$70*$H199,0)</f>
        <v>0</v>
      </c>
      <c r="CA199" s="1739">
        <f t="shared" si="110"/>
        <v>2040</v>
      </c>
      <c r="CB199" s="1742">
        <f>_xlfn.IFNA(INDEX($AR199:$AX199,MATCH(CA199,$AR$2:$AX$2,0))*12/365*[11]核心假设及结论!$C$70*$H199,0)</f>
        <v>0</v>
      </c>
    </row>
    <row r="200" spans="1:80" ht="30" customHeight="1">
      <c r="A200" s="1756" t="s">
        <v>1687</v>
      </c>
      <c r="B200" s="1757" t="s">
        <v>2090</v>
      </c>
      <c r="C200" s="1756" t="s">
        <v>2091</v>
      </c>
      <c r="D200" s="1756" t="s">
        <v>1685</v>
      </c>
      <c r="E200" s="1758" t="s">
        <v>1718</v>
      </c>
      <c r="F200" s="1759"/>
      <c r="G200" s="1760" t="s">
        <v>1661</v>
      </c>
      <c r="H200" s="1761">
        <v>191</v>
      </c>
      <c r="I200" s="1761" t="s">
        <v>1913</v>
      </c>
      <c r="J200" s="1773">
        <v>45383</v>
      </c>
      <c r="K200" s="1773">
        <v>46477</v>
      </c>
      <c r="L200" s="1764">
        <f t="shared" si="92"/>
        <v>36</v>
      </c>
      <c r="M200" s="1774">
        <f t="shared" si="103"/>
        <v>155202.78</v>
      </c>
      <c r="N200" s="1775">
        <f t="shared" si="104"/>
        <v>699.58</v>
      </c>
      <c r="O200" s="1760">
        <v>133619.78</v>
      </c>
      <c r="P200" s="1776">
        <v>0.18</v>
      </c>
      <c r="Q200" s="1783">
        <f t="shared" si="93"/>
        <v>95</v>
      </c>
      <c r="R200" s="1784">
        <v>18145</v>
      </c>
      <c r="S200" s="1777">
        <f t="shared" si="94"/>
        <v>18</v>
      </c>
      <c r="T200" s="1777">
        <v>3438</v>
      </c>
      <c r="U200" s="1777"/>
      <c r="V200" s="1785">
        <v>198688.77499999999</v>
      </c>
      <c r="W200" s="1785">
        <f t="shared" si="95"/>
        <v>1040.2553664921465</v>
      </c>
      <c r="X200" s="1786">
        <f>(N200+Q200+S200)*H200/V200</f>
        <v>0.78113511948523517</v>
      </c>
      <c r="Y200" s="1789">
        <f>VLOOKUP(E200,[11]核心假设及结论!$C$25:$E$45,3,0)</f>
        <v>0.2</v>
      </c>
      <c r="Z200" s="1790">
        <f t="shared" si="83"/>
        <v>133619.78</v>
      </c>
      <c r="AA200" s="1790">
        <f t="shared" si="83"/>
        <v>136524.88999999998</v>
      </c>
      <c r="AB200" s="1790">
        <f t="shared" si="83"/>
        <v>139430</v>
      </c>
      <c r="AC200" s="1790">
        <f t="shared" si="82"/>
        <v>0</v>
      </c>
      <c r="AD200" s="1790">
        <f t="shared" si="82"/>
        <v>0</v>
      </c>
      <c r="AE200" s="1790">
        <f t="shared" si="82"/>
        <v>0</v>
      </c>
      <c r="AF200" s="1790">
        <f t="shared" si="82"/>
        <v>0</v>
      </c>
      <c r="AG200" s="1794">
        <v>699.58</v>
      </c>
      <c r="AH200" s="1794">
        <v>714.79</v>
      </c>
      <c r="AI200" s="1794">
        <v>730</v>
      </c>
      <c r="AJ200" s="1794">
        <v>0</v>
      </c>
      <c r="AK200" s="1794">
        <v>0</v>
      </c>
      <c r="AL200" s="1794">
        <v>0</v>
      </c>
      <c r="AM200" s="1794">
        <v>0</v>
      </c>
      <c r="AN200" s="1795"/>
      <c r="AO200" s="1795"/>
      <c r="AP200" s="1808">
        <f t="shared" si="105"/>
        <v>3.9056755974261756</v>
      </c>
      <c r="AQ200" s="1810">
        <f>IF(AP200&gt;[11]核心假设及结论!$B$59,[11]核心假设及结论!$D$59,IF(AP200&lt;=[11]核心假设及结论!$B$58,[11]核心假设及结论!$D$57,[11]核心假设及结论!$D$58))</f>
        <v>1</v>
      </c>
      <c r="AR200" s="1809">
        <f t="shared" si="106"/>
        <v>699.58</v>
      </c>
      <c r="AS200" s="1809">
        <f>AH200*(AS$2&lt;=YEAR($K200))+AR200*$AQ200*(AS$2=YEAR($K200)+1)+INDEX([11]核心假设及结论!$E$17:$E$21,MATCH($D200,[11]核心假设及结论!$B$17:$B$21,0))*(AS$2&gt;YEAR($K200)+1)*AR200</f>
        <v>714.79</v>
      </c>
      <c r="AT200" s="1809">
        <f>AI200*(AT$2&lt;=YEAR($K200))+AS200*$AQ200*(AT$2=YEAR($K200)+1)+INDEX([11]核心假设及结论!$E$17:$E$21,MATCH($D200,[11]核心假设及结论!$B$17:$B$21,0))*(AT$2&gt;YEAR($K200)+1)*AS200</f>
        <v>730</v>
      </c>
      <c r="AU200" s="1811">
        <f>AJ200*(AU$2&lt;=YEAR($K200))+AT200*$AQ200*(AU$2=YEAR($K200)+1)+INDEX([11]核心假设及结论!$E$17:$E$21,MATCH($D200,[11]核心假设及结论!$B$17:$B$21,0))*(AU$2&gt;YEAR($K200)+1)*AT200</f>
        <v>730</v>
      </c>
      <c r="AV200" s="1809">
        <f>AK200*(AV$2&lt;=YEAR($K200))+AU200*$AQ200*(AV$2=YEAR($K200)+1)+INDEX([11]核心假设及结论!$E$17:$E$21,MATCH($D200,[11]核心假设及结论!$B$17:$B$21,0))*(AV$2&gt;YEAR($K200)+1)*AU200</f>
        <v>749.76437843527788</v>
      </c>
      <c r="AW200" s="1809">
        <f>AL200*(AW$2&lt;=YEAR($K200))+AV200*$AQ200*(AW$2=YEAR($K200)+1)+INDEX([11]核心假设及结论!$E$17:$E$21,MATCH($D200,[11]核心假设及结论!$B$17:$B$21,0))*(AW$2&gt;YEAR($K200)+1)*AV200</f>
        <v>770.06386735676517</v>
      </c>
      <c r="AX200" s="1809">
        <f>AM200*(AX$2&lt;=YEAR($K200))+AW200*$AQ200*(AX$2=YEAR($K200)+1)+INDEX([11]核心假设及结论!$E$17:$E$21,MATCH($D200,[11]核心假设及结论!$B$17:$B$21,0))*(AX$2&gt;YEAR($K200)+1)*AW200</f>
        <v>790.9129546085087</v>
      </c>
      <c r="AZ200" s="1746">
        <f t="shared" si="96"/>
        <v>46477</v>
      </c>
      <c r="BA200" s="1817">
        <f t="shared" si="97"/>
        <v>45658</v>
      </c>
      <c r="BB200" s="1817">
        <f t="shared" si="98"/>
        <v>45747</v>
      </c>
      <c r="BC200" s="1817">
        <f t="shared" si="99"/>
        <v>46022</v>
      </c>
      <c r="BD200" s="1818">
        <f t="shared" si="100"/>
        <v>90</v>
      </c>
      <c r="BE200" s="1818">
        <f t="shared" si="101"/>
        <v>275</v>
      </c>
      <c r="BG200" s="1777">
        <f t="shared" si="86"/>
        <v>162.97027380821919</v>
      </c>
      <c r="BH200" s="1777">
        <f t="shared" si="91"/>
        <v>166.45640580821919</v>
      </c>
      <c r="BI200" s="1777">
        <f t="shared" si="91"/>
        <v>167.316</v>
      </c>
      <c r="BJ200" s="1777">
        <f t="shared" si="91"/>
        <v>170.7290103363714</v>
      </c>
      <c r="BK200" s="1777">
        <f t="shared" si="90"/>
        <v>175.35141139139674</v>
      </c>
      <c r="BL200" s="1777">
        <f t="shared" si="90"/>
        <v>180.09896160221822</v>
      </c>
      <c r="BM200" s="1777">
        <f t="shared" si="90"/>
        <v>44.698499801820049</v>
      </c>
      <c r="BO200" s="1739">
        <f t="shared" si="102"/>
        <v>2027</v>
      </c>
      <c r="BP200" s="1742">
        <f>_xlfn.IFNA(INDEX($AR200:$AX200,MATCH(BO200,$AR$2:$AX$2,0))*12/365*[11]核心假设及结论!$C$70*$H200,0)</f>
        <v>137520</v>
      </c>
      <c r="BR200" s="1739">
        <f t="shared" si="107"/>
        <v>2030</v>
      </c>
      <c r="BS200" s="1742">
        <f>_xlfn.IFNA(INDEX($AR200:$AX200,MATCH(BR200,$AR$2:$AX$2,0))*12/365*[11]核心假设及结论!$C$70*$H200,0)</f>
        <v>145067.37402589363</v>
      </c>
      <c r="BU200" s="1739">
        <f t="shared" si="108"/>
        <v>2033</v>
      </c>
      <c r="BV200" s="1742">
        <f>_xlfn.IFNA(INDEX($AR200:$AX200,MATCH(BU200,$AR$2:$AX$2,0))*12/365*[11]核心假设及结论!$C$70*$H200,0)</f>
        <v>0</v>
      </c>
      <c r="BX200" s="1739">
        <f t="shared" si="109"/>
        <v>2036</v>
      </c>
      <c r="BY200" s="1742">
        <f>_xlfn.IFNA(INDEX($AR200:$AX200,MATCH(BX200,$AR$2:$AX$2,0))*12/365*[11]核心假设及结论!$C$70*$H200,0)</f>
        <v>0</v>
      </c>
      <c r="CA200" s="1739">
        <f t="shared" si="110"/>
        <v>2039</v>
      </c>
      <c r="CB200" s="1742">
        <f>_xlfn.IFNA(INDEX($AR200:$AX200,MATCH(CA200,$AR$2:$AX$2,0))*12/365*[11]核心假设及结论!$C$70*$H200,0)</f>
        <v>0</v>
      </c>
    </row>
    <row r="201" spans="1:80" ht="30" customHeight="1">
      <c r="A201" s="1756" t="s">
        <v>1687</v>
      </c>
      <c r="B201" s="1757" t="s">
        <v>2092</v>
      </c>
      <c r="C201" s="1756" t="s">
        <v>2093</v>
      </c>
      <c r="D201" s="1756" t="s">
        <v>1685</v>
      </c>
      <c r="E201" s="1758" t="s">
        <v>1692</v>
      </c>
      <c r="F201" s="1759"/>
      <c r="G201" s="1760" t="s">
        <v>1661</v>
      </c>
      <c r="H201" s="1761">
        <v>190</v>
      </c>
      <c r="I201" s="1761" t="s">
        <v>1913</v>
      </c>
      <c r="J201" s="1773">
        <v>45474</v>
      </c>
      <c r="K201" s="1773">
        <v>46568</v>
      </c>
      <c r="L201" s="1764">
        <f t="shared" si="92"/>
        <v>36</v>
      </c>
      <c r="M201" s="1774">
        <f t="shared" si="103"/>
        <v>154390.20000000001</v>
      </c>
      <c r="N201" s="1775">
        <f t="shared" si="104"/>
        <v>699.58</v>
      </c>
      <c r="O201" s="1760">
        <v>132920.20000000001</v>
      </c>
      <c r="P201" s="1776">
        <v>0.18</v>
      </c>
      <c r="Q201" s="1783">
        <f t="shared" si="93"/>
        <v>95</v>
      </c>
      <c r="R201" s="1784">
        <v>18050</v>
      </c>
      <c r="S201" s="1777">
        <f t="shared" si="94"/>
        <v>18</v>
      </c>
      <c r="T201" s="1777">
        <v>3420</v>
      </c>
      <c r="U201" s="1777"/>
      <c r="V201" s="1785">
        <v>533368.55000000005</v>
      </c>
      <c r="W201" s="1785">
        <f t="shared" si="95"/>
        <v>2807.2028947368422</v>
      </c>
      <c r="X201" s="1786">
        <f>(N201+Q201+S201)*H201/V201</f>
        <v>0.28946251142854224</v>
      </c>
      <c r="Y201" s="1789">
        <f>VLOOKUP(E201,[11]核心假设及结论!$C$25:$E$45,3,0)</f>
        <v>0.2</v>
      </c>
      <c r="Z201" s="1790">
        <f t="shared" si="83"/>
        <v>132920.20000000001</v>
      </c>
      <c r="AA201" s="1790">
        <f t="shared" si="83"/>
        <v>137544.79999999999</v>
      </c>
      <c r="AB201" s="1790">
        <f t="shared" si="83"/>
        <v>141589.9</v>
      </c>
      <c r="AC201" s="1790">
        <f t="shared" si="82"/>
        <v>0</v>
      </c>
      <c r="AD201" s="1790">
        <f t="shared" si="82"/>
        <v>0</v>
      </c>
      <c r="AE201" s="1790">
        <f t="shared" si="82"/>
        <v>0</v>
      </c>
      <c r="AF201" s="1790">
        <f t="shared" si="82"/>
        <v>0</v>
      </c>
      <c r="AG201" s="1794">
        <v>699.58</v>
      </c>
      <c r="AH201" s="1794">
        <v>723.92</v>
      </c>
      <c r="AI201" s="1794">
        <v>745.21</v>
      </c>
      <c r="AJ201" s="1794">
        <v>0</v>
      </c>
      <c r="AK201" s="1794">
        <v>0</v>
      </c>
      <c r="AL201" s="1794">
        <v>0</v>
      </c>
      <c r="AM201" s="1794">
        <v>0</v>
      </c>
      <c r="AN201" s="1795"/>
      <c r="AO201" s="1795"/>
      <c r="AP201" s="1808">
        <f t="shared" si="105"/>
        <v>1.447312557142711</v>
      </c>
      <c r="AQ201" s="1810">
        <f>IF(AP201&gt;[11]核心假设及结论!$B$59,[11]核心假设及结论!$D$59,IF(AP201&lt;=[11]核心假设及结论!$B$58,[11]核心假设及结论!$D$57,[11]核心假设及结论!$D$58))</f>
        <v>1.0069999999999999</v>
      </c>
      <c r="AR201" s="1809">
        <f t="shared" si="106"/>
        <v>699.58</v>
      </c>
      <c r="AS201" s="1809">
        <f>AH201*(AS$2&lt;=YEAR($K201))+AR201*$AQ201*(AS$2=YEAR($K201)+1)+INDEX([11]核心假设及结论!$E$17:$E$21,MATCH($D201,[11]核心假设及结论!$B$17:$B$21,0))*(AS$2&gt;YEAR($K201)+1)*AR201</f>
        <v>723.92</v>
      </c>
      <c r="AT201" s="1809">
        <f>AI201*(AT$2&lt;=YEAR($K201))+AS201*$AQ201*(AT$2=YEAR($K201)+1)+INDEX([11]核心假设及结论!$E$17:$E$21,MATCH($D201,[11]核心假设及结论!$B$17:$B$21,0))*(AT$2&gt;YEAR($K201)+1)*AS201</f>
        <v>745.21</v>
      </c>
      <c r="AU201" s="1811">
        <f>AJ201*(AU$2&lt;=YEAR($K201))+AT201*$AQ201*(AU$2=YEAR($K201)+1)+INDEX([11]核心假设及结论!$E$17:$E$21,MATCH($D201,[11]核心假设及结论!$B$17:$B$21,0))*(AU$2&gt;YEAR($K201)+1)*AT201</f>
        <v>750.42646999999999</v>
      </c>
      <c r="AV201" s="1809">
        <f>AK201*(AV$2&lt;=YEAR($K201))+AU201*$AQ201*(AV$2=YEAR($K201)+1)+INDEX([11]核心假设及结论!$E$17:$E$21,MATCH($D201,[11]核心假设及结论!$B$17:$B$21,0))*(AV$2&gt;YEAR($K201)+1)*AU201</f>
        <v>770.74388471360237</v>
      </c>
      <c r="AW201" s="1809">
        <f>AL201*(AW$2&lt;=YEAR($K201))+AV201*$AQ201*(AW$2=YEAR($K201)+1)+INDEX([11]核心假设及结论!$E$17:$E$21,MATCH($D201,[11]核心假设及结论!$B$17:$B$21,0))*(AW$2&gt;YEAR($K201)+1)*AV201</f>
        <v>791.61138308915838</v>
      </c>
      <c r="AX201" s="1809">
        <f>AM201*(AX$2&lt;=YEAR($K201))+AW201*$AQ201*(AX$2=YEAR($K201)+1)+INDEX([11]核心假设及结论!$E$17:$E$21,MATCH($D201,[11]核心假设及结论!$B$17:$B$21,0))*(AX$2&gt;YEAR($K201)+1)*AW201</f>
        <v>813.04385836182678</v>
      </c>
      <c r="AZ201" s="1746">
        <f t="shared" si="96"/>
        <v>46568</v>
      </c>
      <c r="BA201" s="1817">
        <f t="shared" si="97"/>
        <v>45658</v>
      </c>
      <c r="BB201" s="1817">
        <f t="shared" si="98"/>
        <v>45838</v>
      </c>
      <c r="BC201" s="1817">
        <f t="shared" si="99"/>
        <v>46022</v>
      </c>
      <c r="BD201" s="1818">
        <f t="shared" si="100"/>
        <v>181</v>
      </c>
      <c r="BE201" s="1818">
        <f t="shared" si="101"/>
        <v>184</v>
      </c>
      <c r="BG201" s="1777">
        <f t="shared" si="86"/>
        <v>162.30180624657535</v>
      </c>
      <c r="BH201" s="1777">
        <f t="shared" si="91"/>
        <v>167.50076843835618</v>
      </c>
      <c r="BI201" s="1777">
        <f t="shared" si="91"/>
        <v>170.5074453409315</v>
      </c>
      <c r="BJ201" s="1777">
        <f t="shared" si="91"/>
        <v>173.43245757661657</v>
      </c>
      <c r="BK201" s="1777">
        <f t="shared" si="90"/>
        <v>178.12805308963647</v>
      </c>
      <c r="BL201" s="1777">
        <f t="shared" si="90"/>
        <v>182.95077946114728</v>
      </c>
      <c r="BM201" s="1777">
        <f t="shared" si="90"/>
        <v>91.92518889555032</v>
      </c>
      <c r="BO201" s="1739">
        <f t="shared" si="102"/>
        <v>2027</v>
      </c>
      <c r="BP201" s="1742">
        <f>_xlfn.IFNA(INDEX($AR201:$AX201,MATCH(BO201,$AR$2:$AX$2,0))*12/365*[11]核心假设及结论!$C$70*$H201,0)</f>
        <v>139650.31232876712</v>
      </c>
      <c r="BR201" s="1739">
        <f t="shared" si="107"/>
        <v>2030</v>
      </c>
      <c r="BS201" s="1742">
        <f>_xlfn.IFNA(INDEX($AR201:$AX201,MATCH(BR201,$AR$2:$AX$2,0))*12/365*[11]核心假设及结论!$C$70*$H201,0)</f>
        <v>148345.80439259845</v>
      </c>
      <c r="BU201" s="1739">
        <f t="shared" si="108"/>
        <v>2033</v>
      </c>
      <c r="BV201" s="1742">
        <f>_xlfn.IFNA(INDEX($AR201:$AX201,MATCH(BU201,$AR$2:$AX$2,0))*12/365*[11]核心假设及结论!$C$70*$H201,0)</f>
        <v>0</v>
      </c>
      <c r="BX201" s="1739">
        <f t="shared" si="109"/>
        <v>2036</v>
      </c>
      <c r="BY201" s="1742">
        <f>_xlfn.IFNA(INDEX($AR201:$AX201,MATCH(BX201,$AR$2:$AX$2,0))*12/365*[11]核心假设及结论!$C$70*$H201,0)</f>
        <v>0</v>
      </c>
      <c r="CA201" s="1739">
        <f t="shared" si="110"/>
        <v>2039</v>
      </c>
      <c r="CB201" s="1742">
        <f>_xlfn.IFNA(INDEX($AR201:$AX201,MATCH(CA201,$AR$2:$AX$2,0))*12/365*[11]核心假设及结论!$C$70*$H201,0)</f>
        <v>0</v>
      </c>
    </row>
    <row r="202" spans="1:80" ht="30" customHeight="1">
      <c r="A202" s="1756" t="s">
        <v>1687</v>
      </c>
      <c r="B202" s="1757" t="s">
        <v>2094</v>
      </c>
      <c r="C202" s="1756" t="s">
        <v>2095</v>
      </c>
      <c r="D202" s="1756" t="s">
        <v>1685</v>
      </c>
      <c r="E202" s="1758" t="s">
        <v>1692</v>
      </c>
      <c r="F202" s="1762"/>
      <c r="G202" s="1760" t="s">
        <v>1661</v>
      </c>
      <c r="H202" s="1761">
        <v>190</v>
      </c>
      <c r="I202" s="1761" t="s">
        <v>1913</v>
      </c>
      <c r="J202" s="1773">
        <v>45221</v>
      </c>
      <c r="K202" s="1773">
        <v>46316</v>
      </c>
      <c r="L202" s="1764">
        <f t="shared" si="92"/>
        <v>36</v>
      </c>
      <c r="M202" s="1774">
        <f t="shared" si="103"/>
        <v>136102.70000000001</v>
      </c>
      <c r="N202" s="1775">
        <f t="shared" si="104"/>
        <v>608.33000000000004</v>
      </c>
      <c r="O202" s="1760">
        <v>115582.7</v>
      </c>
      <c r="P202" s="1776">
        <v>0.18</v>
      </c>
      <c r="Q202" s="1783">
        <f t="shared" si="93"/>
        <v>90</v>
      </c>
      <c r="R202" s="1784">
        <v>17100</v>
      </c>
      <c r="S202" s="1777">
        <f t="shared" si="94"/>
        <v>18</v>
      </c>
      <c r="T202" s="1784">
        <v>3420</v>
      </c>
      <c r="U202" s="1777"/>
      <c r="V202" s="1785">
        <v>612154.31000000006</v>
      </c>
      <c r="W202" s="1785">
        <f t="shared" si="95"/>
        <v>3221.8647894736846</v>
      </c>
      <c r="X202" s="1786">
        <f>(N202+Q202)*H202/V202</f>
        <v>0.21674714664673356</v>
      </c>
      <c r="Y202" s="1789">
        <f>VLOOKUP(E202,[11]核心假设及结论!$C$25:$E$45,3,0)</f>
        <v>0.2</v>
      </c>
      <c r="Z202" s="1790">
        <f t="shared" si="83"/>
        <v>121362.5</v>
      </c>
      <c r="AA202" s="1790">
        <f t="shared" si="83"/>
        <v>127142.29999999999</v>
      </c>
      <c r="AB202" s="1790">
        <f t="shared" si="83"/>
        <v>0</v>
      </c>
      <c r="AC202" s="1790">
        <f t="shared" si="83"/>
        <v>0</v>
      </c>
      <c r="AD202" s="1790">
        <f t="shared" si="83"/>
        <v>0</v>
      </c>
      <c r="AE202" s="1790">
        <f t="shared" si="83"/>
        <v>0</v>
      </c>
      <c r="AF202" s="1790">
        <f t="shared" si="83"/>
        <v>0</v>
      </c>
      <c r="AG202" s="1794">
        <v>638.75</v>
      </c>
      <c r="AH202" s="1794">
        <v>669.17</v>
      </c>
      <c r="AI202" s="1794">
        <v>0</v>
      </c>
      <c r="AJ202" s="1794">
        <v>0</v>
      </c>
      <c r="AK202" s="1794">
        <v>0</v>
      </c>
      <c r="AL202" s="1794">
        <v>0</v>
      </c>
      <c r="AM202" s="1794">
        <v>0</v>
      </c>
      <c r="AN202" s="1797"/>
      <c r="AO202" s="1797"/>
      <c r="AP202" s="1808">
        <f t="shared" si="105"/>
        <v>1.0837357332336677</v>
      </c>
      <c r="AQ202" s="1810">
        <f>IF(AP202&gt;[11]核心假设及结论!$B$59,[11]核心假设及结论!$D$59,IF(AP202&lt;=[11]核心假设及结论!$B$58,[11]核心假设及结论!$D$57,[11]核心假设及结论!$D$58))</f>
        <v>1.0069999999999999</v>
      </c>
      <c r="AR202" s="1809">
        <f t="shared" si="106"/>
        <v>638.75</v>
      </c>
      <c r="AS202" s="1809">
        <f>AH202*(AS$2&lt;=YEAR($K202))+AR202*$AQ202*(AS$2=YEAR($K202)+1)+INDEX([11]核心假设及结论!$E$17:$E$21,MATCH($D202,[11]核心假设及结论!$B$17:$B$21,0))*(AS$2&gt;YEAR($K202)+1)*AR202</f>
        <v>669.17</v>
      </c>
      <c r="AT202" s="1811">
        <f>AI202*(AT$2&lt;=YEAR($K202))+AS202*$AQ202*(AT$2=YEAR($K202)+1)+INDEX([11]核心假设及结论!$E$17:$E$21,MATCH($D202,[11]核心假设及结论!$B$17:$B$21,0))*(AT$2&gt;YEAR($K202)+1)*AS202</f>
        <v>673.8541899999999</v>
      </c>
      <c r="AU202" s="1809">
        <f>AJ202*(AU$2&lt;=YEAR($K202))+AT202*$AQ202*(AU$2=YEAR($K202)+1)+INDEX([11]核心假设及结论!$E$17:$E$21,MATCH($D202,[11]核心假设及结论!$B$17:$B$21,0))*(AU$2&gt;YEAR($K202)+1)*AT202</f>
        <v>692.09844920733917</v>
      </c>
      <c r="AV202" s="1809">
        <f>AK202*(AV$2&lt;=YEAR($K202))+AU202*$AQ202*(AV$2=YEAR($K202)+1)+INDEX([11]核心假设及结论!$E$17:$E$21,MATCH($D202,[11]核心假设及结论!$B$17:$B$21,0))*(AV$2&gt;YEAR($K202)+1)*AU202</f>
        <v>710.83666244652113</v>
      </c>
      <c r="AW202" s="1809">
        <f>AL202*(AW$2&lt;=YEAR($K202))+AV202*$AQ202*(AW$2=YEAR($K202)+1)+INDEX([11]核心假设及结论!$E$17:$E$21,MATCH($D202,[11]核心假设及结论!$B$17:$B$21,0))*(AW$2&gt;YEAR($K202)+1)*AV202</f>
        <v>730.0822032715389</v>
      </c>
      <c r="AX202" s="1809">
        <f>AM202*(AX$2&lt;=YEAR($K202))+AW202*$AQ202*(AX$2=YEAR($K202)+1)+INDEX([11]核心假设及结论!$E$17:$E$21,MATCH($D202,[11]核心假设及结论!$B$17:$B$21,0))*(AX$2&gt;YEAR($K202)+1)*AW202</f>
        <v>749.84880731855287</v>
      </c>
      <c r="AZ202" s="1746">
        <f t="shared" si="96"/>
        <v>46316</v>
      </c>
      <c r="BA202" s="1817">
        <f t="shared" si="97"/>
        <v>45658</v>
      </c>
      <c r="BB202" s="1817">
        <f t="shared" si="98"/>
        <v>45951</v>
      </c>
      <c r="BC202" s="1817">
        <f t="shared" si="99"/>
        <v>46022</v>
      </c>
      <c r="BD202" s="1818">
        <f t="shared" si="100"/>
        <v>294</v>
      </c>
      <c r="BE202" s="1818">
        <f t="shared" si="101"/>
        <v>71</v>
      </c>
      <c r="BG202" s="1777">
        <f t="shared" si="86"/>
        <v>146.98414783561645</v>
      </c>
      <c r="BH202" s="1777">
        <f t="shared" si="91"/>
        <v>152.7785070348493</v>
      </c>
      <c r="BI202" s="1777">
        <f t="shared" si="91"/>
        <v>154.44790071191343</v>
      </c>
      <c r="BJ202" s="1777">
        <f t="shared" si="91"/>
        <v>158.62949901082368</v>
      </c>
      <c r="BK202" s="1777">
        <f t="shared" si="90"/>
        <v>162.92431195527365</v>
      </c>
      <c r="BL202" s="1777">
        <f t="shared" si="90"/>
        <v>167.33540477416582</v>
      </c>
      <c r="BM202" s="1777">
        <f t="shared" si="90"/>
        <v>137.70921986897875</v>
      </c>
      <c r="BO202" s="1739">
        <f t="shared" si="102"/>
        <v>2026</v>
      </c>
      <c r="BP202" s="1742">
        <f>_xlfn.IFNA(INDEX($AR202:$AX202,MATCH(BO202,$AR$2:$AX$2,0))*12/365*[11]核心假设及结论!$C$70*$H202,0)</f>
        <v>125400.62465753422</v>
      </c>
      <c r="BR202" s="1739">
        <f t="shared" si="107"/>
        <v>2029</v>
      </c>
      <c r="BS202" s="1742">
        <f>_xlfn.IFNA(INDEX($AR202:$AX202,MATCH(BR202,$AR$2:$AX$2,0))*12/365*[11]核心假设及结论!$C$70*$H202,0)</f>
        <v>133208.84304477272</v>
      </c>
      <c r="BU202" s="1739">
        <f t="shared" si="108"/>
        <v>2032</v>
      </c>
      <c r="BV202" s="1742">
        <f>_xlfn.IFNA(INDEX($AR202:$AX202,MATCH(BU202,$AR$2:$AX$2,0))*12/365*[11]核心假设及结论!$C$70*$H202,0)</f>
        <v>0</v>
      </c>
      <c r="BX202" s="1739">
        <f t="shared" si="109"/>
        <v>2035</v>
      </c>
      <c r="BY202" s="1742">
        <f>_xlfn.IFNA(INDEX($AR202:$AX202,MATCH(BX202,$AR$2:$AX$2,0))*12/365*[11]核心假设及结论!$C$70*$H202,0)</f>
        <v>0</v>
      </c>
      <c r="CA202" s="1739">
        <f t="shared" si="110"/>
        <v>2038</v>
      </c>
      <c r="CB202" s="1742">
        <f>_xlfn.IFNA(INDEX($AR202:$AX202,MATCH(CA202,$AR$2:$AX$2,0))*12/365*[11]核心假设及结论!$C$70*$H202,0)</f>
        <v>0</v>
      </c>
    </row>
    <row r="203" spans="1:80" ht="30" customHeight="1">
      <c r="A203" s="1756" t="s">
        <v>1662</v>
      </c>
      <c r="B203" s="1757" t="s">
        <v>2096</v>
      </c>
      <c r="C203" s="1756" t="s">
        <v>2097</v>
      </c>
      <c r="D203" s="1756" t="s">
        <v>1685</v>
      </c>
      <c r="E203" s="1758" t="s">
        <v>1721</v>
      </c>
      <c r="F203" s="1762"/>
      <c r="G203" s="1760" t="s">
        <v>1661</v>
      </c>
      <c r="H203" s="1761">
        <v>189</v>
      </c>
      <c r="I203" s="1761" t="s">
        <v>1913</v>
      </c>
      <c r="J203" s="1773">
        <v>44835</v>
      </c>
      <c r="K203" s="1773">
        <v>45930</v>
      </c>
      <c r="L203" s="1764">
        <f t="shared" si="92"/>
        <v>36</v>
      </c>
      <c r="M203" s="1774">
        <f t="shared" si="103"/>
        <v>162180.9</v>
      </c>
      <c r="N203" s="1775">
        <f t="shared" si="104"/>
        <v>745.1</v>
      </c>
      <c r="O203" s="1760">
        <v>140823.9</v>
      </c>
      <c r="P203" s="1776">
        <v>0.16</v>
      </c>
      <c r="Q203" s="1783">
        <f t="shared" si="93"/>
        <v>95</v>
      </c>
      <c r="R203" s="1784">
        <v>17955</v>
      </c>
      <c r="S203" s="1777">
        <f t="shared" si="94"/>
        <v>18</v>
      </c>
      <c r="T203" s="1784">
        <v>3402</v>
      </c>
      <c r="U203" s="1777"/>
      <c r="V203" s="1785">
        <v>912555.5</v>
      </c>
      <c r="W203" s="1785">
        <f t="shared" si="95"/>
        <v>4828.3359788359785</v>
      </c>
      <c r="X203" s="1786">
        <f>(N203+Q203)*H203/V203</f>
        <v>0.17399369134260875</v>
      </c>
      <c r="Y203" s="1789">
        <f>VLOOKUP(E203,[11]核心假设及结论!$C$25:$E$45,3,0)</f>
        <v>0.25</v>
      </c>
      <c r="Z203" s="1790">
        <f t="shared" si="83"/>
        <v>146618.63999999998</v>
      </c>
      <c r="AA203" s="1790">
        <f t="shared" si="83"/>
        <v>0</v>
      </c>
      <c r="AB203" s="1790">
        <f t="shared" si="83"/>
        <v>0</v>
      </c>
      <c r="AC203" s="1790">
        <f t="shared" si="83"/>
        <v>0</v>
      </c>
      <c r="AD203" s="1790">
        <f t="shared" si="83"/>
        <v>0</v>
      </c>
      <c r="AE203" s="1790">
        <f t="shared" si="83"/>
        <v>0</v>
      </c>
      <c r="AF203" s="1790">
        <f t="shared" si="83"/>
        <v>0</v>
      </c>
      <c r="AG203" s="1794">
        <v>775.76</v>
      </c>
      <c r="AH203" s="1794">
        <v>0</v>
      </c>
      <c r="AI203" s="1794">
        <v>0</v>
      </c>
      <c r="AJ203" s="1794">
        <v>0</v>
      </c>
      <c r="AK203" s="1794">
        <v>0</v>
      </c>
      <c r="AL203" s="1794">
        <v>0</v>
      </c>
      <c r="AM203" s="1794">
        <v>0</v>
      </c>
      <c r="AN203" s="1797"/>
      <c r="AO203" s="1797"/>
      <c r="AP203" s="1808">
        <f t="shared" si="105"/>
        <v>0.69597476537043501</v>
      </c>
      <c r="AQ203" s="1810">
        <f>IF(AP203&gt;[11]核心假设及结论!$B$59,[11]核心假设及结论!$D$59,IF(AP203&lt;=[11]核心假设及结论!$B$58,[11]核心假设及结论!$D$57,[11]核心假设及结论!$D$58))</f>
        <v>1.0342640124442799</v>
      </c>
      <c r="AR203" s="1809">
        <f t="shared" si="106"/>
        <v>775.76</v>
      </c>
      <c r="AS203" s="1811">
        <f>AH203*(AS$2&lt;=YEAR($K203))+AR203*$AQ203*(AS$2=YEAR($K203)+1)+INDEX([11]核心假设及结论!$E$17:$E$21,MATCH($D203,[11]核心假设及结论!$B$17:$B$21,0))*(AS$2&gt;YEAR($K203)+1)*AR203</f>
        <v>802.34065029377462</v>
      </c>
      <c r="AT203" s="1809">
        <f>AI203*(AT$2&lt;=YEAR($K203))+AS203*$AQ203*(AT$2=YEAR($K203)+1)+INDEX([11]核心假设及结论!$E$17:$E$21,MATCH($D203,[11]核心假设及结论!$B$17:$B$21,0))*(AT$2&gt;YEAR($K203)+1)*AS203</f>
        <v>824.06361501488846</v>
      </c>
      <c r="AU203" s="1809">
        <f>AJ203*(AU$2&lt;=YEAR($K203))+AT203*$AQ203*(AU$2=YEAR($K203)+1)+INDEX([11]核心假设及结论!$E$17:$E$21,MATCH($D203,[11]核心假设及结论!$B$17:$B$21,0))*(AU$2&gt;YEAR($K203)+1)*AT203</f>
        <v>846.37471794899454</v>
      </c>
      <c r="AV203" s="1809">
        <f>AK203*(AV$2&lt;=YEAR($K203))+AU203*$AQ203*(AV$2=YEAR($K203)+1)+INDEX([11]核心假设及结论!$E$17:$E$21,MATCH($D203,[11]核心假设及结论!$B$17:$B$21,0))*(AV$2&gt;YEAR($K203)+1)*AU203</f>
        <v>869.2898826388514</v>
      </c>
      <c r="AW203" s="1809">
        <f>AL203*(AW$2&lt;=YEAR($K203))+AV203*$AQ203*(AW$2=YEAR($K203)+1)+INDEX([11]核心假设及结论!$E$17:$E$21,MATCH($D203,[11]核心假设及结论!$B$17:$B$21,0))*(AW$2&gt;YEAR($K203)+1)*AV203</f>
        <v>892.82546374903302</v>
      </c>
      <c r="AX203" s="1809">
        <f>AM203*(AX$2&lt;=YEAR($K203))+AW203*$AQ203*(AX$2=YEAR($K203)+1)+INDEX([11]核心假设及结论!$E$17:$E$21,MATCH($D203,[11]核心假设及结论!$B$17:$B$21,0))*(AX$2&gt;YEAR($K203)+1)*AW203</f>
        <v>916.9982587383322</v>
      </c>
      <c r="AZ203" s="1746">
        <f t="shared" si="96"/>
        <v>45930</v>
      </c>
      <c r="BA203" s="1817">
        <f t="shared" si="97"/>
        <v>45658</v>
      </c>
      <c r="BB203" s="1817">
        <f t="shared" si="98"/>
        <v>45930</v>
      </c>
      <c r="BC203" s="1817">
        <f t="shared" si="99"/>
        <v>46022</v>
      </c>
      <c r="BD203" s="1818">
        <f t="shared" si="100"/>
        <v>273</v>
      </c>
      <c r="BE203" s="1818">
        <f t="shared" si="101"/>
        <v>92</v>
      </c>
      <c r="BG203" s="1777">
        <f t="shared" si="86"/>
        <v>177.46187818293092</v>
      </c>
      <c r="BH203" s="1777">
        <f t="shared" si="91"/>
        <v>183.21267508302498</v>
      </c>
      <c r="BI203" s="1777">
        <f t="shared" si="91"/>
        <v>188.17306500697089</v>
      </c>
      <c r="BJ203" s="1777">
        <f t="shared" si="91"/>
        <v>193.26775496330507</v>
      </c>
      <c r="BK203" s="1777">
        <f t="shared" si="90"/>
        <v>198.50038105704658</v>
      </c>
      <c r="BL203" s="1777">
        <f t="shared" si="90"/>
        <v>203.87467783890733</v>
      </c>
      <c r="BM203" s="1777">
        <f t="shared" si="90"/>
        <v>155.55405749957828</v>
      </c>
      <c r="BO203" s="1739">
        <f t="shared" si="102"/>
        <v>2025</v>
      </c>
      <c r="BP203" s="1742">
        <f>_xlfn.IFNA(INDEX($AR203:$AX203,MATCH(BO203,$AR$2:$AX$2,0))*12/365*[11]核心假设及结论!$C$70*$H203,0)</f>
        <v>144610.16547945206</v>
      </c>
      <c r="BR203" s="1739">
        <f t="shared" si="107"/>
        <v>2028</v>
      </c>
      <c r="BS203" s="1742">
        <f>_xlfn.IFNA(INDEX($AR203:$AX203,MATCH(BR203,$AR$2:$AX$2,0))*12/365*[11]核心假设及结论!$C$70*$H203,0)</f>
        <v>157773.52276506735</v>
      </c>
      <c r="BU203" s="1739">
        <f t="shared" si="108"/>
        <v>2031</v>
      </c>
      <c r="BV203" s="1742">
        <f>_xlfn.IFNA(INDEX($AR203:$AX203,MATCH(BU203,$AR$2:$AX$2,0))*12/365*[11]核心假设及结论!$C$70*$H203,0)</f>
        <v>170938.52472481132</v>
      </c>
      <c r="BX203" s="1739">
        <f t="shared" si="109"/>
        <v>2034</v>
      </c>
      <c r="BY203" s="1742">
        <f>_xlfn.IFNA(INDEX($AR203:$AX203,MATCH(BX203,$AR$2:$AX$2,0))*12/365*[11]核心假设及结论!$C$70*$H203,0)</f>
        <v>0</v>
      </c>
      <c r="CA203" s="1739">
        <f t="shared" si="110"/>
        <v>2037</v>
      </c>
      <c r="CB203" s="1742">
        <f>_xlfn.IFNA(INDEX($AR203:$AX203,MATCH(CA203,$AR$2:$AX$2,0))*12/365*[11]核心假设及结论!$C$70*$H203,0)</f>
        <v>0</v>
      </c>
    </row>
    <row r="204" spans="1:80" ht="30" customHeight="1">
      <c r="A204" s="1756" t="s">
        <v>1687</v>
      </c>
      <c r="B204" s="1757" t="s">
        <v>2098</v>
      </c>
      <c r="C204" s="1756" t="s">
        <v>2099</v>
      </c>
      <c r="D204" s="1756" t="s">
        <v>1685</v>
      </c>
      <c r="E204" s="1758" t="s">
        <v>1692</v>
      </c>
      <c r="F204" s="1759"/>
      <c r="G204" s="1760" t="s">
        <v>1661</v>
      </c>
      <c r="H204" s="1761">
        <v>189</v>
      </c>
      <c r="I204" s="1761" t="s">
        <v>1913</v>
      </c>
      <c r="J204" s="1773">
        <v>45530</v>
      </c>
      <c r="K204" s="1773">
        <v>46624</v>
      </c>
      <c r="L204" s="1764">
        <f t="shared" si="92"/>
        <v>36</v>
      </c>
      <c r="M204" s="1774">
        <f t="shared" si="103"/>
        <v>78845.13</v>
      </c>
      <c r="N204" s="1775">
        <f t="shared" si="104"/>
        <v>304.16999999999996</v>
      </c>
      <c r="O204" s="1760">
        <v>57488.13</v>
      </c>
      <c r="P204" s="1776">
        <v>0.1</v>
      </c>
      <c r="Q204" s="1783">
        <f t="shared" si="93"/>
        <v>95</v>
      </c>
      <c r="R204" s="1784">
        <v>17955</v>
      </c>
      <c r="S204" s="1777">
        <f t="shared" si="94"/>
        <v>18</v>
      </c>
      <c r="T204" s="1777">
        <v>3402</v>
      </c>
      <c r="U204" s="1777"/>
      <c r="V204" s="1785"/>
      <c r="W204" s="1785">
        <f t="shared" si="95"/>
        <v>0</v>
      </c>
      <c r="X204" s="1786" t="e">
        <f>(N204+Q204)*H204/V204</f>
        <v>#DIV/0!</v>
      </c>
      <c r="Y204" s="1789">
        <f>VLOOKUP(E204,[11]核心假设及结论!$C$25:$E$45,3,0)</f>
        <v>0.2</v>
      </c>
      <c r="Z204" s="1790">
        <f t="shared" ref="Z204:AF240" si="111">AG204*$H204</f>
        <v>57488.130000000005</v>
      </c>
      <c r="AA204" s="1790">
        <f t="shared" si="111"/>
        <v>63235.619999999995</v>
      </c>
      <c r="AB204" s="1790">
        <f t="shared" si="111"/>
        <v>68985</v>
      </c>
      <c r="AC204" s="1790">
        <f t="shared" si="111"/>
        <v>0</v>
      </c>
      <c r="AD204" s="1790">
        <f t="shared" si="111"/>
        <v>0</v>
      </c>
      <c r="AE204" s="1790">
        <f t="shared" si="111"/>
        <v>0</v>
      </c>
      <c r="AF204" s="1790">
        <f t="shared" si="111"/>
        <v>0</v>
      </c>
      <c r="AG204" s="1794">
        <v>304.17</v>
      </c>
      <c r="AH204" s="1794">
        <v>334.58</v>
      </c>
      <c r="AI204" s="1794">
        <v>365</v>
      </c>
      <c r="AJ204" s="1794">
        <v>0</v>
      </c>
      <c r="AK204" s="1794">
        <v>0</v>
      </c>
      <c r="AL204" s="1794">
        <v>0</v>
      </c>
      <c r="AM204" s="1794">
        <v>0</v>
      </c>
      <c r="AN204" s="1795"/>
      <c r="AO204" s="1795"/>
      <c r="AP204" s="1808">
        <f t="shared" si="105"/>
        <v>1.25</v>
      </c>
      <c r="AQ204" s="1810">
        <f>IF(AP204&gt;[11]核心假设及结论!$B$59,[11]核心假设及结论!$D$59,IF(AP204&lt;=[11]核心假设及结论!$B$58,[11]核心假设及结论!$D$57,[11]核心假设及结论!$D$58))</f>
        <v>1.0069999999999999</v>
      </c>
      <c r="AR204" s="1809">
        <f t="shared" si="106"/>
        <v>304.17</v>
      </c>
      <c r="AS204" s="1809">
        <f>AH204*(AS$2&lt;=YEAR($K204))+AR204*$AQ204*(AS$2=YEAR($K204)+1)+INDEX([11]核心假设及结论!$E$17:$E$21,MATCH($D204,[11]核心假设及结论!$B$17:$B$21,0))*(AS$2&gt;YEAR($K204)+1)*AR204</f>
        <v>334.58</v>
      </c>
      <c r="AT204" s="1809">
        <f>AI204*(AT$2&lt;=YEAR($K204))+AS204*$AQ204*(AT$2=YEAR($K204)+1)+INDEX([11]核心假设及结论!$E$17:$E$21,MATCH($D204,[11]核心假设及结论!$B$17:$B$21,0))*(AT$2&gt;YEAR($K204)+1)*AS204</f>
        <v>365</v>
      </c>
      <c r="AU204" s="1811">
        <f>AJ204*(AU$2&lt;=YEAR($K204))+AT204*$AQ204*(AU$2=YEAR($K204)+1)+INDEX([11]核心假设及结论!$E$17:$E$21,MATCH($D204,[11]核心假设及结论!$B$17:$B$21,0))*(AU$2&gt;YEAR($K204)+1)*AT204</f>
        <v>367.55499999999995</v>
      </c>
      <c r="AV204" s="1809">
        <f>AK204*(AV$2&lt;=YEAR($K204))+AU204*$AQ204*(AV$2=YEAR($K204)+1)+INDEX([11]核心假设及结论!$E$17:$E$21,MATCH($D204,[11]核心假设及结论!$B$17:$B$21,0))*(AV$2&gt;YEAR($K204)+1)*AU204</f>
        <v>377.50636454216237</v>
      </c>
      <c r="AW204" s="1809">
        <f>AL204*(AW$2&lt;=YEAR($K204))+AV204*$AQ204*(AW$2=YEAR($K204)+1)+INDEX([11]核心假设及结论!$E$17:$E$21,MATCH($D204,[11]核心假设及结论!$B$17:$B$21,0))*(AW$2&gt;YEAR($K204)+1)*AV204</f>
        <v>387.72715721413124</v>
      </c>
      <c r="AX204" s="1809">
        <f>AM204*(AX$2&lt;=YEAR($K204))+AW204*$AQ204*(AX$2=YEAR($K204)+1)+INDEX([11]核心假设及结论!$E$17:$E$21,MATCH($D204,[11]核心假设及结论!$B$17:$B$21,0))*(AX$2&gt;YEAR($K204)+1)*AW204</f>
        <v>398.22467264538409</v>
      </c>
      <c r="AZ204" s="1746">
        <f t="shared" si="96"/>
        <v>46624</v>
      </c>
      <c r="BA204" s="1817">
        <f t="shared" si="97"/>
        <v>45658</v>
      </c>
      <c r="BB204" s="1817">
        <f t="shared" si="98"/>
        <v>45894</v>
      </c>
      <c r="BC204" s="1817">
        <f t="shared" si="99"/>
        <v>46022</v>
      </c>
      <c r="BD204" s="1818">
        <f t="shared" si="100"/>
        <v>237</v>
      </c>
      <c r="BE204" s="1818">
        <f t="shared" si="101"/>
        <v>128</v>
      </c>
      <c r="BG204" s="1777">
        <f t="shared" si="86"/>
        <v>71.404425764383561</v>
      </c>
      <c r="BH204" s="1777">
        <f t="shared" si="91"/>
        <v>78.302209117808218</v>
      </c>
      <c r="BI204" s="1777">
        <f t="shared" si="91"/>
        <v>82.985212799999999</v>
      </c>
      <c r="BJ204" s="1777">
        <f t="shared" si="91"/>
        <v>84.152959186862432</v>
      </c>
      <c r="BK204" s="1777">
        <f t="shared" si="90"/>
        <v>86.431357723598921</v>
      </c>
      <c r="BL204" s="1777">
        <f t="shared" si="90"/>
        <v>88.77144274102919</v>
      </c>
      <c r="BM204" s="1777">
        <f t="shared" si="90"/>
        <v>58.64442003880994</v>
      </c>
      <c r="BO204" s="1739">
        <f t="shared" si="102"/>
        <v>2027</v>
      </c>
      <c r="BP204" s="1742">
        <f>_xlfn.IFNA(INDEX($AR204:$AX204,MATCH(BO204,$AR$2:$AX$2,0))*12/365*[11]核心假设及结论!$C$70*$H204,0)</f>
        <v>68040</v>
      </c>
      <c r="BR204" s="1739">
        <f t="shared" si="107"/>
        <v>2030</v>
      </c>
      <c r="BS204" s="1742">
        <f>_xlfn.IFNA(INDEX($AR204:$AX204,MATCH(BR204,$AR$2:$AX$2,0))*12/365*[11]核心假设及结论!$C$70*$H204,0)</f>
        <v>72276.591169450665</v>
      </c>
      <c r="BU204" s="1739">
        <f t="shared" si="108"/>
        <v>2033</v>
      </c>
      <c r="BV204" s="1742">
        <f>_xlfn.IFNA(INDEX($AR204:$AX204,MATCH(BU204,$AR$2:$AX$2,0))*12/365*[11]核心假设及结论!$C$70*$H204,0)</f>
        <v>0</v>
      </c>
      <c r="BX204" s="1739">
        <f t="shared" si="109"/>
        <v>2036</v>
      </c>
      <c r="BY204" s="1742">
        <f>_xlfn.IFNA(INDEX($AR204:$AX204,MATCH(BX204,$AR$2:$AX$2,0))*12/365*[11]核心假设及结论!$C$70*$H204,0)</f>
        <v>0</v>
      </c>
      <c r="CA204" s="1739">
        <f t="shared" si="110"/>
        <v>2039</v>
      </c>
      <c r="CB204" s="1742">
        <f>_xlfn.IFNA(INDEX($AR204:$AX204,MATCH(CA204,$AR$2:$AX$2,0))*12/365*[11]核心假设及结论!$C$70*$H204,0)</f>
        <v>0</v>
      </c>
    </row>
    <row r="205" spans="1:80" ht="29.25" customHeight="1">
      <c r="A205" s="1756" t="s">
        <v>1662</v>
      </c>
      <c r="B205" s="1757" t="s">
        <v>2100</v>
      </c>
      <c r="C205" s="1756" t="s">
        <v>2101</v>
      </c>
      <c r="D205" s="1756" t="s">
        <v>1685</v>
      </c>
      <c r="E205" s="1758" t="s">
        <v>1718</v>
      </c>
      <c r="F205" s="1759"/>
      <c r="G205" s="1763" t="s">
        <v>1682</v>
      </c>
      <c r="H205" s="1761">
        <v>185</v>
      </c>
      <c r="I205" s="1761" t="s">
        <v>1913</v>
      </c>
      <c r="J205" s="1773">
        <v>45426</v>
      </c>
      <c r="K205" s="1773">
        <v>46520</v>
      </c>
      <c r="L205" s="1764">
        <f t="shared" si="92"/>
        <v>36</v>
      </c>
      <c r="M205" s="1774">
        <f t="shared" si="103"/>
        <v>20905</v>
      </c>
      <c r="N205" s="1775">
        <f t="shared" si="104"/>
        <v>0</v>
      </c>
      <c r="O205" s="1760">
        <v>0</v>
      </c>
      <c r="P205" s="1776">
        <v>0</v>
      </c>
      <c r="Q205" s="1783">
        <f t="shared" si="93"/>
        <v>95</v>
      </c>
      <c r="R205" s="1784">
        <v>17575</v>
      </c>
      <c r="S205" s="1777">
        <f t="shared" si="94"/>
        <v>18</v>
      </c>
      <c r="T205" s="1784">
        <v>3330</v>
      </c>
      <c r="U205" s="1777"/>
      <c r="V205" s="1785">
        <v>527966.16666666698</v>
      </c>
      <c r="W205" s="1785">
        <f t="shared" si="95"/>
        <v>2853.871171171173</v>
      </c>
      <c r="X205" s="1786">
        <f>(N205+Q205+S205)*H205/V205</f>
        <v>3.9595340231713058E-2</v>
      </c>
      <c r="Y205" s="1789">
        <f>VLOOKUP(E205,[11]核心假设及结论!$C$25:$E$45,3,0)</f>
        <v>0.2</v>
      </c>
      <c r="Z205" s="1790">
        <f t="shared" si="111"/>
        <v>140677.69999999998</v>
      </c>
      <c r="AA205" s="1790">
        <f t="shared" si="111"/>
        <v>146303.55000000002</v>
      </c>
      <c r="AB205" s="1790">
        <f t="shared" si="111"/>
        <v>151931.25</v>
      </c>
      <c r="AC205" s="1790">
        <f t="shared" si="111"/>
        <v>0</v>
      </c>
      <c r="AD205" s="1790">
        <f t="shared" si="111"/>
        <v>0</v>
      </c>
      <c r="AE205" s="1790">
        <f t="shared" si="111"/>
        <v>0</v>
      </c>
      <c r="AF205" s="1790">
        <f t="shared" si="111"/>
        <v>0</v>
      </c>
      <c r="AG205" s="1794">
        <v>760.42</v>
      </c>
      <c r="AH205" s="1794">
        <v>790.83</v>
      </c>
      <c r="AI205" s="1794">
        <v>821.25</v>
      </c>
      <c r="AJ205" s="1794">
        <v>0</v>
      </c>
      <c r="AK205" s="1794">
        <v>0</v>
      </c>
      <c r="AL205" s="1794">
        <v>0</v>
      </c>
      <c r="AM205" s="1794">
        <v>0</v>
      </c>
      <c r="AN205" s="1797"/>
      <c r="AO205" s="1797"/>
      <c r="AP205" s="1808">
        <f t="shared" si="105"/>
        <v>0.19797670115856528</v>
      </c>
      <c r="AQ205" s="1810">
        <f>IF(AP205&gt;[11]核心假设及结论!$B$59,[11]核心假设及结论!$D$59,IF(AP205&lt;=[11]核心假设及结论!$B$58,[11]核心假设及结论!$D$57,[11]核心假设及结论!$D$58))</f>
        <v>1.0342640124442799</v>
      </c>
      <c r="AR205" s="1809">
        <f t="shared" si="106"/>
        <v>760.42</v>
      </c>
      <c r="AS205" s="1809">
        <f>AH205*(AS$2&lt;=YEAR($K205))+AR205*$AQ205*(AS$2=YEAR($K205)+1)+INDEX([11]核心假设及结论!$E$17:$E$21,MATCH($D205,[11]核心假设及结论!$B$17:$B$21,0))*(AS$2&gt;YEAR($K205)+1)*AR205</f>
        <v>790.83</v>
      </c>
      <c r="AT205" s="1809">
        <f>AI205*(AT$2&lt;=YEAR($K205))+AS205*$AQ205*(AT$2=YEAR($K205)+1)+INDEX([11]核心假设及结论!$E$17:$E$21,MATCH($D205,[11]核心假设及结论!$B$17:$B$21,0))*(AT$2&gt;YEAR($K205)+1)*AS205</f>
        <v>821.25</v>
      </c>
      <c r="AU205" s="1811">
        <f>AJ205*(AU$2&lt;=YEAR($K205))+AT205*$AQ205*(AU$2=YEAR($K205)+1)+INDEX([11]核心假设及结论!$E$17:$E$21,MATCH($D205,[11]核心假设及结论!$B$17:$B$21,0))*(AU$2&gt;YEAR($K205)+1)*AT205</f>
        <v>849.38932021986489</v>
      </c>
      <c r="AV205" s="1809">
        <f>AK205*(AV$2&lt;=YEAR($K205))+AU205*$AQ205*(AV$2=YEAR($K205)+1)+INDEX([11]核心假设及结论!$E$17:$E$21,MATCH($D205,[11]核心假设及结论!$B$17:$B$21,0))*(AV$2&gt;YEAR($K205)+1)*AU205</f>
        <v>872.38610373179483</v>
      </c>
      <c r="AW205" s="1809">
        <f>AL205*(AW$2&lt;=YEAR($K205))+AV205*$AQ205*(AW$2=YEAR($K205)+1)+INDEX([11]核心假设及结论!$E$17:$E$21,MATCH($D205,[11]核心假设及结论!$B$17:$B$21,0))*(AW$2&gt;YEAR($K205)+1)*AV205</f>
        <v>896.00551345211375</v>
      </c>
      <c r="AX205" s="1809">
        <f>AM205*(AX$2&lt;=YEAR($K205))+AW205*$AQ205*(AX$2=YEAR($K205)+1)+INDEX([11]核心假设及结论!$E$17:$E$21,MATCH($D205,[11]核心假设及结论!$B$17:$B$21,0))*(AX$2&gt;YEAR($K205)+1)*AW205</f>
        <v>920.26440666850158</v>
      </c>
      <c r="AZ205" s="1746">
        <f t="shared" si="96"/>
        <v>46520</v>
      </c>
      <c r="BA205" s="1817">
        <f t="shared" si="97"/>
        <v>45658</v>
      </c>
      <c r="BB205" s="1817">
        <f t="shared" si="98"/>
        <v>45790</v>
      </c>
      <c r="BC205" s="1817">
        <f t="shared" si="99"/>
        <v>46022</v>
      </c>
      <c r="BD205" s="1818">
        <f t="shared" si="100"/>
        <v>133</v>
      </c>
      <c r="BE205" s="1818">
        <f t="shared" si="101"/>
        <v>232</v>
      </c>
      <c r="BG205" s="1777">
        <f t="shared" si="86"/>
        <v>173.10429928767127</v>
      </c>
      <c r="BH205" s="1777">
        <f t="shared" si="91"/>
        <v>179.85673035616438</v>
      </c>
      <c r="BI205" s="1777">
        <f t="shared" si="91"/>
        <v>186.2881508180929</v>
      </c>
      <c r="BJ205" s="1777">
        <f t="shared" si="91"/>
        <v>191.80943275455917</v>
      </c>
      <c r="BK205" s="1777">
        <f t="shared" si="90"/>
        <v>197.00257551677439</v>
      </c>
      <c r="BL205" s="1777">
        <f t="shared" si="90"/>
        <v>202.3363199760044</v>
      </c>
      <c r="BM205" s="1777">
        <f t="shared" si="90"/>
        <v>74.443087318614189</v>
      </c>
      <c r="BO205" s="1739">
        <f t="shared" si="102"/>
        <v>2027</v>
      </c>
      <c r="BP205" s="1742">
        <f>_xlfn.IFNA(INDEX($AR205:$AX205,MATCH(BO205,$AR$2:$AX$2,0))*12/365*[11]核心假设及结论!$C$70*$H205,0)</f>
        <v>149850</v>
      </c>
      <c r="BR205" s="1739">
        <f t="shared" si="107"/>
        <v>2030</v>
      </c>
      <c r="BS205" s="1742">
        <f>_xlfn.IFNA(INDEX($AR205:$AX205,MATCH(BR205,$AR$2:$AX$2,0))*12/365*[11]核心假设及结论!$C$70*$H205,0)</f>
        <v>163490.32108468705</v>
      </c>
      <c r="BU205" s="1739">
        <f t="shared" si="108"/>
        <v>2033</v>
      </c>
      <c r="BV205" s="1742">
        <f>_xlfn.IFNA(INDEX($AR205:$AX205,MATCH(BU205,$AR$2:$AX$2,0))*12/365*[11]核心假设及结论!$C$70*$H205,0)</f>
        <v>0</v>
      </c>
      <c r="BX205" s="1739">
        <f t="shared" si="109"/>
        <v>2036</v>
      </c>
      <c r="BY205" s="1742">
        <f>_xlfn.IFNA(INDEX($AR205:$AX205,MATCH(BX205,$AR$2:$AX$2,0))*12/365*[11]核心假设及结论!$C$70*$H205,0)</f>
        <v>0</v>
      </c>
      <c r="CA205" s="1739">
        <f t="shared" si="110"/>
        <v>2039</v>
      </c>
      <c r="CB205" s="1742">
        <f>_xlfn.IFNA(INDEX($AR205:$AX205,MATCH(CA205,$AR$2:$AX$2,0))*12/365*[11]核心假设及结论!$C$70*$H205,0)</f>
        <v>0</v>
      </c>
    </row>
    <row r="206" spans="1:80" ht="30" customHeight="1">
      <c r="A206" s="1756" t="s">
        <v>1687</v>
      </c>
      <c r="B206" s="1757" t="s">
        <v>2102</v>
      </c>
      <c r="C206" s="1756" t="s">
        <v>2103</v>
      </c>
      <c r="D206" s="1756" t="s">
        <v>1685</v>
      </c>
      <c r="E206" s="1758" t="s">
        <v>1692</v>
      </c>
      <c r="F206" s="1759"/>
      <c r="G206" s="1760" t="s">
        <v>1661</v>
      </c>
      <c r="H206" s="1761">
        <v>184</v>
      </c>
      <c r="I206" s="1761" t="s">
        <v>1913</v>
      </c>
      <c r="J206" s="1773">
        <v>45352</v>
      </c>
      <c r="K206" s="1773">
        <v>46446</v>
      </c>
      <c r="L206" s="1764">
        <f t="shared" si="92"/>
        <v>36</v>
      </c>
      <c r="M206" s="1774">
        <f t="shared" si="103"/>
        <v>93549.28</v>
      </c>
      <c r="N206" s="1775">
        <f t="shared" si="104"/>
        <v>395.42</v>
      </c>
      <c r="O206" s="1760">
        <v>72757.279999999999</v>
      </c>
      <c r="P206" s="1776">
        <v>0.1</v>
      </c>
      <c r="Q206" s="1783">
        <f t="shared" si="93"/>
        <v>95</v>
      </c>
      <c r="R206" s="1784">
        <v>17480</v>
      </c>
      <c r="S206" s="1777">
        <f t="shared" si="94"/>
        <v>18</v>
      </c>
      <c r="T206" s="1784">
        <v>3312</v>
      </c>
      <c r="U206" s="1777"/>
      <c r="V206" s="1785">
        <v>381158.97499999998</v>
      </c>
      <c r="W206" s="1785">
        <f t="shared" si="95"/>
        <v>2071.5161684782606</v>
      </c>
      <c r="X206" s="1786">
        <f>(N206+Q206)*H206/V206</f>
        <v>0.23674447125375969</v>
      </c>
      <c r="Y206" s="1789">
        <f>VLOOKUP(E206,[11]核心假设及结论!$C$25:$E$45,3,0)</f>
        <v>0.2</v>
      </c>
      <c r="Z206" s="1790">
        <f t="shared" si="111"/>
        <v>72757.279999999999</v>
      </c>
      <c r="AA206" s="1790">
        <f t="shared" si="111"/>
        <v>78352.72</v>
      </c>
      <c r="AB206" s="1790">
        <f t="shared" si="111"/>
        <v>83950</v>
      </c>
      <c r="AC206" s="1790">
        <f t="shared" si="111"/>
        <v>0</v>
      </c>
      <c r="AD206" s="1790">
        <f t="shared" si="111"/>
        <v>0</v>
      </c>
      <c r="AE206" s="1790">
        <f t="shared" si="111"/>
        <v>0</v>
      </c>
      <c r="AF206" s="1790">
        <f t="shared" si="111"/>
        <v>0</v>
      </c>
      <c r="AG206" s="1794">
        <v>395.42</v>
      </c>
      <c r="AH206" s="1794">
        <v>425.83</v>
      </c>
      <c r="AI206" s="1794">
        <v>456.25</v>
      </c>
      <c r="AJ206" s="1794">
        <v>0</v>
      </c>
      <c r="AK206" s="1794">
        <v>0</v>
      </c>
      <c r="AL206" s="1794">
        <v>0</v>
      </c>
      <c r="AM206" s="1794">
        <v>0</v>
      </c>
      <c r="AN206" s="1797"/>
      <c r="AO206" s="1797"/>
      <c r="AP206" s="1808">
        <f t="shared" si="105"/>
        <v>1.1837223562687984</v>
      </c>
      <c r="AQ206" s="1810">
        <f>IF(AP206&gt;[11]核心假设及结论!$B$59,[11]核心假设及结论!$D$59,IF(AP206&lt;=[11]核心假设及结论!$B$58,[11]核心假设及结论!$D$57,[11]核心假设及结论!$D$58))</f>
        <v>1.0069999999999999</v>
      </c>
      <c r="AR206" s="1809">
        <f t="shared" si="106"/>
        <v>395.42</v>
      </c>
      <c r="AS206" s="1809">
        <f>AH206*(AS$2&lt;=YEAR($K206))+AR206*$AQ206*(AS$2=YEAR($K206)+1)+INDEX([11]核心假设及结论!$E$17:$E$21,MATCH($D206,[11]核心假设及结论!$B$17:$B$21,0))*(AS$2&gt;YEAR($K206)+1)*AR206</f>
        <v>425.83</v>
      </c>
      <c r="AT206" s="1809">
        <f>AI206*(AT$2&lt;=YEAR($K206))+AS206*$AQ206*(AT$2=YEAR($K206)+1)+INDEX([11]核心假设及结论!$E$17:$E$21,MATCH($D206,[11]核心假设及结论!$B$17:$B$21,0))*(AT$2&gt;YEAR($K206)+1)*AS206</f>
        <v>456.25</v>
      </c>
      <c r="AU206" s="1811">
        <f>AJ206*(AU$2&lt;=YEAR($K206))+AT206*$AQ206*(AU$2=YEAR($K206)+1)+INDEX([11]核心假设及结论!$E$17:$E$21,MATCH($D206,[11]核心假设及结论!$B$17:$B$21,0))*(AU$2&gt;YEAR($K206)+1)*AT206</f>
        <v>459.44374999999997</v>
      </c>
      <c r="AV206" s="1809">
        <f>AK206*(AV$2&lt;=YEAR($K206))+AU206*$AQ206*(AV$2=YEAR($K206)+1)+INDEX([11]核心假设及结论!$E$17:$E$21,MATCH($D206,[11]核心假设及结论!$B$17:$B$21,0))*(AV$2&gt;YEAR($K206)+1)*AU206</f>
        <v>471.88295567770302</v>
      </c>
      <c r="AW206" s="1809">
        <f>AL206*(AW$2&lt;=YEAR($K206))+AV206*$AQ206*(AW$2=YEAR($K206)+1)+INDEX([11]核心假设及结论!$E$17:$E$21,MATCH($D206,[11]核心假设及结论!$B$17:$B$21,0))*(AW$2&gt;YEAR($K206)+1)*AV206</f>
        <v>484.65894651766411</v>
      </c>
      <c r="AX206" s="1809">
        <f>AM206*(AX$2&lt;=YEAR($K206))+AW206*$AQ206*(AX$2=YEAR($K206)+1)+INDEX([11]核心假设及结论!$E$17:$E$21,MATCH($D206,[11]核心假设及结论!$B$17:$B$21,0))*(AX$2&gt;YEAR($K206)+1)*AW206</f>
        <v>497.78084080673017</v>
      </c>
      <c r="AZ206" s="1746">
        <f t="shared" si="96"/>
        <v>46446</v>
      </c>
      <c r="BA206" s="1817">
        <f t="shared" si="97"/>
        <v>45658</v>
      </c>
      <c r="BB206" s="1817">
        <f t="shared" si="98"/>
        <v>45716</v>
      </c>
      <c r="BC206" s="1817">
        <f t="shared" si="99"/>
        <v>46022</v>
      </c>
      <c r="BD206" s="1818">
        <f t="shared" si="100"/>
        <v>59</v>
      </c>
      <c r="BE206" s="1818">
        <f t="shared" si="101"/>
        <v>306</v>
      </c>
      <c r="BG206" s="1777">
        <f t="shared" si="86"/>
        <v>92.937901939726032</v>
      </c>
      <c r="BH206" s="1777">
        <f t="shared" si="91"/>
        <v>99.654281030136985</v>
      </c>
      <c r="BI206" s="1777">
        <f t="shared" si="91"/>
        <v>101.33119199999999</v>
      </c>
      <c r="BJ206" s="1777">
        <f t="shared" si="91"/>
        <v>103.74778943499415</v>
      </c>
      <c r="BK206" s="1777">
        <f t="shared" si="90"/>
        <v>106.55670802707191</v>
      </c>
      <c r="BL206" s="1777">
        <f t="shared" si="90"/>
        <v>109.44167666031089</v>
      </c>
      <c r="BM206" s="1777">
        <f t="shared" si="90"/>
        <v>17.766275532486123</v>
      </c>
      <c r="BO206" s="1739">
        <f t="shared" si="102"/>
        <v>2027</v>
      </c>
      <c r="BP206" s="1742">
        <f>_xlfn.IFNA(INDEX($AR206:$AX206,MATCH(BO206,$AR$2:$AX$2,0))*12/365*[11]核心假设及结论!$C$70*$H206,0)</f>
        <v>82800</v>
      </c>
      <c r="BR206" s="1739">
        <f t="shared" si="107"/>
        <v>2030</v>
      </c>
      <c r="BS206" s="1742">
        <f>_xlfn.IFNA(INDEX($AR206:$AX206,MATCH(BR206,$AR$2:$AX$2,0))*12/365*[11]核心假设及结论!$C$70*$H206,0)</f>
        <v>87955.640047479654</v>
      </c>
      <c r="BU206" s="1739">
        <f t="shared" si="108"/>
        <v>2033</v>
      </c>
      <c r="BV206" s="1742">
        <f>_xlfn.IFNA(INDEX($AR206:$AX206,MATCH(BU206,$AR$2:$AX$2,0))*12/365*[11]核心假设及结论!$C$70*$H206,0)</f>
        <v>0</v>
      </c>
      <c r="BX206" s="1739">
        <f t="shared" si="109"/>
        <v>2036</v>
      </c>
      <c r="BY206" s="1742">
        <f>_xlfn.IFNA(INDEX($AR206:$AX206,MATCH(BX206,$AR$2:$AX$2,0))*12/365*[11]核心假设及结论!$C$70*$H206,0)</f>
        <v>0</v>
      </c>
      <c r="CA206" s="1739">
        <f t="shared" si="110"/>
        <v>2039</v>
      </c>
      <c r="CB206" s="1742">
        <f>_xlfn.IFNA(INDEX($AR206:$AX206,MATCH(CA206,$AR$2:$AX$2,0))*12/365*[11]核心假设及结论!$C$70*$H206,0)</f>
        <v>0</v>
      </c>
    </row>
    <row r="207" spans="1:80" ht="30" customHeight="1">
      <c r="A207" s="1756" t="s">
        <v>1687</v>
      </c>
      <c r="B207" s="1757" t="s">
        <v>2104</v>
      </c>
      <c r="C207" s="1756" t="s">
        <v>2105</v>
      </c>
      <c r="D207" s="1756" t="s">
        <v>1685</v>
      </c>
      <c r="E207" s="1758" t="s">
        <v>1692</v>
      </c>
      <c r="F207" s="1759"/>
      <c r="G207" s="1760" t="s">
        <v>1661</v>
      </c>
      <c r="H207" s="1761">
        <v>183</v>
      </c>
      <c r="I207" s="1761" t="s">
        <v>1913</v>
      </c>
      <c r="J207" s="1773">
        <v>45474</v>
      </c>
      <c r="K207" s="1773">
        <v>46073</v>
      </c>
      <c r="L207" s="1764">
        <f t="shared" si="92"/>
        <v>20</v>
      </c>
      <c r="M207" s="1774">
        <f t="shared" si="103"/>
        <v>157032.29999999999</v>
      </c>
      <c r="N207" s="1775">
        <f t="shared" si="104"/>
        <v>745.09999999999991</v>
      </c>
      <c r="O207" s="1760">
        <v>136353.29999999999</v>
      </c>
      <c r="P207" s="1776">
        <v>0.18</v>
      </c>
      <c r="Q207" s="1783">
        <f t="shared" si="93"/>
        <v>95</v>
      </c>
      <c r="R207" s="1784">
        <v>17385</v>
      </c>
      <c r="S207" s="1777">
        <f t="shared" si="94"/>
        <v>18</v>
      </c>
      <c r="T207" s="1784">
        <v>3294</v>
      </c>
      <c r="U207" s="1777"/>
      <c r="V207" s="1785">
        <v>337175.67666666699</v>
      </c>
      <c r="W207" s="1785">
        <f t="shared" si="95"/>
        <v>1842.4900364298742</v>
      </c>
      <c r="X207" s="1786">
        <f>(N207+Q207)*H207/V207</f>
        <v>0.45595904639345081</v>
      </c>
      <c r="Y207" s="1789">
        <f>VLOOKUP(E207,[11]核心假设及结论!$C$25:$E$45,3,0)</f>
        <v>0.2</v>
      </c>
      <c r="Z207" s="1790">
        <f t="shared" si="111"/>
        <v>136353.30000000002</v>
      </c>
      <c r="AA207" s="1790">
        <f t="shared" si="111"/>
        <v>139158.69</v>
      </c>
      <c r="AB207" s="1790">
        <f t="shared" si="111"/>
        <v>0</v>
      </c>
      <c r="AC207" s="1790">
        <f t="shared" si="111"/>
        <v>0</v>
      </c>
      <c r="AD207" s="1790">
        <f t="shared" si="111"/>
        <v>0</v>
      </c>
      <c r="AE207" s="1790">
        <f t="shared" si="111"/>
        <v>0</v>
      </c>
      <c r="AF207" s="1790">
        <f t="shared" si="111"/>
        <v>0</v>
      </c>
      <c r="AG207" s="1794">
        <v>745.1</v>
      </c>
      <c r="AH207" s="1794">
        <v>760.43</v>
      </c>
      <c r="AI207" s="1794">
        <v>0</v>
      </c>
      <c r="AJ207" s="1794">
        <v>0</v>
      </c>
      <c r="AK207" s="1794">
        <v>0</v>
      </c>
      <c r="AL207" s="1794">
        <v>0</v>
      </c>
      <c r="AM207" s="1794">
        <v>0</v>
      </c>
      <c r="AN207" s="1797"/>
      <c r="AO207" s="1797"/>
      <c r="AP207" s="1808">
        <f t="shared" si="105"/>
        <v>2.2797952319672539</v>
      </c>
      <c r="AQ207" s="1810">
        <f>IF(AP207&gt;[11]核心假设及结论!$B$59,[11]核心假设及结论!$D$59,IF(AP207&lt;=[11]核心假设及结论!$B$58,[11]核心假设及结论!$D$57,[11]核心假设及结论!$D$58))</f>
        <v>1</v>
      </c>
      <c r="AR207" s="1809">
        <f t="shared" si="106"/>
        <v>745.1</v>
      </c>
      <c r="AS207" s="1809">
        <f>AH207*(AS$2&lt;=YEAR($K207))+AR207*$AQ207*(AS$2=YEAR($K207)+1)+INDEX([11]核心假设及结论!$E$17:$E$21,MATCH($D207,[11]核心假设及结论!$B$17:$B$21,0))*(AS$2&gt;YEAR($K207)+1)*AR207</f>
        <v>760.43</v>
      </c>
      <c r="AT207" s="1811">
        <f>AI207*(AT$2&lt;=YEAR($K207))+AS207*$AQ207*(AT$2=YEAR($K207)+1)+INDEX([11]核心假设及结论!$E$17:$E$21,MATCH($D207,[11]核心假设及结论!$B$17:$B$21,0))*(AT$2&gt;YEAR($K207)+1)*AS207</f>
        <v>760.43</v>
      </c>
      <c r="AU207" s="1809">
        <f>AJ207*(AU$2&lt;=YEAR($K207))+AT207*$AQ207*(AU$2=YEAR($K207)+1)+INDEX([11]核心假设及结论!$E$17:$E$21,MATCH($D207,[11]核心假设及结论!$B$17:$B$21,0))*(AU$2&gt;YEAR($K207)+1)*AT207</f>
        <v>781.01825519662793</v>
      </c>
      <c r="AV207" s="1809">
        <f>AK207*(AV$2&lt;=YEAR($K207))+AU207*$AQ207*(AV$2=YEAR($K207)+1)+INDEX([11]核心假设及结论!$E$17:$E$21,MATCH($D207,[11]核心假设及结论!$B$17:$B$21,0))*(AV$2&gt;YEAR($K207)+1)*AU207</f>
        <v>802.16392692343152</v>
      </c>
      <c r="AW207" s="1809">
        <f>AL207*(AW$2&lt;=YEAR($K207))+AV207*$AQ207*(AW$2=YEAR($K207)+1)+INDEX([11]核心假设及结论!$E$17:$E$21,MATCH($D207,[11]核心假设及结论!$B$17:$B$21,0))*(AW$2&gt;YEAR($K207)+1)*AV207</f>
        <v>823.8821069492443</v>
      </c>
      <c r="AX207" s="1809">
        <f>AM207*(AX$2&lt;=YEAR($K207))+AW207*$AQ207*(AX$2=YEAR($K207)+1)+INDEX([11]核心假设及结论!$E$17:$E$21,MATCH($D207,[11]核心假设及结论!$B$17:$B$21,0))*(AX$2&gt;YEAR($K207)+1)*AW207</f>
        <v>846.18829564485929</v>
      </c>
      <c r="AZ207" s="1746">
        <f t="shared" si="96"/>
        <v>46073</v>
      </c>
      <c r="BA207" s="1817">
        <f t="shared" si="97"/>
        <v>45658</v>
      </c>
      <c r="BB207" s="1817">
        <f t="shared" si="98"/>
        <v>45708</v>
      </c>
      <c r="BC207" s="1817">
        <f t="shared" si="99"/>
        <v>46022</v>
      </c>
      <c r="BD207" s="1818">
        <f t="shared" si="100"/>
        <v>51</v>
      </c>
      <c r="BE207" s="1818">
        <f t="shared" si="101"/>
        <v>314</v>
      </c>
      <c r="BG207" s="1777">
        <f t="shared" si="86"/>
        <v>166.52004479999999</v>
      </c>
      <c r="BH207" s="1777">
        <f t="shared" si="91"/>
        <v>166.99042799999998</v>
      </c>
      <c r="BI207" s="1777">
        <f t="shared" si="91"/>
        <v>170.87988220309688</v>
      </c>
      <c r="BJ207" s="1777">
        <f t="shared" si="91"/>
        <v>175.50636803712115</v>
      </c>
      <c r="BK207" s="1777">
        <f t="shared" si="90"/>
        <v>180.25811362025379</v>
      </c>
      <c r="BL207" s="1777">
        <f t="shared" si="90"/>
        <v>185.13851029644556</v>
      </c>
      <c r="BM207" s="1777">
        <f t="shared" si="90"/>
        <v>25.964302564121002</v>
      </c>
      <c r="BO207" s="1739">
        <f t="shared" si="102"/>
        <v>2026</v>
      </c>
      <c r="BP207" s="1742">
        <f>_xlfn.IFNA(INDEX($AR207:$AX207,MATCH(BO207,$AR$2:$AX$2,0))*12/365*[11]核心假设及结论!$C$70*$H207,0)</f>
        <v>137252.40657534247</v>
      </c>
      <c r="BR207" s="1739">
        <f t="shared" si="107"/>
        <v>2028</v>
      </c>
      <c r="BS207" s="1742">
        <f>_xlfn.IFNA(INDEX($AR207:$AX207,MATCH(BR207,$AR$2:$AX$2,0))*12/365*[11]核心假设及结论!$C$70*$H207,0)</f>
        <v>140968.44562288726</v>
      </c>
      <c r="BU207" s="1739">
        <f t="shared" si="108"/>
        <v>2030</v>
      </c>
      <c r="BV207" s="1742">
        <f>_xlfn.IFNA(INDEX($AR207:$AX207,MATCH(BU207,$AR$2:$AX$2,0))*12/365*[11]核心假设及结论!$C$70*$H207,0)</f>
        <v>148705.07727620882</v>
      </c>
      <c r="BX207" s="1739">
        <f t="shared" si="109"/>
        <v>2032</v>
      </c>
      <c r="BY207" s="1742">
        <f>_xlfn.IFNA(INDEX($AR207:$AX207,MATCH(BX207,$AR$2:$AX$2,0))*12/365*[11]核心假设及结论!$C$70*$H207,0)</f>
        <v>0</v>
      </c>
      <c r="CA207" s="1739">
        <f t="shared" si="110"/>
        <v>2034</v>
      </c>
      <c r="CB207" s="1742">
        <f>_xlfn.IFNA(INDEX($AR207:$AX207,MATCH(CA207,$AR$2:$AX$2,0))*12/365*[11]核心假设及结论!$C$70*$H207,0)</f>
        <v>0</v>
      </c>
    </row>
    <row r="208" spans="1:80" ht="30" customHeight="1">
      <c r="A208" s="1756" t="s">
        <v>1687</v>
      </c>
      <c r="B208" s="1757" t="s">
        <v>2106</v>
      </c>
      <c r="C208" s="1756" t="s">
        <v>2107</v>
      </c>
      <c r="D208" s="1756" t="s">
        <v>1685</v>
      </c>
      <c r="E208" s="1758" t="s">
        <v>1692</v>
      </c>
      <c r="F208" s="1759"/>
      <c r="G208" s="1760" t="s">
        <v>1661</v>
      </c>
      <c r="H208" s="1761">
        <v>182</v>
      </c>
      <c r="I208" s="1761" t="s">
        <v>1913</v>
      </c>
      <c r="J208" s="1773">
        <v>45489</v>
      </c>
      <c r="K208" s="1773">
        <v>46583</v>
      </c>
      <c r="L208" s="1764">
        <f t="shared" si="92"/>
        <v>36</v>
      </c>
      <c r="M208" s="1774">
        <f t="shared" si="103"/>
        <v>158962.44</v>
      </c>
      <c r="N208" s="1775">
        <f t="shared" si="104"/>
        <v>760.42</v>
      </c>
      <c r="O208" s="1760">
        <v>138396.44</v>
      </c>
      <c r="P208" s="1776">
        <v>0.18</v>
      </c>
      <c r="Q208" s="1783">
        <f t="shared" si="93"/>
        <v>95</v>
      </c>
      <c r="R208" s="1784">
        <v>17290</v>
      </c>
      <c r="S208" s="1777">
        <f t="shared" si="94"/>
        <v>18</v>
      </c>
      <c r="T208" s="1777">
        <v>3276</v>
      </c>
      <c r="U208" s="1777"/>
      <c r="V208" s="1785">
        <v>648652.41666666698</v>
      </c>
      <c r="W208" s="1785">
        <f t="shared" si="95"/>
        <v>3564.0242673992693</v>
      </c>
      <c r="X208" s="1786">
        <f>(N208+Q208+S208)*H208/V208</f>
        <v>0.24506567140670729</v>
      </c>
      <c r="Y208" s="1789">
        <f>VLOOKUP(E208,[11]核心假设及结论!$C$25:$E$45,3,0)</f>
        <v>0.2</v>
      </c>
      <c r="Z208" s="1790">
        <f t="shared" si="111"/>
        <v>138396.44</v>
      </c>
      <c r="AA208" s="1790">
        <f t="shared" si="111"/>
        <v>141164.66</v>
      </c>
      <c r="AB208" s="1790">
        <f t="shared" si="111"/>
        <v>143931.06</v>
      </c>
      <c r="AC208" s="1790">
        <f t="shared" si="111"/>
        <v>0</v>
      </c>
      <c r="AD208" s="1790">
        <f t="shared" si="111"/>
        <v>0</v>
      </c>
      <c r="AE208" s="1790">
        <f t="shared" si="111"/>
        <v>0</v>
      </c>
      <c r="AF208" s="1790">
        <f t="shared" si="111"/>
        <v>0</v>
      </c>
      <c r="AG208" s="1794">
        <v>760.42</v>
      </c>
      <c r="AH208" s="1794">
        <v>775.63</v>
      </c>
      <c r="AI208" s="1794">
        <v>790.83</v>
      </c>
      <c r="AJ208" s="1794">
        <v>0</v>
      </c>
      <c r="AK208" s="1794">
        <v>0</v>
      </c>
      <c r="AL208" s="1794">
        <v>0</v>
      </c>
      <c r="AM208" s="1794">
        <v>0</v>
      </c>
      <c r="AN208" s="1795"/>
      <c r="AO208" s="1795"/>
      <c r="AP208" s="1808">
        <f t="shared" si="105"/>
        <v>1.2253283570335365</v>
      </c>
      <c r="AQ208" s="1810">
        <f>IF(AP208&gt;[11]核心假设及结论!$B$59,[11]核心假设及结论!$D$59,IF(AP208&lt;=[11]核心假设及结论!$B$58,[11]核心假设及结论!$D$57,[11]核心假设及结论!$D$58))</f>
        <v>1.0069999999999999</v>
      </c>
      <c r="AR208" s="1809">
        <f t="shared" si="106"/>
        <v>760.42</v>
      </c>
      <c r="AS208" s="1809">
        <f>AH208*(AS$2&lt;=YEAR($K208))+AR208*$AQ208*(AS$2=YEAR($K208)+1)+INDEX([11]核心假设及结论!$E$17:$E$21,MATCH($D208,[11]核心假设及结论!$B$17:$B$21,0))*(AS$2&gt;YEAR($K208)+1)*AR208</f>
        <v>775.63</v>
      </c>
      <c r="AT208" s="1809">
        <f>AI208*(AT$2&lt;=YEAR($K208))+AS208*$AQ208*(AT$2=YEAR($K208)+1)+INDEX([11]核心假设及结论!$E$17:$E$21,MATCH($D208,[11]核心假设及结论!$B$17:$B$21,0))*(AT$2&gt;YEAR($K208)+1)*AS208</f>
        <v>790.83</v>
      </c>
      <c r="AU208" s="1811">
        <f>AJ208*(AU$2&lt;=YEAR($K208))+AT208*$AQ208*(AU$2=YEAR($K208)+1)+INDEX([11]核心假设及结论!$E$17:$E$21,MATCH($D208,[11]核心假设及结论!$B$17:$B$21,0))*(AU$2&gt;YEAR($K208)+1)*AT208</f>
        <v>796.36581000000001</v>
      </c>
      <c r="AV208" s="1809">
        <f>AK208*(AV$2&lt;=YEAR($K208))+AU208*$AQ208*(AV$2=YEAR($K208)+1)+INDEX([11]核心假设及结论!$E$17:$E$21,MATCH($D208,[11]核心假设及结论!$B$17:$B$21,0))*(AV$2&gt;YEAR($K208)+1)*AU208</f>
        <v>817.92700896131043</v>
      </c>
      <c r="AW208" s="1809">
        <f>AL208*(AW$2&lt;=YEAR($K208))+AV208*$AQ208*(AW$2=YEAR($K208)+1)+INDEX([11]核心假设及结论!$E$17:$E$21,MATCH($D208,[11]核心假设及结论!$B$17:$B$21,0))*(AW$2&gt;YEAR($K208)+1)*AV208</f>
        <v>840.07196641000394</v>
      </c>
      <c r="AX208" s="1809">
        <f>AM208*(AX$2&lt;=YEAR($K208))+AW208*$AQ208*(AX$2=YEAR($K208)+1)+INDEX([11]核心假设及结论!$E$17:$E$21,MATCH($D208,[11]核心假设及结论!$B$17:$B$21,0))*(AX$2&gt;YEAR($K208)+1)*AW208</f>
        <v>862.81648730999768</v>
      </c>
      <c r="AZ208" s="1746">
        <f t="shared" si="96"/>
        <v>46583</v>
      </c>
      <c r="BA208" s="1817">
        <f t="shared" si="97"/>
        <v>45658</v>
      </c>
      <c r="BB208" s="1817">
        <f t="shared" si="98"/>
        <v>45853</v>
      </c>
      <c r="BC208" s="1817">
        <f t="shared" si="99"/>
        <v>46022</v>
      </c>
      <c r="BD208" s="1818">
        <f t="shared" si="100"/>
        <v>196</v>
      </c>
      <c r="BE208" s="1818">
        <f t="shared" si="101"/>
        <v>169</v>
      </c>
      <c r="BG208" s="1777">
        <f t="shared" si="86"/>
        <v>167.61379653698629</v>
      </c>
      <c r="BH208" s="1777">
        <f t="shared" si="91"/>
        <v>170.93464931506853</v>
      </c>
      <c r="BI208" s="1777">
        <f t="shared" si="91"/>
        <v>173.27706524048219</v>
      </c>
      <c r="BJ208" s="1777">
        <f t="shared" si="91"/>
        <v>176.1066086003901</v>
      </c>
      <c r="BK208" s="1777">
        <f t="shared" si="90"/>
        <v>180.8746053912551</v>
      </c>
      <c r="BL208" s="1777">
        <f t="shared" si="90"/>
        <v>185.77169326835693</v>
      </c>
      <c r="BM208" s="1777">
        <f t="shared" si="90"/>
        <v>101.1892265270868</v>
      </c>
      <c r="BO208" s="1739">
        <f t="shared" si="102"/>
        <v>2027</v>
      </c>
      <c r="BP208" s="1742">
        <f>_xlfn.IFNA(INDEX($AR208:$AX208,MATCH(BO208,$AR$2:$AX$2,0))*12/365*[11]核心假设及结论!$C$70*$H208,0)</f>
        <v>141959.40164383562</v>
      </c>
      <c r="BR208" s="1739">
        <f t="shared" si="107"/>
        <v>2030</v>
      </c>
      <c r="BS208" s="1742">
        <f>_xlfn.IFNA(INDEX($AR208:$AX208,MATCH(BR208,$AR$2:$AX$2,0))*12/365*[11]核心假设及结论!$C$70*$H208,0)</f>
        <v>150798.67188817385</v>
      </c>
      <c r="BU208" s="1739">
        <f t="shared" si="108"/>
        <v>2033</v>
      </c>
      <c r="BV208" s="1742">
        <f>_xlfn.IFNA(INDEX($AR208:$AX208,MATCH(BU208,$AR$2:$AX$2,0))*12/365*[11]核心假设及结论!$C$70*$H208,0)</f>
        <v>0</v>
      </c>
      <c r="BX208" s="1739">
        <f t="shared" si="109"/>
        <v>2036</v>
      </c>
      <c r="BY208" s="1742">
        <f>_xlfn.IFNA(INDEX($AR208:$AX208,MATCH(BX208,$AR$2:$AX$2,0))*12/365*[11]核心假设及结论!$C$70*$H208,0)</f>
        <v>0</v>
      </c>
      <c r="CA208" s="1739">
        <f t="shared" si="110"/>
        <v>2039</v>
      </c>
      <c r="CB208" s="1742">
        <f>_xlfn.IFNA(INDEX($AR208:$AX208,MATCH(CA208,$AR$2:$AX$2,0))*12/365*[11]核心假设及结论!$C$70*$H208,0)</f>
        <v>0</v>
      </c>
    </row>
    <row r="209" spans="1:80" ht="30" customHeight="1">
      <c r="A209" s="1756" t="s">
        <v>1662</v>
      </c>
      <c r="B209" s="1757" t="s">
        <v>2108</v>
      </c>
      <c r="C209" s="1756" t="s">
        <v>2109</v>
      </c>
      <c r="D209" s="1756" t="s">
        <v>1685</v>
      </c>
      <c r="E209" s="1758" t="s">
        <v>1692</v>
      </c>
      <c r="F209" s="1759"/>
      <c r="G209" s="1760" t="s">
        <v>1661</v>
      </c>
      <c r="H209" s="1761">
        <v>182</v>
      </c>
      <c r="I209" s="1761" t="s">
        <v>1913</v>
      </c>
      <c r="J209" s="1773">
        <v>45106</v>
      </c>
      <c r="K209" s="1773">
        <v>46201</v>
      </c>
      <c r="L209" s="1764">
        <f t="shared" si="92"/>
        <v>36</v>
      </c>
      <c r="M209" s="1774">
        <f t="shared" si="103"/>
        <v>136818.5</v>
      </c>
      <c r="N209" s="1775">
        <f t="shared" si="104"/>
        <v>638.75</v>
      </c>
      <c r="O209" s="1760">
        <v>116252.5</v>
      </c>
      <c r="P209" s="1776">
        <v>0.15</v>
      </c>
      <c r="Q209" s="1783">
        <f t="shared" si="93"/>
        <v>95</v>
      </c>
      <c r="R209" s="1784">
        <v>17290</v>
      </c>
      <c r="S209" s="1777">
        <f t="shared" si="94"/>
        <v>18</v>
      </c>
      <c r="T209" s="1777">
        <v>3276</v>
      </c>
      <c r="U209" s="1777"/>
      <c r="V209" s="1785">
        <v>304318.07083333301</v>
      </c>
      <c r="W209" s="1785">
        <f t="shared" si="95"/>
        <v>1672.0773122710605</v>
      </c>
      <c r="X209" s="1786">
        <f>(N209+Q209+S209)*H209/V209</f>
        <v>0.44959045522778662</v>
      </c>
      <c r="Y209" s="1789">
        <f>VLOOKUP(E209,[11]核心假设及结论!$C$25:$E$45,3,0)</f>
        <v>0.2</v>
      </c>
      <c r="Z209" s="1790">
        <f t="shared" si="111"/>
        <v>116252.5</v>
      </c>
      <c r="AA209" s="1790">
        <f t="shared" si="111"/>
        <v>121788.93999999999</v>
      </c>
      <c r="AB209" s="1790">
        <f t="shared" si="111"/>
        <v>0</v>
      </c>
      <c r="AC209" s="1790">
        <f t="shared" si="111"/>
        <v>0</v>
      </c>
      <c r="AD209" s="1790">
        <f t="shared" si="111"/>
        <v>0</v>
      </c>
      <c r="AE209" s="1790">
        <f t="shared" si="111"/>
        <v>0</v>
      </c>
      <c r="AF209" s="1790">
        <f t="shared" si="111"/>
        <v>0</v>
      </c>
      <c r="AG209" s="1794">
        <v>638.75</v>
      </c>
      <c r="AH209" s="1794">
        <v>669.17</v>
      </c>
      <c r="AI209" s="1794">
        <v>0</v>
      </c>
      <c r="AJ209" s="1794">
        <v>0</v>
      </c>
      <c r="AK209" s="1794">
        <v>0</v>
      </c>
      <c r="AL209" s="1794">
        <v>0</v>
      </c>
      <c r="AM209" s="1794">
        <v>0</v>
      </c>
      <c r="AN209" s="1795"/>
      <c r="AO209" s="1795"/>
      <c r="AP209" s="1808">
        <f t="shared" si="105"/>
        <v>2.2479522761389328</v>
      </c>
      <c r="AQ209" s="1810">
        <f>IF(AP209&gt;[11]核心假设及结论!$B$59,[11]核心假设及结论!$D$59,IF(AP209&lt;=[11]核心假设及结论!$B$58,[11]核心假设及结论!$D$57,[11]核心假设及结论!$D$58))</f>
        <v>1</v>
      </c>
      <c r="AR209" s="1809">
        <f t="shared" si="106"/>
        <v>638.75</v>
      </c>
      <c r="AS209" s="1809">
        <f>AH209*(AS$2&lt;=YEAR($K209))+AR209*$AQ209*(AS$2=YEAR($K209)+1)+INDEX([11]核心假设及结论!$E$17:$E$21,MATCH($D209,[11]核心假设及结论!$B$17:$B$21,0))*(AS$2&gt;YEAR($K209)+1)*AR209</f>
        <v>669.17</v>
      </c>
      <c r="AT209" s="1811">
        <f>AI209*(AT$2&lt;=YEAR($K209))+AS209*$AQ209*(AT$2=YEAR($K209)+1)+INDEX([11]核心假设及结论!$E$17:$E$21,MATCH($D209,[11]核心假设及结论!$B$17:$B$21,0))*(AT$2&gt;YEAR($K209)+1)*AS209</f>
        <v>669.17</v>
      </c>
      <c r="AU209" s="1809">
        <f>AJ209*(AU$2&lt;=YEAR($K209))+AT209*$AQ209*(AU$2=YEAR($K209)+1)+INDEX([11]核心假设及结论!$E$17:$E$21,MATCH($D209,[11]核心假设及结论!$B$17:$B$21,0))*(AU$2&gt;YEAR($K209)+1)*AT209</f>
        <v>687.28743714730808</v>
      </c>
      <c r="AV209" s="1809">
        <f>AK209*(AV$2&lt;=YEAR($K209))+AU209*$AQ209*(AV$2=YEAR($K209)+1)+INDEX([11]核心假设及结论!$E$17:$E$21,MATCH($D209,[11]核心假设及结论!$B$17:$B$21,0))*(AV$2&gt;YEAR($K209)+1)*AU209</f>
        <v>705.89539468373505</v>
      </c>
      <c r="AW209" s="1809">
        <f>AL209*(AW$2&lt;=YEAR($K209))+AV209*$AQ209*(AW$2=YEAR($K209)+1)+INDEX([11]核心假设及结论!$E$17:$E$21,MATCH($D209,[11]核心假设及结论!$B$17:$B$21,0))*(AW$2&gt;YEAR($K209)+1)*AV209</f>
        <v>725.00715319914491</v>
      </c>
      <c r="AX209" s="1809">
        <f>AM209*(AX$2&lt;=YEAR($K209))+AW209*$AQ209*(AX$2=YEAR($K209)+1)+INDEX([11]核心假设及结论!$E$17:$E$21,MATCH($D209,[11]核心假设及结论!$B$17:$B$21,0))*(AX$2&gt;YEAR($K209)+1)*AW209</f>
        <v>744.63635284861255</v>
      </c>
      <c r="AZ209" s="1746">
        <f t="shared" si="96"/>
        <v>46201</v>
      </c>
      <c r="BA209" s="1817">
        <f t="shared" si="97"/>
        <v>45658</v>
      </c>
      <c r="BB209" s="1817">
        <f t="shared" si="98"/>
        <v>45836</v>
      </c>
      <c r="BC209" s="1817">
        <f t="shared" si="99"/>
        <v>46022</v>
      </c>
      <c r="BD209" s="1818">
        <f t="shared" si="100"/>
        <v>179</v>
      </c>
      <c r="BE209" s="1818">
        <f t="shared" si="101"/>
        <v>186</v>
      </c>
      <c r="BG209" s="1777">
        <f t="shared" si="86"/>
        <v>142.88857098082192</v>
      </c>
      <c r="BH209" s="1777">
        <f t="shared" si="91"/>
        <v>146.14672799999997</v>
      </c>
      <c r="BI209" s="1777">
        <f t="shared" si="91"/>
        <v>148.16309451718578</v>
      </c>
      <c r="BJ209" s="1777">
        <f t="shared" si="91"/>
        <v>152.1745348872947</v>
      </c>
      <c r="BK209" s="1777">
        <f t="shared" si="90"/>
        <v>156.29458296363015</v>
      </c>
      <c r="BL209" s="1777">
        <f t="shared" si="90"/>
        <v>160.52617924455771</v>
      </c>
      <c r="BM209" s="1777">
        <f t="shared" si="90"/>
        <v>79.754837599239778</v>
      </c>
      <c r="BO209" s="1739">
        <f t="shared" si="102"/>
        <v>2026</v>
      </c>
      <c r="BP209" s="1742">
        <f>_xlfn.IFNA(INDEX($AR209:$AX209,MATCH(BO209,$AR$2:$AX$2,0))*12/365*[11]核心假设及结论!$C$70*$H209,0)</f>
        <v>120120.59835616437</v>
      </c>
      <c r="BR209" s="1739">
        <f t="shared" si="107"/>
        <v>2029</v>
      </c>
      <c r="BS209" s="1742">
        <f>_xlfn.IFNA(INDEX($AR209:$AX209,MATCH(BR209,$AR$2:$AX$2,0))*12/365*[11]核心假设及结论!$C$70*$H209,0)</f>
        <v>126713.05824569402</v>
      </c>
      <c r="BU209" s="1739">
        <f t="shared" si="108"/>
        <v>2032</v>
      </c>
      <c r="BV209" s="1742">
        <f>_xlfn.IFNA(INDEX($AR209:$AX209,MATCH(BU209,$AR$2:$AX$2,0))*12/365*[11]核心假设及结论!$C$70*$H209,0)</f>
        <v>0</v>
      </c>
      <c r="BX209" s="1739">
        <f t="shared" si="109"/>
        <v>2035</v>
      </c>
      <c r="BY209" s="1742">
        <f>_xlfn.IFNA(INDEX($AR209:$AX209,MATCH(BX209,$AR$2:$AX$2,0))*12/365*[11]核心假设及结论!$C$70*$H209,0)</f>
        <v>0</v>
      </c>
      <c r="CA209" s="1739">
        <f t="shared" si="110"/>
        <v>2038</v>
      </c>
      <c r="CB209" s="1742">
        <f>_xlfn.IFNA(INDEX($AR209:$AX209,MATCH(CA209,$AR$2:$AX$2,0))*12/365*[11]核心假设及结论!$C$70*$H209,0)</f>
        <v>0</v>
      </c>
    </row>
    <row r="210" spans="1:80" ht="30" customHeight="1">
      <c r="A210" s="1756" t="s">
        <v>1666</v>
      </c>
      <c r="B210" s="1757" t="s">
        <v>2110</v>
      </c>
      <c r="C210" s="1756" t="s">
        <v>2111</v>
      </c>
      <c r="D210" s="1756" t="s">
        <v>1698</v>
      </c>
      <c r="E210" s="1758" t="s">
        <v>1698</v>
      </c>
      <c r="F210" s="1759"/>
      <c r="G210" s="1760" t="s">
        <v>1661</v>
      </c>
      <c r="H210" s="1761">
        <v>182</v>
      </c>
      <c r="I210" s="1761" t="s">
        <v>1913</v>
      </c>
      <c r="J210" s="1773">
        <v>44788</v>
      </c>
      <c r="K210" s="1773">
        <v>45883</v>
      </c>
      <c r="L210" s="1764">
        <f t="shared" si="92"/>
        <v>36</v>
      </c>
      <c r="M210" s="1774">
        <f t="shared" si="103"/>
        <v>117575.64</v>
      </c>
      <c r="N210" s="1775">
        <f t="shared" si="104"/>
        <v>532.4</v>
      </c>
      <c r="O210" s="1760">
        <v>96896.8</v>
      </c>
      <c r="P210" s="1776">
        <v>0.14000000000000001</v>
      </c>
      <c r="Q210" s="1783">
        <f t="shared" si="93"/>
        <v>95</v>
      </c>
      <c r="R210" s="1784">
        <v>17290</v>
      </c>
      <c r="S210" s="1777">
        <f t="shared" si="94"/>
        <v>18.62</v>
      </c>
      <c r="T210" s="1777">
        <v>3388.84</v>
      </c>
      <c r="U210" s="1777"/>
      <c r="V210" s="1785">
        <v>520238.63833333302</v>
      </c>
      <c r="W210" s="1785">
        <f t="shared" si="95"/>
        <v>2858.4540567765548</v>
      </c>
      <c r="X210" s="1786">
        <f>(N210+Q210)*H210/V210</f>
        <v>0.21948927201142832</v>
      </c>
      <c r="Y210" s="1789">
        <f>VLOOKUP(E210,[11]核心假设及结论!$C$25:$E$45,3,0)</f>
        <v>0.2</v>
      </c>
      <c r="Z210" s="1790">
        <f t="shared" si="111"/>
        <v>99628.62</v>
      </c>
      <c r="AA210" s="1790">
        <f t="shared" si="111"/>
        <v>0</v>
      </c>
      <c r="AB210" s="1790">
        <f t="shared" si="111"/>
        <v>0</v>
      </c>
      <c r="AC210" s="1790">
        <f t="shared" si="111"/>
        <v>0</v>
      </c>
      <c r="AD210" s="1790">
        <f t="shared" si="111"/>
        <v>0</v>
      </c>
      <c r="AE210" s="1790">
        <f t="shared" si="111"/>
        <v>0</v>
      </c>
      <c r="AF210" s="1790">
        <f t="shared" si="111"/>
        <v>0</v>
      </c>
      <c r="AG210" s="1794">
        <v>547.41</v>
      </c>
      <c r="AH210" s="1794">
        <v>0</v>
      </c>
      <c r="AI210" s="1794">
        <v>0</v>
      </c>
      <c r="AJ210" s="1794">
        <v>0</v>
      </c>
      <c r="AK210" s="1794">
        <v>0</v>
      </c>
      <c r="AL210" s="1794">
        <v>0</v>
      </c>
      <c r="AM210" s="1794">
        <v>0</v>
      </c>
      <c r="AN210" s="1795"/>
      <c r="AO210" s="1795"/>
      <c r="AP210" s="1808">
        <f t="shared" si="105"/>
        <v>1.0974463600571416</v>
      </c>
      <c r="AQ210" s="1812">
        <f>IF(AP210&gt;[11]核心假设及结论!$B$62,[11]核心假设及结论!$D$62,IF(AP210&lt;=[11]核心假设及结论!$B$61,[11]核心假设及结论!$D$60,[11]核心假设及结论!$D$61))</f>
        <v>1.0489999999999999</v>
      </c>
      <c r="AR210" s="1809">
        <f t="shared" si="106"/>
        <v>547.41</v>
      </c>
      <c r="AS210" s="1811">
        <f>AH210*(AS$2&lt;=YEAR($K210))+AR210*$AQ210*(AS$2=YEAR($K210)+1)+INDEX([11]核心假设及结论!$E$17:$E$21,MATCH($D210,[11]核心假设及结论!$B$17:$B$21,0))*(AS$2&gt;YEAR($K210)+1)*AR210</f>
        <v>574.23308999999995</v>
      </c>
      <c r="AT210" s="1809">
        <f>AI210*(AT$2&lt;=YEAR($K210))+AS210*$AQ210*(AT$2=YEAR($K210)+1)+INDEX([11]核心假设及结论!$E$17:$E$21,MATCH($D210,[11]核心假设及结论!$B$17:$B$21,0))*(AT$2&gt;YEAR($K210)+1)*AS210</f>
        <v>591.81461729002115</v>
      </c>
      <c r="AU210" s="1809">
        <f>AJ210*(AU$2&lt;=YEAR($K210))+AT210*$AQ210*(AU$2=YEAR($K210)+1)+INDEX([11]核心假设及结论!$E$17:$E$21,MATCH($D210,[11]核心假设及结论!$B$17:$B$21,0))*(AU$2&gt;YEAR($K210)+1)*AT210</f>
        <v>609.93444532800117</v>
      </c>
      <c r="AV210" s="1809">
        <f>AK210*(AV$2&lt;=YEAR($K210))+AU210*$AQ210*(AV$2=YEAR($K210)+1)+INDEX([11]核心假设及结论!$E$17:$E$21,MATCH($D210,[11]核心假设及结论!$B$17:$B$21,0))*(AV$2&gt;YEAR($K210)+1)*AU210</f>
        <v>628.60905548614824</v>
      </c>
      <c r="AW210" s="1809">
        <f>AL210*(AW$2&lt;=YEAR($K210))+AV210*$AQ210*(AW$2=YEAR($K210)+1)+INDEX([11]核心假设及结论!$E$17:$E$21,MATCH($D210,[11]核心假设及结论!$B$17:$B$21,0))*(AW$2&gt;YEAR($K210)+1)*AV210</f>
        <v>647.85543375352415</v>
      </c>
      <c r="AX210" s="1809">
        <f>AM210*(AX$2&lt;=YEAR($K210))+AW210*$AQ210*(AX$2=YEAR($K210)+1)+INDEX([11]核心假设及结论!$E$17:$E$21,MATCH($D210,[11]核心假设及结论!$B$17:$B$21,0))*(AX$2&gt;YEAR($K210)+1)*AW210</f>
        <v>667.69108618610358</v>
      </c>
      <c r="AZ210" s="1746">
        <f t="shared" si="96"/>
        <v>45883</v>
      </c>
      <c r="BA210" s="1817">
        <f t="shared" si="97"/>
        <v>45658</v>
      </c>
      <c r="BB210" s="1817">
        <f t="shared" si="98"/>
        <v>45883</v>
      </c>
      <c r="BC210" s="1817">
        <f t="shared" si="99"/>
        <v>46022</v>
      </c>
      <c r="BD210" s="1818">
        <f t="shared" si="100"/>
        <v>226</v>
      </c>
      <c r="BE210" s="1818">
        <f t="shared" si="101"/>
        <v>139</v>
      </c>
      <c r="BG210" s="1777">
        <f t="shared" si="86"/>
        <v>121.78526081365477</v>
      </c>
      <c r="BH210" s="1777">
        <f t="shared" si="91"/>
        <v>126.87478897342342</v>
      </c>
      <c r="BI210" s="1777">
        <f t="shared" si="91"/>
        <v>130.75936581790987</v>
      </c>
      <c r="BJ210" s="1777">
        <f t="shared" si="91"/>
        <v>134.76287832631206</v>
      </c>
      <c r="BK210" s="1777">
        <f t="shared" si="90"/>
        <v>138.88896800006432</v>
      </c>
      <c r="BL210" s="1777">
        <f t="shared" si="90"/>
        <v>143.14138783392659</v>
      </c>
      <c r="BM210" s="1777">
        <f t="shared" si="90"/>
        <v>90.290859475090883</v>
      </c>
      <c r="BO210" s="1739">
        <f t="shared" si="102"/>
        <v>2025</v>
      </c>
      <c r="BP210" s="1742">
        <f>_xlfn.IFNA(INDEX($AR210:$AX210,MATCH(BO210,$AR$2:$AX$2,0))*12/365*[11]核心假设及结论!$C$70*$H210,0)</f>
        <v>98263.844383561649</v>
      </c>
      <c r="BR210" s="1739">
        <f t="shared" si="107"/>
        <v>2028</v>
      </c>
      <c r="BS210" s="1742">
        <f>_xlfn.IFNA(INDEX($AR210:$AX210,MATCH(BR210,$AR$2:$AX$2,0))*12/365*[11]核心假设及结论!$C$70*$H210,0)</f>
        <v>109487.41056956338</v>
      </c>
      <c r="BU210" s="1739">
        <f t="shared" si="108"/>
        <v>2031</v>
      </c>
      <c r="BV210" s="1742">
        <f>_xlfn.IFNA(INDEX($AR210:$AX210,MATCH(BU210,$AR$2:$AX$2,0))*12/365*[11]核心假设及结论!$C$70*$H210,0)</f>
        <v>119855.12319702331</v>
      </c>
      <c r="BX210" s="1739">
        <f t="shared" si="109"/>
        <v>2034</v>
      </c>
      <c r="BY210" s="1742">
        <f>_xlfn.IFNA(INDEX($AR210:$AX210,MATCH(BX210,$AR$2:$AX$2,0))*12/365*[11]核心假设及结论!$C$70*$H210,0)</f>
        <v>0</v>
      </c>
      <c r="CA210" s="1739">
        <f t="shared" si="110"/>
        <v>2037</v>
      </c>
      <c r="CB210" s="1742">
        <f>_xlfn.IFNA(INDEX($AR210:$AX210,MATCH(CA210,$AR$2:$AX$2,0))*12/365*[11]核心假设及结论!$C$70*$H210,0)</f>
        <v>0</v>
      </c>
    </row>
    <row r="211" spans="1:80" ht="30" customHeight="1">
      <c r="A211" s="1756" t="s">
        <v>1687</v>
      </c>
      <c r="B211" s="1757" t="s">
        <v>2112</v>
      </c>
      <c r="C211" s="1756" t="s">
        <v>2113</v>
      </c>
      <c r="D211" s="1756" t="s">
        <v>1685</v>
      </c>
      <c r="E211" s="1758" t="s">
        <v>1692</v>
      </c>
      <c r="F211" s="1759"/>
      <c r="G211" s="1760" t="s">
        <v>1661</v>
      </c>
      <c r="H211" s="1761">
        <v>180</v>
      </c>
      <c r="I211" s="1761" t="s">
        <v>1913</v>
      </c>
      <c r="J211" s="1773">
        <v>44886</v>
      </c>
      <c r="K211" s="1773">
        <v>46346</v>
      </c>
      <c r="L211" s="1764">
        <f t="shared" si="92"/>
        <v>48</v>
      </c>
      <c r="M211" s="1774">
        <f t="shared" si="103"/>
        <v>162793.79999999999</v>
      </c>
      <c r="N211" s="1775">
        <f t="shared" si="104"/>
        <v>791.41</v>
      </c>
      <c r="O211" s="1760">
        <v>142453.79999999999</v>
      </c>
      <c r="P211" s="1776">
        <v>0.18</v>
      </c>
      <c r="Q211" s="1783">
        <f t="shared" si="93"/>
        <v>95</v>
      </c>
      <c r="R211" s="1784">
        <v>17100</v>
      </c>
      <c r="S211" s="1777">
        <f t="shared" si="94"/>
        <v>18</v>
      </c>
      <c r="T211" s="1784">
        <v>3240</v>
      </c>
      <c r="U211" s="1777"/>
      <c r="V211" s="1785">
        <v>424474.58333333302</v>
      </c>
      <c r="W211" s="1785">
        <f t="shared" si="95"/>
        <v>2358.1921296296277</v>
      </c>
      <c r="X211" s="1786">
        <f>(N211+Q211+S211)*H211/V211</f>
        <v>0.38351836927809796</v>
      </c>
      <c r="Y211" s="1789">
        <f>VLOOKUP(E211,[11]核心假设及结论!$C$25:$E$45,3,0)</f>
        <v>0.2</v>
      </c>
      <c r="Z211" s="1790">
        <f t="shared" si="111"/>
        <v>147825</v>
      </c>
      <c r="AA211" s="1790">
        <f t="shared" si="111"/>
        <v>150562.80000000002</v>
      </c>
      <c r="AB211" s="1790">
        <f t="shared" si="111"/>
        <v>0</v>
      </c>
      <c r="AC211" s="1790">
        <f t="shared" si="111"/>
        <v>0</v>
      </c>
      <c r="AD211" s="1790">
        <f t="shared" si="111"/>
        <v>0</v>
      </c>
      <c r="AE211" s="1790">
        <f t="shared" si="111"/>
        <v>0</v>
      </c>
      <c r="AF211" s="1790">
        <f t="shared" si="111"/>
        <v>0</v>
      </c>
      <c r="AG211" s="1794">
        <v>821.25</v>
      </c>
      <c r="AH211" s="1794">
        <v>836.46</v>
      </c>
      <c r="AI211" s="1794">
        <v>0</v>
      </c>
      <c r="AJ211" s="1794">
        <v>0</v>
      </c>
      <c r="AK211" s="1794">
        <v>0</v>
      </c>
      <c r="AL211" s="1794">
        <v>0</v>
      </c>
      <c r="AM211" s="1794">
        <v>0</v>
      </c>
      <c r="AN211" s="1797"/>
      <c r="AO211" s="1797"/>
      <c r="AP211" s="1808">
        <f t="shared" si="105"/>
        <v>1.9175918463904897</v>
      </c>
      <c r="AQ211" s="1810">
        <f>IF(AP211&gt;[11]核心假设及结论!$B$59,[11]核心假设及结论!$D$59,IF(AP211&lt;=[11]核心假设及结论!$B$58,[11]核心假设及结论!$D$57,[11]核心假设及结论!$D$58))</f>
        <v>1</v>
      </c>
      <c r="AR211" s="1809">
        <f t="shared" si="106"/>
        <v>821.25</v>
      </c>
      <c r="AS211" s="1809">
        <f>AH211*(AS$2&lt;=YEAR($K211))+AR211*$AQ211*(AS$2=YEAR($K211)+1)+INDEX([11]核心假设及结论!$E$17:$E$21,MATCH($D211,[11]核心假设及结论!$B$17:$B$21,0))*(AS$2&gt;YEAR($K211)+1)*AR211</f>
        <v>836.46</v>
      </c>
      <c r="AT211" s="1811">
        <f>AI211*(AT$2&lt;=YEAR($K211))+AS211*$AQ211*(AT$2=YEAR($K211)+1)+INDEX([11]核心假设及结论!$E$17:$E$21,MATCH($D211,[11]核心假设及结论!$B$17:$B$21,0))*(AT$2&gt;YEAR($K211)+1)*AS211</f>
        <v>836.46</v>
      </c>
      <c r="AU211" s="1809">
        <f>AJ211*(AU$2&lt;=YEAR($K211))+AT211*$AQ211*(AU$2=YEAR($K211)+1)+INDEX([11]核心假设及结论!$E$17:$E$21,MATCH($D211,[11]核心假设及结论!$B$17:$B$21,0))*(AU$2&gt;YEAR($K211)+1)*AT211</f>
        <v>859.10672874790771</v>
      </c>
      <c r="AV211" s="1809">
        <f>AK211*(AV$2&lt;=YEAR($K211))+AU211*$AQ211*(AV$2=YEAR($K211)+1)+INDEX([11]核心假设及结论!$E$17:$E$21,MATCH($D211,[11]核心假设及结论!$B$17:$B$21,0))*(AV$2&gt;YEAR($K211)+1)*AU211</f>
        <v>882.36660614964376</v>
      </c>
      <c r="AW211" s="1809">
        <f>AL211*(AW$2&lt;=YEAR($K211))+AV211*$AQ211*(AW$2=YEAR($K211)+1)+INDEX([11]核心假设及结论!$E$17:$E$21,MATCH($D211,[11]核心假设及结论!$B$17:$B$21,0))*(AW$2&gt;YEAR($K211)+1)*AV211</f>
        <v>906.25623289292241</v>
      </c>
      <c r="AX211" s="1809">
        <f>AM211*(AX$2&lt;=YEAR($K211))+AW211*$AQ211*(AX$2=YEAR($K211)+1)+INDEX([11]核心假设及结论!$E$17:$E$21,MATCH($D211,[11]核心假设及结论!$B$17:$B$21,0))*(AX$2&gt;YEAR($K211)+1)*AW211</f>
        <v>930.79265912062795</v>
      </c>
      <c r="AZ211" s="1746">
        <f t="shared" si="96"/>
        <v>46346</v>
      </c>
      <c r="BA211" s="1817">
        <f t="shared" si="97"/>
        <v>45658</v>
      </c>
      <c r="BB211" s="1817">
        <f t="shared" si="98"/>
        <v>45981</v>
      </c>
      <c r="BC211" s="1817">
        <f t="shared" si="99"/>
        <v>46022</v>
      </c>
      <c r="BD211" s="1818">
        <f t="shared" si="100"/>
        <v>324</v>
      </c>
      <c r="BE211" s="1818">
        <f t="shared" si="101"/>
        <v>41</v>
      </c>
      <c r="BG211" s="1777">
        <f t="shared" si="86"/>
        <v>177.75904043835615</v>
      </c>
      <c r="BH211" s="1777">
        <f t="shared" si="91"/>
        <v>180.67536000000001</v>
      </c>
      <c r="BI211" s="1777">
        <f t="shared" si="91"/>
        <v>181.22483788983965</v>
      </c>
      <c r="BJ211" s="1777">
        <f t="shared" si="91"/>
        <v>186.13140813357484</v>
      </c>
      <c r="BK211" s="1777">
        <f t="shared" si="90"/>
        <v>191.17082126925038</v>
      </c>
      <c r="BL211" s="1777">
        <f t="shared" si="90"/>
        <v>196.34667395054953</v>
      </c>
      <c r="BM211" s="1777">
        <f t="shared" si="90"/>
        <v>178.46737933122745</v>
      </c>
      <c r="BO211" s="1739">
        <f t="shared" si="102"/>
        <v>2026</v>
      </c>
      <c r="BP211" s="1742">
        <f>_xlfn.IFNA(INDEX($AR211:$AX211,MATCH(BO211,$AR$2:$AX$2,0))*12/365*[11]核心假设及结论!$C$70*$H211,0)</f>
        <v>148500.29589041095</v>
      </c>
      <c r="BR211" s="1739">
        <f t="shared" si="107"/>
        <v>2030</v>
      </c>
      <c r="BS211" s="1742">
        <f>_xlfn.IFNA(INDEX($AR211:$AX211,MATCH(BR211,$AR$2:$AX$2,0))*12/365*[11]核心假设及结论!$C$70*$H211,0)</f>
        <v>160891.51751085307</v>
      </c>
      <c r="BU211" s="1739">
        <f t="shared" si="108"/>
        <v>2034</v>
      </c>
      <c r="BV211" s="1742">
        <f>_xlfn.IFNA(INDEX($AR211:$AX211,MATCH(BU211,$AR$2:$AX$2,0))*12/365*[11]核心假设及结论!$C$70*$H211,0)</f>
        <v>0</v>
      </c>
      <c r="BX211" s="1739">
        <f t="shared" si="109"/>
        <v>2038</v>
      </c>
      <c r="BY211" s="1742">
        <f>_xlfn.IFNA(INDEX($AR211:$AX211,MATCH(BX211,$AR$2:$AX$2,0))*12/365*[11]核心假设及结论!$C$70*$H211,0)</f>
        <v>0</v>
      </c>
      <c r="CA211" s="1739">
        <f t="shared" si="110"/>
        <v>2042</v>
      </c>
      <c r="CB211" s="1742">
        <f>_xlfn.IFNA(INDEX($AR211:$AX211,MATCH(CA211,$AR$2:$AX$2,0))*12/365*[11]核心假设及结论!$C$70*$H211,0)</f>
        <v>0</v>
      </c>
    </row>
    <row r="212" spans="1:80" ht="30" customHeight="1">
      <c r="A212" s="1756" t="s">
        <v>1662</v>
      </c>
      <c r="B212" s="1757" t="s">
        <v>2114</v>
      </c>
      <c r="C212" s="1756" t="s">
        <v>2115</v>
      </c>
      <c r="D212" s="1756" t="s">
        <v>1685</v>
      </c>
      <c r="E212" s="1758" t="s">
        <v>1692</v>
      </c>
      <c r="F212" s="1759"/>
      <c r="G212" s="1760" t="s">
        <v>1661</v>
      </c>
      <c r="H212" s="1761">
        <v>180</v>
      </c>
      <c r="I212" s="1761" t="s">
        <v>1913</v>
      </c>
      <c r="J212" s="1773">
        <v>45352</v>
      </c>
      <c r="K212" s="1773">
        <v>46446</v>
      </c>
      <c r="L212" s="1764">
        <f t="shared" si="92"/>
        <v>36</v>
      </c>
      <c r="M212" s="1774">
        <f t="shared" si="103"/>
        <v>157215.6</v>
      </c>
      <c r="N212" s="1775">
        <f t="shared" si="104"/>
        <v>760.42000000000007</v>
      </c>
      <c r="O212" s="1760">
        <v>136875.6</v>
      </c>
      <c r="P212" s="1776">
        <v>0.15</v>
      </c>
      <c r="Q212" s="1783">
        <f t="shared" si="93"/>
        <v>95</v>
      </c>
      <c r="R212" s="1784">
        <v>17100</v>
      </c>
      <c r="S212" s="1777">
        <f t="shared" si="94"/>
        <v>18</v>
      </c>
      <c r="T212" s="1784">
        <v>3240</v>
      </c>
      <c r="U212" s="1777"/>
      <c r="V212" s="1785">
        <v>518591.83333333302</v>
      </c>
      <c r="W212" s="1785">
        <f t="shared" si="95"/>
        <v>2881.0657407407389</v>
      </c>
      <c r="X212" s="1786">
        <f>(N212+Q212)*H212/V212</f>
        <v>0.29691096176794163</v>
      </c>
      <c r="Y212" s="1789">
        <f>VLOOKUP(E212,[11]核心假设及结论!$C$25:$E$45,3,0)</f>
        <v>0.2</v>
      </c>
      <c r="Z212" s="1790">
        <f t="shared" si="111"/>
        <v>136875.6</v>
      </c>
      <c r="AA212" s="1790">
        <f t="shared" si="111"/>
        <v>142349.4</v>
      </c>
      <c r="AB212" s="1790">
        <f t="shared" si="111"/>
        <v>147825</v>
      </c>
      <c r="AC212" s="1790">
        <f t="shared" si="111"/>
        <v>0</v>
      </c>
      <c r="AD212" s="1790">
        <f t="shared" si="111"/>
        <v>0</v>
      </c>
      <c r="AE212" s="1790">
        <f t="shared" si="111"/>
        <v>0</v>
      </c>
      <c r="AF212" s="1790">
        <f t="shared" si="111"/>
        <v>0</v>
      </c>
      <c r="AG212" s="1794">
        <v>760.42</v>
      </c>
      <c r="AH212" s="1794">
        <v>790.83</v>
      </c>
      <c r="AI212" s="1794">
        <v>821.25</v>
      </c>
      <c r="AJ212" s="1794">
        <v>0</v>
      </c>
      <c r="AK212" s="1794">
        <v>0</v>
      </c>
      <c r="AL212" s="1794">
        <v>0</v>
      </c>
      <c r="AM212" s="1794">
        <v>0</v>
      </c>
      <c r="AN212" s="1797"/>
      <c r="AO212" s="1797"/>
      <c r="AP212" s="1808">
        <f t="shared" si="105"/>
        <v>1.484554808839708</v>
      </c>
      <c r="AQ212" s="1810">
        <f>IF(AP212&gt;[11]核心假设及结论!$B$59,[11]核心假设及结论!$D$59,IF(AP212&lt;=[11]核心假设及结论!$B$58,[11]核心假设及结论!$D$57,[11]核心假设及结论!$D$58))</f>
        <v>1.0069999999999999</v>
      </c>
      <c r="AR212" s="1809">
        <f t="shared" si="106"/>
        <v>760.42</v>
      </c>
      <c r="AS212" s="1809">
        <f>AH212*(AS$2&lt;=YEAR($K212))+AR212*$AQ212*(AS$2=YEAR($K212)+1)+INDEX([11]核心假设及结论!$E$17:$E$21,MATCH($D212,[11]核心假设及结论!$B$17:$B$21,0))*(AS$2&gt;YEAR($K212)+1)*AR212</f>
        <v>790.83</v>
      </c>
      <c r="AT212" s="1809">
        <f>AI212*(AT$2&lt;=YEAR($K212))+AS212*$AQ212*(AT$2=YEAR($K212)+1)+INDEX([11]核心假设及结论!$E$17:$E$21,MATCH($D212,[11]核心假设及结论!$B$17:$B$21,0))*(AT$2&gt;YEAR($K212)+1)*AS212</f>
        <v>821.25</v>
      </c>
      <c r="AU212" s="1811">
        <f>AJ212*(AU$2&lt;=YEAR($K212))+AT212*$AQ212*(AU$2=YEAR($K212)+1)+INDEX([11]核心假设及结论!$E$17:$E$21,MATCH($D212,[11]核心假设及结论!$B$17:$B$21,0))*(AU$2&gt;YEAR($K212)+1)*AT212</f>
        <v>826.99874999999986</v>
      </c>
      <c r="AV212" s="1809">
        <f>AK212*(AV$2&lt;=YEAR($K212))+AU212*$AQ212*(AV$2=YEAR($K212)+1)+INDEX([11]核心假设及结论!$E$17:$E$21,MATCH($D212,[11]核心假设及结论!$B$17:$B$21,0))*(AV$2&gt;YEAR($K212)+1)*AU212</f>
        <v>849.38932021986534</v>
      </c>
      <c r="AW212" s="1809">
        <f>AL212*(AW$2&lt;=YEAR($K212))+AV212*$AQ212*(AW$2=YEAR($K212)+1)+INDEX([11]核心假设及结论!$E$17:$E$21,MATCH($D212,[11]核心假设及结论!$B$17:$B$21,0))*(AW$2&gt;YEAR($K212)+1)*AV212</f>
        <v>872.38610373179529</v>
      </c>
      <c r="AX212" s="1809">
        <f>AM212*(AX$2&lt;=YEAR($K212))+AW212*$AQ212*(AX$2=YEAR($K212)+1)+INDEX([11]核心假设及结论!$E$17:$E$21,MATCH($D212,[11]核心假设及结论!$B$17:$B$21,0))*(AX$2&gt;YEAR($K212)+1)*AW212</f>
        <v>896.0055134521142</v>
      </c>
      <c r="AZ212" s="1746">
        <f t="shared" si="96"/>
        <v>46446</v>
      </c>
      <c r="BA212" s="1817">
        <f t="shared" si="97"/>
        <v>45658</v>
      </c>
      <c r="BB212" s="1817">
        <f t="shared" si="98"/>
        <v>45716</v>
      </c>
      <c r="BC212" s="1817">
        <f t="shared" si="99"/>
        <v>46022</v>
      </c>
      <c r="BD212" s="1818">
        <f t="shared" si="100"/>
        <v>59</v>
      </c>
      <c r="BE212" s="1818">
        <f t="shared" si="101"/>
        <v>306</v>
      </c>
      <c r="BG212" s="1777">
        <f t="shared" si="86"/>
        <v>169.7575127671233</v>
      </c>
      <c r="BH212" s="1777">
        <f t="shared" si="91"/>
        <v>176.32788361643836</v>
      </c>
      <c r="BI212" s="1777">
        <f t="shared" si="91"/>
        <v>178.43101199999998</v>
      </c>
      <c r="BJ212" s="1777">
        <f t="shared" si="91"/>
        <v>182.6863248746636</v>
      </c>
      <c r="BK212" s="1777">
        <f t="shared" si="90"/>
        <v>187.63246413462656</v>
      </c>
      <c r="BL212" s="1777">
        <f t="shared" si="90"/>
        <v>192.71251759750396</v>
      </c>
      <c r="BM212" s="1777">
        <f t="shared" si="90"/>
        <v>31.284093872421213</v>
      </c>
      <c r="BO212" s="1739">
        <f t="shared" si="102"/>
        <v>2027</v>
      </c>
      <c r="BP212" s="1742">
        <f>_xlfn.IFNA(INDEX($AR212:$AX212,MATCH(BO212,$AR$2:$AX$2,0))*12/365*[11]核心假设及结论!$C$70*$H212,0)</f>
        <v>145800</v>
      </c>
      <c r="BR212" s="1739">
        <f t="shared" si="107"/>
        <v>2030</v>
      </c>
      <c r="BS212" s="1742">
        <f>_xlfn.IFNA(INDEX($AR212:$AX212,MATCH(BR212,$AR$2:$AX$2,0))*12/365*[11]核心假设及结论!$C$70*$H212,0)</f>
        <v>154878.40964882285</v>
      </c>
      <c r="BU212" s="1739">
        <f t="shared" si="108"/>
        <v>2033</v>
      </c>
      <c r="BV212" s="1742">
        <f>_xlfn.IFNA(INDEX($AR212:$AX212,MATCH(BU212,$AR$2:$AX$2,0))*12/365*[11]核心假设及结论!$C$70*$H212,0)</f>
        <v>0</v>
      </c>
      <c r="BX212" s="1739">
        <f t="shared" si="109"/>
        <v>2036</v>
      </c>
      <c r="BY212" s="1742">
        <f>_xlfn.IFNA(INDEX($AR212:$AX212,MATCH(BX212,$AR$2:$AX$2,0))*12/365*[11]核心假设及结论!$C$70*$H212,0)</f>
        <v>0</v>
      </c>
      <c r="CA212" s="1739">
        <f t="shared" si="110"/>
        <v>2039</v>
      </c>
      <c r="CB212" s="1742">
        <f>_xlfn.IFNA(INDEX($AR212:$AX212,MATCH(CA212,$AR$2:$AX$2,0))*12/365*[11]核心假设及结论!$C$70*$H212,0)</f>
        <v>0</v>
      </c>
    </row>
    <row r="213" spans="1:80" ht="30" customHeight="1">
      <c r="A213" s="1756" t="s">
        <v>1687</v>
      </c>
      <c r="B213" s="1757" t="s">
        <v>2116</v>
      </c>
      <c r="C213" s="1756" t="s">
        <v>2117</v>
      </c>
      <c r="D213" s="1756" t="s">
        <v>1698</v>
      </c>
      <c r="E213" s="1758" t="s">
        <v>1698</v>
      </c>
      <c r="F213" s="1759"/>
      <c r="G213" s="1760" t="s">
        <v>1661</v>
      </c>
      <c r="H213" s="1761">
        <v>180</v>
      </c>
      <c r="I213" s="1761" t="s">
        <v>1913</v>
      </c>
      <c r="J213" s="1773">
        <v>45078</v>
      </c>
      <c r="K213" s="1773">
        <v>46173</v>
      </c>
      <c r="L213" s="1764">
        <f t="shared" si="92"/>
        <v>36</v>
      </c>
      <c r="M213" s="1774">
        <f t="shared" si="103"/>
        <v>144403.20000000001</v>
      </c>
      <c r="N213" s="1775">
        <f t="shared" si="104"/>
        <v>689.24</v>
      </c>
      <c r="O213" s="1760">
        <v>124063.2</v>
      </c>
      <c r="P213" s="1776">
        <v>0.14499999999999999</v>
      </c>
      <c r="Q213" s="1783">
        <f t="shared" si="93"/>
        <v>95</v>
      </c>
      <c r="R213" s="1784">
        <v>17100</v>
      </c>
      <c r="S213" s="1777">
        <f t="shared" si="94"/>
        <v>18</v>
      </c>
      <c r="T213" s="1777">
        <v>3240</v>
      </c>
      <c r="U213" s="1777"/>
      <c r="V213" s="1785">
        <v>582552.88333333295</v>
      </c>
      <c r="W213" s="1785">
        <f t="shared" si="95"/>
        <v>3236.4049074074055</v>
      </c>
      <c r="X213" s="1786">
        <f>(N213+Q213)*H213/V213</f>
        <v>0.24231825820219544</v>
      </c>
      <c r="Y213" s="1789">
        <f>VLOOKUP(E213,[11]核心假设及结论!$C$25:$E$45,3,0)</f>
        <v>0.2</v>
      </c>
      <c r="Z213" s="1790">
        <f t="shared" si="111"/>
        <v>124063.2</v>
      </c>
      <c r="AA213" s="1790">
        <f t="shared" si="111"/>
        <v>127785.59999999999</v>
      </c>
      <c r="AB213" s="1790">
        <f t="shared" si="111"/>
        <v>0</v>
      </c>
      <c r="AC213" s="1790">
        <f t="shared" si="111"/>
        <v>0</v>
      </c>
      <c r="AD213" s="1790">
        <f t="shared" si="111"/>
        <v>0</v>
      </c>
      <c r="AE213" s="1790">
        <f t="shared" si="111"/>
        <v>0</v>
      </c>
      <c r="AF213" s="1790">
        <f t="shared" si="111"/>
        <v>0</v>
      </c>
      <c r="AG213" s="1794">
        <v>689.24</v>
      </c>
      <c r="AH213" s="1794">
        <v>709.92</v>
      </c>
      <c r="AI213" s="1794">
        <v>0</v>
      </c>
      <c r="AJ213" s="1794">
        <v>0</v>
      </c>
      <c r="AK213" s="1794">
        <v>0</v>
      </c>
      <c r="AL213" s="1794">
        <v>0</v>
      </c>
      <c r="AM213" s="1794">
        <v>0</v>
      </c>
      <c r="AN213" s="1795"/>
      <c r="AO213" s="1795"/>
      <c r="AP213" s="1808">
        <f t="shared" si="105"/>
        <v>1.2115912910109772</v>
      </c>
      <c r="AQ213" s="1812">
        <f>IF(AP213&gt;[11]核心假设及结论!$B$62,[11]核心假设及结论!$D$62,IF(AP213&lt;=[11]核心假设及结论!$B$61,[11]核心假设及结论!$D$60,[11]核心假设及结论!$D$61))</f>
        <v>1.0489999999999999</v>
      </c>
      <c r="AR213" s="1809">
        <f t="shared" si="106"/>
        <v>689.24</v>
      </c>
      <c r="AS213" s="1809">
        <f>AH213*(AS$2&lt;=YEAR($K213))+AR213*$AQ213*(AS$2=YEAR($K213)+1)+INDEX([11]核心假设及结论!$E$17:$E$21,MATCH($D213,[11]核心假设及结论!$B$17:$B$21,0))*(AS$2&gt;YEAR($K213)+1)*AR213</f>
        <v>709.92</v>
      </c>
      <c r="AT213" s="1811">
        <f>AI213*(AT$2&lt;=YEAR($K213))+AS213*$AQ213*(AT$2=YEAR($K213)+1)+INDEX([11]核心假设及结论!$E$17:$E$21,MATCH($D213,[11]核心假设及结论!$B$17:$B$21,0))*(AT$2&gt;YEAR($K213)+1)*AS213</f>
        <v>744.70607999999993</v>
      </c>
      <c r="AU213" s="1809">
        <f>AJ213*(AU$2&lt;=YEAR($K213))+AT213*$AQ213*(AU$2=YEAR($K213)+1)+INDEX([11]核心假设及结论!$E$17:$E$21,MATCH($D213,[11]核心假设及结论!$B$17:$B$21,0))*(AU$2&gt;YEAR($K213)+1)*AT213</f>
        <v>767.50704792848467</v>
      </c>
      <c r="AV213" s="1809">
        <f>AK213*(AV$2&lt;=YEAR($K213))+AU213*$AQ213*(AV$2=YEAR($K213)+1)+INDEX([11]核心假设及结论!$E$17:$E$21,MATCH($D213,[11]核心假设及结论!$B$17:$B$21,0))*(AV$2&gt;YEAR($K213)+1)*AU213</f>
        <v>791.00612233473009</v>
      </c>
      <c r="AW213" s="1809">
        <f>AL213*(AW$2&lt;=YEAR($K213))+AV213*$AQ213*(AW$2=YEAR($K213)+1)+INDEX([11]核心假设及结论!$E$17:$E$21,MATCH($D213,[11]核心假设及结论!$B$17:$B$21,0))*(AW$2&gt;YEAR($K213)+1)*AV213</f>
        <v>815.22467742775314</v>
      </c>
      <c r="AX213" s="1809">
        <f>AM213*(AX$2&lt;=YEAR($K213))+AW213*$AQ213*(AX$2=YEAR($K213)+1)+INDEX([11]核心假设及结论!$E$17:$E$21,MATCH($D213,[11]核心假设及结论!$B$17:$B$21,0))*(AX$2&gt;YEAR($K213)+1)*AW213</f>
        <v>840.18474183939259</v>
      </c>
      <c r="AZ213" s="1746">
        <f t="shared" si="96"/>
        <v>46173</v>
      </c>
      <c r="BA213" s="1817">
        <f t="shared" si="97"/>
        <v>45658</v>
      </c>
      <c r="BB213" s="1817">
        <f t="shared" si="98"/>
        <v>45808</v>
      </c>
      <c r="BC213" s="1817">
        <f t="shared" si="99"/>
        <v>46022</v>
      </c>
      <c r="BD213" s="1818">
        <f t="shared" si="100"/>
        <v>151</v>
      </c>
      <c r="BE213" s="1818">
        <f t="shared" si="101"/>
        <v>214</v>
      </c>
      <c r="BG213" s="1777">
        <f t="shared" si="86"/>
        <v>151.4947778630137</v>
      </c>
      <c r="BH213" s="1777">
        <f t="shared" si="91"/>
        <v>157.74806729293149</v>
      </c>
      <c r="BI213" s="1777">
        <f t="shared" si="91"/>
        <v>163.74405284582539</v>
      </c>
      <c r="BJ213" s="1777">
        <f t="shared" si="91"/>
        <v>168.7574708877699</v>
      </c>
      <c r="BK213" s="1777">
        <f t="shared" si="90"/>
        <v>173.92438678216442</v>
      </c>
      <c r="BL213" s="1777">
        <f t="shared" si="90"/>
        <v>179.24950023497993</v>
      </c>
      <c r="BM213" s="1777">
        <f t="shared" si="90"/>
        <v>75.077987780366101</v>
      </c>
      <c r="BO213" s="1739">
        <f t="shared" si="102"/>
        <v>2026</v>
      </c>
      <c r="BP213" s="1742">
        <f>_xlfn.IFNA(INDEX($AR213:$AX213,MATCH(BO213,$AR$2:$AX$2,0))*12/365*[11]核心假设及结论!$C$70*$H213,0)</f>
        <v>126035.11232876712</v>
      </c>
      <c r="BR213" s="1739">
        <f t="shared" si="107"/>
        <v>2029</v>
      </c>
      <c r="BS213" s="1742">
        <f>_xlfn.IFNA(INDEX($AR213:$AX213,MATCH(BR213,$AR$2:$AX$2,0))*12/365*[11]核心假设及结论!$C$70*$H213,0)</f>
        <v>140430.67596517949</v>
      </c>
      <c r="BU213" s="1739">
        <f t="shared" si="108"/>
        <v>2032</v>
      </c>
      <c r="BV213" s="1742">
        <f>_xlfn.IFNA(INDEX($AR213:$AX213,MATCH(BU213,$AR$2:$AX$2,0))*12/365*[11]核心假设及结论!$C$70*$H213,0)</f>
        <v>0</v>
      </c>
      <c r="BX213" s="1739">
        <f t="shared" si="109"/>
        <v>2035</v>
      </c>
      <c r="BY213" s="1742">
        <f>_xlfn.IFNA(INDEX($AR213:$AX213,MATCH(BX213,$AR$2:$AX$2,0))*12/365*[11]核心假设及结论!$C$70*$H213,0)</f>
        <v>0</v>
      </c>
      <c r="CA213" s="1739">
        <f t="shared" si="110"/>
        <v>2038</v>
      </c>
      <c r="CB213" s="1742">
        <f>_xlfn.IFNA(INDEX($AR213:$AX213,MATCH(CA213,$AR$2:$AX$2,0))*12/365*[11]核心假设及结论!$C$70*$H213,0)</f>
        <v>0</v>
      </c>
    </row>
    <row r="214" spans="1:80" ht="30" customHeight="1">
      <c r="A214" s="1756" t="s">
        <v>1662</v>
      </c>
      <c r="B214" s="1757" t="s">
        <v>2118</v>
      </c>
      <c r="C214" s="1756" t="s">
        <v>2119</v>
      </c>
      <c r="D214" s="1756" t="s">
        <v>1676</v>
      </c>
      <c r="E214" s="1758" t="s">
        <v>1758</v>
      </c>
      <c r="F214" s="1759"/>
      <c r="G214" s="1760" t="s">
        <v>1661</v>
      </c>
      <c r="H214" s="1761">
        <v>180</v>
      </c>
      <c r="I214" s="1761" t="s">
        <v>1913</v>
      </c>
      <c r="J214" s="1773">
        <v>45367</v>
      </c>
      <c r="K214" s="1773">
        <v>46827</v>
      </c>
      <c r="L214" s="1764">
        <f t="shared" si="92"/>
        <v>48</v>
      </c>
      <c r="M214" s="1774">
        <f t="shared" si="103"/>
        <v>57765.599999999999</v>
      </c>
      <c r="N214" s="1775">
        <f t="shared" si="104"/>
        <v>212.92</v>
      </c>
      <c r="O214" s="1760">
        <v>38325.599999999999</v>
      </c>
      <c r="P214" s="1776">
        <v>0.13</v>
      </c>
      <c r="Q214" s="1783">
        <f t="shared" si="93"/>
        <v>90</v>
      </c>
      <c r="R214" s="1784">
        <v>16200</v>
      </c>
      <c r="S214" s="1777">
        <f t="shared" si="94"/>
        <v>18</v>
      </c>
      <c r="T214" s="1784">
        <v>3240</v>
      </c>
      <c r="U214" s="1777"/>
      <c r="V214" s="1785">
        <v>155848.33333333299</v>
      </c>
      <c r="W214" s="1785">
        <f t="shared" si="95"/>
        <v>865.8240740740722</v>
      </c>
      <c r="X214" s="1786">
        <f>(N214+Q214)*H214/V214</f>
        <v>0.34986322172197398</v>
      </c>
      <c r="Y214" s="1789">
        <f>VLOOKUP(E214,[11]核心假设及结论!$C$25:$E$45,3,0)</f>
        <v>0.2</v>
      </c>
      <c r="Z214" s="1790">
        <f t="shared" si="111"/>
        <v>38325.599999999999</v>
      </c>
      <c r="AA214" s="1790">
        <f t="shared" si="111"/>
        <v>39420</v>
      </c>
      <c r="AB214" s="1790">
        <f t="shared" si="111"/>
        <v>40514.400000000001</v>
      </c>
      <c r="AC214" s="1790">
        <f t="shared" si="111"/>
        <v>41610.6</v>
      </c>
      <c r="AD214" s="1790">
        <f t="shared" si="111"/>
        <v>0</v>
      </c>
      <c r="AE214" s="1790">
        <f t="shared" si="111"/>
        <v>0</v>
      </c>
      <c r="AF214" s="1790">
        <f t="shared" si="111"/>
        <v>0</v>
      </c>
      <c r="AG214" s="1794">
        <v>212.92</v>
      </c>
      <c r="AH214" s="1794">
        <v>219</v>
      </c>
      <c r="AI214" s="1794">
        <v>225.08</v>
      </c>
      <c r="AJ214" s="1794">
        <v>231.17</v>
      </c>
      <c r="AK214" s="1794">
        <v>0</v>
      </c>
      <c r="AL214" s="1794">
        <v>0</v>
      </c>
      <c r="AM214" s="1794">
        <v>0</v>
      </c>
      <c r="AN214" s="1797"/>
      <c r="AO214" s="1797"/>
      <c r="AP214" s="1808">
        <f t="shared" si="105"/>
        <v>1.7493161086098699</v>
      </c>
      <c r="AQ214" s="1808">
        <f>IF(AP214&gt;[11]核心假设及结论!$B$65,[11]核心假设及结论!$D$65,IF(AP214&lt;=[11]核心假设及结论!$B$64,[11]核心假设及结论!$D$63,[11]核心假设及结论!$D$64))</f>
        <v>0.72793038402688603</v>
      </c>
      <c r="AR214" s="1809">
        <f t="shared" si="106"/>
        <v>212.92</v>
      </c>
      <c r="AS214" s="1809">
        <f>AH214*(AS$2&lt;=YEAR($K214))+AR214*$AQ214*(AS$2=YEAR($K214)+1)+INDEX([11]核心假设及结论!$E$17:$E$21,MATCH($D214,[11]核心假设及结论!$B$17:$B$21,0))*(AS$2&gt;YEAR($K214)+1)*AR214</f>
        <v>219</v>
      </c>
      <c r="AT214" s="1809">
        <f>AI214*(AT$2&lt;=YEAR($K214))+AS214*$AQ214*(AT$2=YEAR($K214)+1)+INDEX([11]核心假设及结论!$E$17:$E$21,MATCH($D214,[11]核心假设及结论!$B$17:$B$21,0))*(AT$2&gt;YEAR($K214)+1)*AS214</f>
        <v>225.08</v>
      </c>
      <c r="AU214" s="1809">
        <f>AJ214*(AU$2&lt;=YEAR($K214))+AT214*$AQ214*(AU$2=YEAR($K214)+1)+INDEX([11]核心假设及结论!$E$17:$E$21,MATCH($D214,[11]核心假设及结论!$B$17:$B$21,0))*(AU$2&gt;YEAR($K214)+1)*AT214</f>
        <v>231.17</v>
      </c>
      <c r="AV214" s="1811">
        <f>AK214*(AV$2&lt;=YEAR($K214))+AU214*$AQ214*(AV$2=YEAR($K214)+1)+INDEX([11]核心假设及结论!$E$17:$E$21,MATCH($D214,[11]核心假设及结论!$B$17:$B$21,0))*(AV$2&gt;YEAR($K214)+1)*AU214</f>
        <v>168.27566687549523</v>
      </c>
      <c r="AW214" s="1809">
        <f>AL214*(AW$2&lt;=YEAR($K214))+AV214*$AQ214*(AW$2=YEAR($K214)+1)+INDEX([11]核心假设及结论!$E$17:$E$21,MATCH($D214,[11]核心假设及结论!$B$17:$B$21,0))*(AW$2&gt;YEAR($K214)+1)*AV214</f>
        <v>174.09381278141564</v>
      </c>
      <c r="AX214" s="1809">
        <f>AM214*(AX$2&lt;=YEAR($K214))+AW214*$AQ214*(AX$2=YEAR($K214)+1)+INDEX([11]核心假设及结论!$E$17:$E$21,MATCH($D214,[11]核心假设及结论!$B$17:$B$21,0))*(AX$2&gt;YEAR($K214)+1)*AW214</f>
        <v>180.11312159110645</v>
      </c>
      <c r="AZ214" s="1746">
        <f t="shared" si="96"/>
        <v>46827</v>
      </c>
      <c r="BA214" s="1817">
        <f t="shared" si="97"/>
        <v>45658</v>
      </c>
      <c r="BB214" s="1817">
        <f t="shared" si="98"/>
        <v>45731</v>
      </c>
      <c r="BC214" s="1817">
        <f t="shared" si="99"/>
        <v>46022</v>
      </c>
      <c r="BD214" s="1818">
        <f t="shared" si="100"/>
        <v>74</v>
      </c>
      <c r="BE214" s="1818">
        <f t="shared" si="101"/>
        <v>291</v>
      </c>
      <c r="BG214" s="1777">
        <f t="shared" ref="BG214:BG277" si="112">(AR214*$BD214*$H214*12/365+BE214*AS214*$H214*12/365)/10000</f>
        <v>47.037745972602735</v>
      </c>
      <c r="BH214" s="1777">
        <f t="shared" si="91"/>
        <v>48.351025972602741</v>
      </c>
      <c r="BI214" s="1777">
        <f t="shared" si="91"/>
        <v>49.666028054794516</v>
      </c>
      <c r="BJ214" s="1777">
        <f t="shared" si="91"/>
        <v>39.101798896235969</v>
      </c>
      <c r="BK214" s="1777">
        <f t="shared" si="90"/>
        <v>37.349476590483768</v>
      </c>
      <c r="BL214" s="1777">
        <f t="shared" si="90"/>
        <v>38.640838011585579</v>
      </c>
      <c r="BM214" s="1777">
        <f t="shared" si="90"/>
        <v>7.8874743438691644</v>
      </c>
      <c r="BO214" s="1739">
        <f t="shared" si="102"/>
        <v>2028</v>
      </c>
      <c r="BP214" s="1742">
        <f>_xlfn.IFNA(INDEX($AR214:$AX214,MATCH(BO214,$AR$2:$AX$2,0))*12/365*[11]核心假设及结论!$C$70*$H214,0)</f>
        <v>41040.591780821916</v>
      </c>
      <c r="BR214" s="1739">
        <f t="shared" si="107"/>
        <v>2032</v>
      </c>
      <c r="BS214" s="1742">
        <f>_xlfn.IFNA(INDEX($AR214:$AX214,MATCH(BR214,$AR$2:$AX$2,0))*12/365*[11]核心假设及结论!$C$70*$H214,0)</f>
        <v>0</v>
      </c>
      <c r="BU214" s="1739">
        <f t="shared" si="108"/>
        <v>2036</v>
      </c>
      <c r="BV214" s="1742">
        <f>_xlfn.IFNA(INDEX($AR214:$AX214,MATCH(BU214,$AR$2:$AX$2,0))*12/365*[11]核心假设及结论!$C$70*$H214,0)</f>
        <v>0</v>
      </c>
      <c r="BX214" s="1739">
        <f t="shared" si="109"/>
        <v>2040</v>
      </c>
      <c r="BY214" s="1742">
        <f>_xlfn.IFNA(INDEX($AR214:$AX214,MATCH(BX214,$AR$2:$AX$2,0))*12/365*[11]核心假设及结论!$C$70*$H214,0)</f>
        <v>0</v>
      </c>
      <c r="CA214" s="1739">
        <f t="shared" si="110"/>
        <v>2044</v>
      </c>
      <c r="CB214" s="1742">
        <f>_xlfn.IFNA(INDEX($AR214:$AX214,MATCH(CA214,$AR$2:$AX$2,0))*12/365*[11]核心假设及结论!$C$70*$H214,0)</f>
        <v>0</v>
      </c>
    </row>
    <row r="215" spans="1:80" ht="30" customHeight="1">
      <c r="A215" s="1756" t="s">
        <v>1662</v>
      </c>
      <c r="B215" s="1757" t="s">
        <v>2120</v>
      </c>
      <c r="C215" s="1756" t="s">
        <v>2121</v>
      </c>
      <c r="D215" s="1756" t="s">
        <v>1685</v>
      </c>
      <c r="E215" s="1758" t="s">
        <v>1838</v>
      </c>
      <c r="F215" s="1759"/>
      <c r="G215" s="1760" t="s">
        <v>1661</v>
      </c>
      <c r="H215" s="1761">
        <v>179</v>
      </c>
      <c r="I215" s="1761" t="s">
        <v>1913</v>
      </c>
      <c r="J215" s="1773">
        <v>45138</v>
      </c>
      <c r="K215" s="1773">
        <v>46233</v>
      </c>
      <c r="L215" s="1764">
        <f t="shared" si="92"/>
        <v>36</v>
      </c>
      <c r="M215" s="1774">
        <f t="shared" si="103"/>
        <v>164508.16</v>
      </c>
      <c r="N215" s="1775">
        <f t="shared" si="104"/>
        <v>806.04</v>
      </c>
      <c r="O215" s="1760">
        <v>144281.16</v>
      </c>
      <c r="P215" s="1776">
        <v>0.12</v>
      </c>
      <c r="Q215" s="1783">
        <f t="shared" si="93"/>
        <v>95</v>
      </c>
      <c r="R215" s="1784">
        <v>17005</v>
      </c>
      <c r="S215" s="1777">
        <f t="shared" si="94"/>
        <v>18</v>
      </c>
      <c r="T215" s="1784">
        <v>3222</v>
      </c>
      <c r="U215" s="1777"/>
      <c r="V215" s="1785">
        <v>196181.66666666701</v>
      </c>
      <c r="W215" s="1785">
        <f t="shared" si="95"/>
        <v>1095.9869646182515</v>
      </c>
      <c r="X215" s="1786">
        <f>(N215+Q215+S215)*H215/V215</f>
        <v>0.8385501193621544</v>
      </c>
      <c r="Y215" s="1789">
        <f>VLOOKUP(E215,[11]核心假设及结论!$C$25:$E$45,3,0)</f>
        <v>0.2</v>
      </c>
      <c r="Z215" s="1790">
        <f t="shared" si="111"/>
        <v>144281.16</v>
      </c>
      <c r="AA215" s="1790">
        <f t="shared" si="111"/>
        <v>147003.75</v>
      </c>
      <c r="AB215" s="1790">
        <f t="shared" si="111"/>
        <v>0</v>
      </c>
      <c r="AC215" s="1790">
        <f t="shared" si="111"/>
        <v>0</v>
      </c>
      <c r="AD215" s="1790">
        <f t="shared" si="111"/>
        <v>0</v>
      </c>
      <c r="AE215" s="1790">
        <f t="shared" si="111"/>
        <v>0</v>
      </c>
      <c r="AF215" s="1790">
        <f t="shared" si="111"/>
        <v>0</v>
      </c>
      <c r="AG215" s="1794">
        <v>806.04</v>
      </c>
      <c r="AH215" s="1794">
        <v>821.25</v>
      </c>
      <c r="AI215" s="1794">
        <v>0</v>
      </c>
      <c r="AJ215" s="1794">
        <v>0</v>
      </c>
      <c r="AK215" s="1794">
        <v>0</v>
      </c>
      <c r="AL215" s="1794">
        <v>0</v>
      </c>
      <c r="AM215" s="1794">
        <v>0</v>
      </c>
      <c r="AN215" s="1797"/>
      <c r="AO215" s="1797"/>
      <c r="AP215" s="1808">
        <f t="shared" si="105"/>
        <v>4.1927505968107717</v>
      </c>
      <c r="AQ215" s="1810">
        <f>IF(AP215&gt;[11]核心假设及结论!$B$59,[11]核心假设及结论!$D$59,IF(AP215&lt;=[11]核心假设及结论!$B$58,[11]核心假设及结论!$D$57,[11]核心假设及结论!$D$58))</f>
        <v>1</v>
      </c>
      <c r="AR215" s="1809">
        <f t="shared" si="106"/>
        <v>806.04</v>
      </c>
      <c r="AS215" s="1809">
        <f>AH215*(AS$2&lt;=YEAR($K215))+AR215*$AQ215*(AS$2=YEAR($K215)+1)+INDEX([11]核心假设及结论!$E$17:$E$21,MATCH($D215,[11]核心假设及结论!$B$17:$B$21,0))*(AS$2&gt;YEAR($K215)+1)*AR215</f>
        <v>821.25</v>
      </c>
      <c r="AT215" s="1811">
        <f>AI215*(AT$2&lt;=YEAR($K215))+AS215*$AQ215*(AT$2=YEAR($K215)+1)+INDEX([11]核心假设及结论!$E$17:$E$21,MATCH($D215,[11]核心假设及结论!$B$17:$B$21,0))*(AT$2&gt;YEAR($K215)+1)*AS215</f>
        <v>821.25</v>
      </c>
      <c r="AU215" s="1809">
        <f>AJ215*(AU$2&lt;=YEAR($K215))+AT215*$AQ215*(AU$2=YEAR($K215)+1)+INDEX([11]核心假设及结论!$E$17:$E$21,MATCH($D215,[11]核心假设及结论!$B$17:$B$21,0))*(AU$2&gt;YEAR($K215)+1)*AT215</f>
        <v>843.4849257396877</v>
      </c>
      <c r="AV215" s="1809">
        <f>AK215*(AV$2&lt;=YEAR($K215))+AU215*$AQ215*(AV$2=YEAR($K215)+1)+INDEX([11]核心假设及结论!$E$17:$E$21,MATCH($D215,[11]核心假设及结论!$B$17:$B$21,0))*(AV$2&gt;YEAR($K215)+1)*AU215</f>
        <v>866.32185077636098</v>
      </c>
      <c r="AW215" s="1809">
        <f>AL215*(AW$2&lt;=YEAR($K215))+AV215*$AQ215*(AW$2=YEAR($K215)+1)+INDEX([11]核心假设及结论!$E$17:$E$21,MATCH($D215,[11]核心假设及结论!$B$17:$B$21,0))*(AW$2&gt;YEAR($K215)+1)*AV215</f>
        <v>889.7770739345724</v>
      </c>
      <c r="AX215" s="1809">
        <f>AM215*(AX$2&lt;=YEAR($K215))+AW215*$AQ215*(AX$2=YEAR($K215)+1)+INDEX([11]核心假设及结论!$E$17:$E$21,MATCH($D215,[11]核心假设及结论!$B$17:$B$21,0))*(AX$2&gt;YEAR($K215)+1)*AW215</f>
        <v>913.86733532125345</v>
      </c>
      <c r="AZ215" s="1746">
        <f t="shared" si="96"/>
        <v>46233</v>
      </c>
      <c r="BA215" s="1817">
        <f t="shared" si="97"/>
        <v>45658</v>
      </c>
      <c r="BB215" s="1817">
        <f t="shared" si="98"/>
        <v>45868</v>
      </c>
      <c r="BC215" s="1817">
        <f t="shared" si="99"/>
        <v>46022</v>
      </c>
      <c r="BD215" s="1818">
        <f t="shared" si="100"/>
        <v>211</v>
      </c>
      <c r="BE215" s="1818">
        <f t="shared" si="101"/>
        <v>154</v>
      </c>
      <c r="BG215" s="1777">
        <f t="shared" si="112"/>
        <v>174.51584304657536</v>
      </c>
      <c r="BH215" s="1777">
        <f t="shared" si="91"/>
        <v>176.40450000000001</v>
      </c>
      <c r="BI215" s="1777">
        <f t="shared" si="91"/>
        <v>178.41960563158432</v>
      </c>
      <c r="BJ215" s="1777">
        <f t="shared" si="91"/>
        <v>183.25022563977018</v>
      </c>
      <c r="BK215" s="1777">
        <f t="shared" si="90"/>
        <v>188.21163222592702</v>
      </c>
      <c r="BL215" s="1777">
        <f t="shared" si="90"/>
        <v>193.30736637008394</v>
      </c>
      <c r="BM215" s="1777">
        <f t="shared" si="90"/>
        <v>113.47678483643315</v>
      </c>
      <c r="BO215" s="1739">
        <f t="shared" si="102"/>
        <v>2026</v>
      </c>
      <c r="BP215" s="1742">
        <f>_xlfn.IFNA(INDEX($AR215:$AX215,MATCH(BO215,$AR$2:$AX$2,0))*12/365*[11]核心假设及结论!$C$70*$H215,0)</f>
        <v>144990</v>
      </c>
      <c r="BR215" s="1739">
        <f t="shared" si="107"/>
        <v>2029</v>
      </c>
      <c r="BS215" s="1742">
        <f>_xlfn.IFNA(INDEX($AR215:$AX215,MATCH(BR215,$AR$2:$AX$2,0))*12/365*[11]核心假设及结论!$C$70*$H215,0)</f>
        <v>152947.34264117453</v>
      </c>
      <c r="BU215" s="1739">
        <f t="shared" si="108"/>
        <v>2032</v>
      </c>
      <c r="BV215" s="1742">
        <f>_xlfn.IFNA(INDEX($AR215:$AX215,MATCH(BU215,$AR$2:$AX$2,0))*12/365*[11]核心假设及结论!$C$70*$H215,0)</f>
        <v>0</v>
      </c>
      <c r="BX215" s="1739">
        <f t="shared" si="109"/>
        <v>2035</v>
      </c>
      <c r="BY215" s="1742">
        <f>_xlfn.IFNA(INDEX($AR215:$AX215,MATCH(BX215,$AR$2:$AX$2,0))*12/365*[11]核心假设及结论!$C$70*$H215,0)</f>
        <v>0</v>
      </c>
      <c r="CA215" s="1739">
        <f t="shared" si="110"/>
        <v>2038</v>
      </c>
      <c r="CB215" s="1742">
        <f>_xlfn.IFNA(INDEX($AR215:$AX215,MATCH(CA215,$AR$2:$AX$2,0))*12/365*[11]核心假设及结论!$C$70*$H215,0)</f>
        <v>0</v>
      </c>
    </row>
    <row r="216" spans="1:80" ht="30" customHeight="1">
      <c r="A216" s="1756" t="s">
        <v>1687</v>
      </c>
      <c r="B216" s="1757" t="s">
        <v>2122</v>
      </c>
      <c r="C216" s="1756" t="s">
        <v>2123</v>
      </c>
      <c r="D216" s="1756" t="s">
        <v>1685</v>
      </c>
      <c r="E216" s="1758" t="s">
        <v>1692</v>
      </c>
      <c r="F216" s="1759"/>
      <c r="G216" s="1760" t="s">
        <v>1661</v>
      </c>
      <c r="H216" s="1761">
        <v>179</v>
      </c>
      <c r="I216" s="1761" t="s">
        <v>1913</v>
      </c>
      <c r="J216" s="1773">
        <v>44891</v>
      </c>
      <c r="K216" s="1773">
        <v>46716</v>
      </c>
      <c r="L216" s="1764">
        <f t="shared" si="92"/>
        <v>60</v>
      </c>
      <c r="M216" s="1774">
        <f t="shared" si="103"/>
        <v>147521.06</v>
      </c>
      <c r="N216" s="1775">
        <f t="shared" si="104"/>
        <v>711.14</v>
      </c>
      <c r="O216" s="1760">
        <v>127294.06</v>
      </c>
      <c r="P216" s="1776">
        <v>0.18</v>
      </c>
      <c r="Q216" s="1783">
        <f t="shared" si="93"/>
        <v>95</v>
      </c>
      <c r="R216" s="1784">
        <v>17005</v>
      </c>
      <c r="S216" s="1777">
        <f t="shared" si="94"/>
        <v>18</v>
      </c>
      <c r="T216" s="1777">
        <v>3222</v>
      </c>
      <c r="U216" s="1777"/>
      <c r="V216" s="1785">
        <v>342425.625</v>
      </c>
      <c r="W216" s="1785">
        <f t="shared" si="95"/>
        <v>1912.9923184357542</v>
      </c>
      <c r="X216" s="1786">
        <f t="shared" ref="X216:X222" si="113">(N216+Q216)*H216/V216</f>
        <v>0.42140263305352804</v>
      </c>
      <c r="Y216" s="1789">
        <f>VLOOKUP(E216,[11]核心假设及结论!$C$25:$E$45,3,0)</f>
        <v>0.2</v>
      </c>
      <c r="Z216" s="1790">
        <f t="shared" si="111"/>
        <v>147003.75</v>
      </c>
      <c r="AA216" s="1790">
        <f t="shared" si="111"/>
        <v>149944.72</v>
      </c>
      <c r="AB216" s="1790">
        <f t="shared" si="111"/>
        <v>152993.09</v>
      </c>
      <c r="AC216" s="1790">
        <f t="shared" si="111"/>
        <v>0</v>
      </c>
      <c r="AD216" s="1790">
        <f t="shared" si="111"/>
        <v>0</v>
      </c>
      <c r="AE216" s="1790">
        <f t="shared" si="111"/>
        <v>0</v>
      </c>
      <c r="AF216" s="1790">
        <f t="shared" si="111"/>
        <v>0</v>
      </c>
      <c r="AG216" s="1794">
        <v>821.25</v>
      </c>
      <c r="AH216" s="1794">
        <v>837.68</v>
      </c>
      <c r="AI216" s="1794">
        <v>854.71</v>
      </c>
      <c r="AJ216" s="1794">
        <v>0</v>
      </c>
      <c r="AK216" s="1794">
        <v>0</v>
      </c>
      <c r="AL216" s="1794">
        <v>0</v>
      </c>
      <c r="AM216" s="1794">
        <v>0</v>
      </c>
      <c r="AN216" s="1795"/>
      <c r="AO216" s="1795"/>
      <c r="AP216" s="1808">
        <f t="shared" si="105"/>
        <v>2.1070131652676403</v>
      </c>
      <c r="AQ216" s="1810">
        <f>IF(AP216&gt;[11]核心假设及结论!$B$59,[11]核心假设及结论!$D$59,IF(AP216&lt;=[11]核心假设及结论!$B$58,[11]核心假设及结论!$D$57,[11]核心假设及结论!$D$58))</f>
        <v>1</v>
      </c>
      <c r="AR216" s="1809">
        <f t="shared" si="106"/>
        <v>821.25</v>
      </c>
      <c r="AS216" s="1809">
        <f>AH216*(AS$2&lt;=YEAR($K216))+AR216*$AQ216*(AS$2=YEAR($K216)+1)+INDEX([11]核心假设及结论!$E$17:$E$21,MATCH($D216,[11]核心假设及结论!$B$17:$B$21,0))*(AS$2&gt;YEAR($K216)+1)*AR216</f>
        <v>837.68</v>
      </c>
      <c r="AT216" s="1809">
        <f>AI216*(AT$2&lt;=YEAR($K216))+AS216*$AQ216*(AT$2=YEAR($K216)+1)+INDEX([11]核心假设及结论!$E$17:$E$21,MATCH($D216,[11]核心假设及结论!$B$17:$B$21,0))*(AT$2&gt;YEAR($K216)+1)*AS216</f>
        <v>854.71</v>
      </c>
      <c r="AU216" s="1811">
        <f>AJ216*(AU$2&lt;=YEAR($K216))+AT216*$AQ216*(AU$2=YEAR($K216)+1)+INDEX([11]核心假设及结论!$E$17:$E$21,MATCH($D216,[11]核心假设及结论!$B$17:$B$21,0))*(AU$2&gt;YEAR($K216)+1)*AT216</f>
        <v>854.71</v>
      </c>
      <c r="AV216" s="1809">
        <f>AK216*(AV$2&lt;=YEAR($K216))+AU216*$AQ216*(AV$2=YEAR($K216)+1)+INDEX([11]核心假设及结论!$E$17:$E$21,MATCH($D216,[11]核心假设及结论!$B$17:$B$21,0))*(AV$2&gt;YEAR($K216)+1)*AU216</f>
        <v>877.85083820878958</v>
      </c>
      <c r="AW216" s="1809">
        <f>AL216*(AW$2&lt;=YEAR($K216))+AV216*$AQ216*(AW$2=YEAR($K216)+1)+INDEX([11]核心假设及结论!$E$17:$E$21,MATCH($D216,[11]核心假设及结论!$B$17:$B$21,0))*(AW$2&gt;YEAR($K216)+1)*AV216</f>
        <v>901.6182028335628</v>
      </c>
      <c r="AX216" s="1809">
        <f>AM216*(AX$2&lt;=YEAR($K216))+AW216*$AQ216*(AX$2=YEAR($K216)+1)+INDEX([11]核心假设及结论!$E$17:$E$21,MATCH($D216,[11]核心假设及结论!$B$17:$B$21,0))*(AX$2&gt;YEAR($K216)+1)*AW216</f>
        <v>926.02905675813497</v>
      </c>
      <c r="AZ216" s="1746">
        <f t="shared" si="96"/>
        <v>46716</v>
      </c>
      <c r="BA216" s="1817">
        <f t="shared" si="97"/>
        <v>45658</v>
      </c>
      <c r="BB216" s="1817">
        <f t="shared" si="98"/>
        <v>45986</v>
      </c>
      <c r="BC216" s="1817">
        <f t="shared" si="99"/>
        <v>46022</v>
      </c>
      <c r="BD216" s="1818">
        <f t="shared" si="100"/>
        <v>329</v>
      </c>
      <c r="BE216" s="1818">
        <f t="shared" si="101"/>
        <v>36</v>
      </c>
      <c r="BG216" s="1777">
        <f t="shared" si="112"/>
        <v>176.75258192876711</v>
      </c>
      <c r="BH216" s="1777">
        <f t="shared" si="91"/>
        <v>180.29445738082191</v>
      </c>
      <c r="BI216" s="1777">
        <f t="shared" si="91"/>
        <v>183.59170800000001</v>
      </c>
      <c r="BJ216" s="1777">
        <f t="shared" si="91"/>
        <v>184.0819640923313</v>
      </c>
      <c r="BK216" s="1777">
        <f t="shared" si="90"/>
        <v>189.06588957374237</v>
      </c>
      <c r="BL216" s="1777">
        <f t="shared" si="90"/>
        <v>194.18475230078064</v>
      </c>
      <c r="BM216" s="1777">
        <f t="shared" si="90"/>
        <v>179.29241813110133</v>
      </c>
      <c r="BO216" s="1739">
        <f t="shared" si="102"/>
        <v>2027</v>
      </c>
      <c r="BP216" s="1742">
        <f>_xlfn.IFNA(INDEX($AR216:$AX216,MATCH(BO216,$AR$2:$AX$2,0))*12/365*[11]核心假设及结论!$C$70*$H216,0)</f>
        <v>150897.29424657536</v>
      </c>
      <c r="BR216" s="1739">
        <f t="shared" si="107"/>
        <v>2032</v>
      </c>
      <c r="BS216" s="1742">
        <f>_xlfn.IFNA(INDEX($AR216:$AX216,MATCH(BR216,$AR$2:$AX$2,0))*12/365*[11]核心假设及结论!$C$70*$H216,0)</f>
        <v>0</v>
      </c>
      <c r="BU216" s="1739">
        <f t="shared" si="108"/>
        <v>2037</v>
      </c>
      <c r="BV216" s="1742">
        <f>_xlfn.IFNA(INDEX($AR216:$AX216,MATCH(BU216,$AR$2:$AX$2,0))*12/365*[11]核心假设及结论!$C$70*$H216,0)</f>
        <v>0</v>
      </c>
      <c r="BX216" s="1739">
        <f t="shared" si="109"/>
        <v>2042</v>
      </c>
      <c r="BY216" s="1742">
        <f>_xlfn.IFNA(INDEX($AR216:$AX216,MATCH(BX216,$AR$2:$AX$2,0))*12/365*[11]核心假设及结论!$C$70*$H216,0)</f>
        <v>0</v>
      </c>
      <c r="CA216" s="1739">
        <f t="shared" si="110"/>
        <v>2047</v>
      </c>
      <c r="CB216" s="1742">
        <f>_xlfn.IFNA(INDEX($AR216:$AX216,MATCH(CA216,$AR$2:$AX$2,0))*12/365*[11]核心假设及结论!$C$70*$H216,0)</f>
        <v>0</v>
      </c>
    </row>
    <row r="217" spans="1:80" ht="30" customHeight="1">
      <c r="A217" s="1756" t="s">
        <v>1666</v>
      </c>
      <c r="B217" s="1757" t="s">
        <v>2124</v>
      </c>
      <c r="C217" s="1756" t="s">
        <v>2125</v>
      </c>
      <c r="D217" s="1756" t="s">
        <v>1698</v>
      </c>
      <c r="E217" s="1758" t="s">
        <v>1698</v>
      </c>
      <c r="F217" s="1759"/>
      <c r="G217" s="1760" t="s">
        <v>1661</v>
      </c>
      <c r="H217" s="1761">
        <v>179</v>
      </c>
      <c r="I217" s="1761" t="s">
        <v>1913</v>
      </c>
      <c r="J217" s="1773">
        <v>45270</v>
      </c>
      <c r="K217" s="1773">
        <v>46365</v>
      </c>
      <c r="L217" s="1764">
        <f t="shared" si="92"/>
        <v>36</v>
      </c>
      <c r="M217" s="1774">
        <f t="shared" si="103"/>
        <v>128223.07</v>
      </c>
      <c r="N217" s="1775">
        <f t="shared" si="104"/>
        <v>608.33000000000004</v>
      </c>
      <c r="O217" s="1760">
        <v>108891.07</v>
      </c>
      <c r="P217" s="1776">
        <v>0.12</v>
      </c>
      <c r="Q217" s="1783">
        <f t="shared" si="93"/>
        <v>90</v>
      </c>
      <c r="R217" s="1784">
        <v>16110</v>
      </c>
      <c r="S217" s="1777">
        <f t="shared" si="94"/>
        <v>18</v>
      </c>
      <c r="T217" s="1784">
        <v>3222</v>
      </c>
      <c r="U217" s="1777"/>
      <c r="V217" s="1785">
        <v>668856.60412499995</v>
      </c>
      <c r="W217" s="1785">
        <f t="shared" si="95"/>
        <v>3736.6290733240221</v>
      </c>
      <c r="X217" s="1786">
        <f t="shared" si="113"/>
        <v>0.18688769644956524</v>
      </c>
      <c r="Y217" s="1789">
        <f>VLOOKUP(E217,[11]核心假设及结论!$C$25:$E$45,3,0)</f>
        <v>0.2</v>
      </c>
      <c r="Z217" s="1790">
        <f t="shared" si="111"/>
        <v>114336.25</v>
      </c>
      <c r="AA217" s="1790">
        <f t="shared" si="111"/>
        <v>119781.43</v>
      </c>
      <c r="AB217" s="1790">
        <f t="shared" si="111"/>
        <v>0</v>
      </c>
      <c r="AC217" s="1790">
        <f t="shared" si="111"/>
        <v>0</v>
      </c>
      <c r="AD217" s="1790">
        <f t="shared" si="111"/>
        <v>0</v>
      </c>
      <c r="AE217" s="1790">
        <f t="shared" si="111"/>
        <v>0</v>
      </c>
      <c r="AF217" s="1790">
        <f t="shared" si="111"/>
        <v>0</v>
      </c>
      <c r="AG217" s="1794">
        <v>638.75</v>
      </c>
      <c r="AH217" s="1794">
        <v>669.17</v>
      </c>
      <c r="AI217" s="1794">
        <v>0</v>
      </c>
      <c r="AJ217" s="1794">
        <v>0</v>
      </c>
      <c r="AK217" s="1794">
        <v>0</v>
      </c>
      <c r="AL217" s="1794">
        <v>0</v>
      </c>
      <c r="AM217" s="1794">
        <v>0</v>
      </c>
      <c r="AN217" s="1797"/>
      <c r="AO217" s="1797"/>
      <c r="AP217" s="1808">
        <f t="shared" si="105"/>
        <v>0.93443848224782611</v>
      </c>
      <c r="AQ217" s="1812">
        <f>IF(AP217&gt;[11]核心假设及结论!$B$62,[11]核心假设及结论!$D$62,IF(AP217&lt;=[11]核心假设及结论!$B$61,[11]核心假设及结论!$D$60,[11]核心假设及结论!$D$61))</f>
        <v>1.0811176582269599</v>
      </c>
      <c r="AR217" s="1809">
        <f t="shared" si="106"/>
        <v>638.75</v>
      </c>
      <c r="AS217" s="1809">
        <f>AH217*(AS$2&lt;=YEAR($K217))+AR217*$AQ217*(AS$2=YEAR($K217)+1)+INDEX([11]核心假设及结论!$E$17:$E$21,MATCH($D217,[11]核心假设及结论!$B$17:$B$21,0))*(AS$2&gt;YEAR($K217)+1)*AR217</f>
        <v>669.17</v>
      </c>
      <c r="AT217" s="1811">
        <f>AI217*(AT$2&lt;=YEAR($K217))+AS217*$AQ217*(AT$2=YEAR($K217)+1)+INDEX([11]核心假设及结论!$E$17:$E$21,MATCH($D217,[11]核心假设及结论!$B$17:$B$21,0))*(AT$2&gt;YEAR($K217)+1)*AS217</f>
        <v>723.45150335573476</v>
      </c>
      <c r="AU217" s="1809">
        <f>AJ217*(AU$2&lt;=YEAR($K217))+AT217*$AQ217*(AU$2=YEAR($K217)+1)+INDEX([11]核心假设及结论!$E$17:$E$21,MATCH($D217,[11]核心假设及结论!$B$17:$B$21,0))*(AU$2&gt;YEAR($K217)+1)*AT217</f>
        <v>745.60171129525929</v>
      </c>
      <c r="AV217" s="1809">
        <f>AK217*(AV$2&lt;=YEAR($K217))+AU217*$AQ217*(AV$2=YEAR($K217)+1)+INDEX([11]核心假设及结论!$E$17:$E$21,MATCH($D217,[11]核心假设及结论!$B$17:$B$21,0))*(AV$2&gt;YEAR($K217)+1)*AU217</f>
        <v>768.43010113016783</v>
      </c>
      <c r="AW217" s="1809">
        <f>AL217*(AW$2&lt;=YEAR($K217))+AV217*$AQ217*(AW$2=YEAR($K217)+1)+INDEX([11]核心假设及结论!$E$17:$E$21,MATCH($D217,[11]核心假设及结论!$B$17:$B$21,0))*(AW$2&gt;YEAR($K217)+1)*AV217</f>
        <v>791.95743703046185</v>
      </c>
      <c r="AX217" s="1809">
        <f>AM217*(AX$2&lt;=YEAR($K217))+AW217*$AQ217*(AX$2=YEAR($K217)+1)+INDEX([11]核心假设及结论!$E$17:$E$21,MATCH($D217,[11]核心假设及结论!$B$17:$B$21,0))*(AX$2&gt;YEAR($K217)+1)*AW217</f>
        <v>816.20511891115302</v>
      </c>
      <c r="AZ217" s="1746">
        <f t="shared" si="96"/>
        <v>46365</v>
      </c>
      <c r="BA217" s="1817">
        <f t="shared" si="97"/>
        <v>45658</v>
      </c>
      <c r="BB217" s="1817">
        <f t="shared" si="98"/>
        <v>46000</v>
      </c>
      <c r="BC217" s="1817">
        <f t="shared" si="99"/>
        <v>46022</v>
      </c>
      <c r="BD217" s="1818">
        <f t="shared" si="100"/>
        <v>343</v>
      </c>
      <c r="BE217" s="1818">
        <f t="shared" si="101"/>
        <v>22</v>
      </c>
      <c r="BG217" s="1777">
        <f t="shared" si="112"/>
        <v>137.59734315616438</v>
      </c>
      <c r="BH217" s="1777">
        <f t="shared" si="91"/>
        <v>144.44049044454209</v>
      </c>
      <c r="BI217" s="1777">
        <f t="shared" si="91"/>
        <v>155.68415832530229</v>
      </c>
      <c r="BJ217" s="1777">
        <f t="shared" si="91"/>
        <v>160.45080330951993</v>
      </c>
      <c r="BK217" s="1777">
        <f t="shared" si="90"/>
        <v>165.36339059544619</v>
      </c>
      <c r="BL217" s="1777">
        <f t="shared" si="90"/>
        <v>170.42638855769218</v>
      </c>
      <c r="BM217" s="1777">
        <f t="shared" si="90"/>
        <v>164.75357485738539</v>
      </c>
      <c r="BO217" s="1739">
        <f t="shared" si="102"/>
        <v>2026</v>
      </c>
      <c r="BP217" s="1742">
        <f>_xlfn.IFNA(INDEX($AR217:$AX217,MATCH(BO217,$AR$2:$AX$2,0))*12/365*[11]核心假设及结论!$C$70*$H217,0)</f>
        <v>118140.58849315067</v>
      </c>
      <c r="BR217" s="1739">
        <f t="shared" si="107"/>
        <v>2029</v>
      </c>
      <c r="BS217" s="1742">
        <f>_xlfn.IFNA(INDEX($AR217:$AX217,MATCH(BR217,$AR$2:$AX$2,0))*12/365*[11]核心假设及结论!$C$70*$H217,0)</f>
        <v>135664.7553885699</v>
      </c>
      <c r="BU217" s="1739">
        <f t="shared" si="108"/>
        <v>2032</v>
      </c>
      <c r="BV217" s="1742">
        <f>_xlfn.IFNA(INDEX($AR217:$AX217,MATCH(BU217,$AR$2:$AX$2,0))*12/365*[11]核心假设及结论!$C$70*$H217,0)</f>
        <v>0</v>
      </c>
      <c r="BX217" s="1739">
        <f t="shared" si="109"/>
        <v>2035</v>
      </c>
      <c r="BY217" s="1742">
        <f>_xlfn.IFNA(INDEX($AR217:$AX217,MATCH(BX217,$AR$2:$AX$2,0))*12/365*[11]核心假设及结论!$C$70*$H217,0)</f>
        <v>0</v>
      </c>
      <c r="CA217" s="1739">
        <f t="shared" si="110"/>
        <v>2038</v>
      </c>
      <c r="CB217" s="1742">
        <f>_xlfn.IFNA(INDEX($AR217:$AX217,MATCH(CA217,$AR$2:$AX$2,0))*12/365*[11]核心假设及结论!$C$70*$H217,0)</f>
        <v>0</v>
      </c>
    </row>
    <row r="218" spans="1:80" ht="30" customHeight="1">
      <c r="A218" s="1756" t="s">
        <v>1662</v>
      </c>
      <c r="B218" s="1757" t="s">
        <v>2126</v>
      </c>
      <c r="C218" s="1756" t="s">
        <v>2127</v>
      </c>
      <c r="D218" s="1756" t="s">
        <v>1698</v>
      </c>
      <c r="E218" s="1758" t="s">
        <v>1698</v>
      </c>
      <c r="F218" s="1759"/>
      <c r="G218" s="1760" t="s">
        <v>1661</v>
      </c>
      <c r="H218" s="1761">
        <v>179</v>
      </c>
      <c r="I218" s="1761" t="s">
        <v>1913</v>
      </c>
      <c r="J218" s="1773">
        <v>44409</v>
      </c>
      <c r="K218" s="1773">
        <v>45869</v>
      </c>
      <c r="L218" s="1764">
        <f t="shared" si="92"/>
        <v>48</v>
      </c>
      <c r="M218" s="1774">
        <f t="shared" si="103"/>
        <v>115637.58</v>
      </c>
      <c r="N218" s="1775">
        <f t="shared" si="104"/>
        <v>532.4</v>
      </c>
      <c r="O218" s="1760">
        <v>95299.6</v>
      </c>
      <c r="P218" s="1776">
        <v>0.16</v>
      </c>
      <c r="Q218" s="1783">
        <f t="shared" si="93"/>
        <v>95</v>
      </c>
      <c r="R218" s="1784">
        <v>17005</v>
      </c>
      <c r="S218" s="1777">
        <f t="shared" si="94"/>
        <v>18.62</v>
      </c>
      <c r="T218" s="1784">
        <v>3332.98</v>
      </c>
      <c r="U218" s="1777"/>
      <c r="V218" s="1785">
        <v>781149.03833333403</v>
      </c>
      <c r="W218" s="1785">
        <f t="shared" si="95"/>
        <v>4363.9611080074528</v>
      </c>
      <c r="X218" s="1786">
        <f t="shared" si="113"/>
        <v>0.14376846733321724</v>
      </c>
      <c r="Y218" s="1789">
        <f>VLOOKUP(E218,[11]核心假设及结论!$C$25:$E$45,3,0)</f>
        <v>0.2</v>
      </c>
      <c r="Z218" s="1790">
        <f t="shared" si="111"/>
        <v>102903.52</v>
      </c>
      <c r="AA218" s="1790">
        <f t="shared" si="111"/>
        <v>0</v>
      </c>
      <c r="AB218" s="1790">
        <f t="shared" si="111"/>
        <v>0</v>
      </c>
      <c r="AC218" s="1790">
        <f t="shared" si="111"/>
        <v>0</v>
      </c>
      <c r="AD218" s="1790">
        <f t="shared" si="111"/>
        <v>0</v>
      </c>
      <c r="AE218" s="1790">
        <f t="shared" si="111"/>
        <v>0</v>
      </c>
      <c r="AF218" s="1790">
        <f t="shared" si="111"/>
        <v>0</v>
      </c>
      <c r="AG218" s="1794">
        <v>574.88</v>
      </c>
      <c r="AH218" s="1794">
        <v>0</v>
      </c>
      <c r="AI218" s="1794">
        <v>0</v>
      </c>
      <c r="AJ218" s="1794">
        <v>0</v>
      </c>
      <c r="AK218" s="1794">
        <v>0</v>
      </c>
      <c r="AL218" s="1794">
        <v>0</v>
      </c>
      <c r="AM218" s="1794">
        <v>0</v>
      </c>
      <c r="AN218" s="1797"/>
      <c r="AO218" s="1797"/>
      <c r="AP218" s="1808">
        <f t="shared" si="105"/>
        <v>0.71884233666608621</v>
      </c>
      <c r="AQ218" s="1812">
        <f>IF(AP218&gt;[11]核心假设及结论!$B$62,[11]核心假设及结论!$D$62,IF(AP218&lt;=[11]核心假设及结论!$B$61,[11]核心假设及结论!$D$60,[11]核心假设及结论!$D$61))</f>
        <v>1.0811176582269599</v>
      </c>
      <c r="AR218" s="1809">
        <f t="shared" si="106"/>
        <v>574.88</v>
      </c>
      <c r="AS218" s="1811">
        <f>AH218*(AS$2&lt;=YEAR($K218))+AR218*$AQ218*(AS$2=YEAR($K218)+1)+INDEX([11]核心假设及结论!$E$17:$E$21,MATCH($D218,[11]核心假设及结论!$B$17:$B$21,0))*(AS$2&gt;YEAR($K218)+1)*AR218</f>
        <v>621.51291936151472</v>
      </c>
      <c r="AT218" s="1809">
        <f>AI218*(AT$2&lt;=YEAR($K218))+AS218*$AQ218*(AT$2=YEAR($K218)+1)+INDEX([11]核心假设及结论!$E$17:$E$21,MATCH($D218,[11]核心假设及结论!$B$17:$B$21,0))*(AT$2&gt;YEAR($K218)+1)*AS218</f>
        <v>640.54203235264379</v>
      </c>
      <c r="AU218" s="1809">
        <f>AJ218*(AU$2&lt;=YEAR($K218))+AT218*$AQ218*(AU$2=YEAR($K218)+1)+INDEX([11]核心假设及结论!$E$17:$E$21,MATCH($D218,[11]核心假设及结论!$B$17:$B$21,0))*(AU$2&gt;YEAR($K218)+1)*AT218</f>
        <v>660.15376740994191</v>
      </c>
      <c r="AV218" s="1809">
        <f>AK218*(AV$2&lt;=YEAR($K218))+AU218*$AQ218*(AV$2=YEAR($K218)+1)+INDEX([11]核心假设及结论!$E$17:$E$21,MATCH($D218,[11]核心假设及结论!$B$17:$B$21,0))*(AV$2&gt;YEAR($K218)+1)*AU218</f>
        <v>680.36596290938303</v>
      </c>
      <c r="AW218" s="1809">
        <f>AL218*(AW$2&lt;=YEAR($K218))+AV218*$AQ218*(AW$2=YEAR($K218)+1)+INDEX([11]核心假设及结论!$E$17:$E$21,MATCH($D218,[11]核心假设及结论!$B$17:$B$21,0))*(AW$2&gt;YEAR($K218)+1)*AV218</f>
        <v>701.19700339172937</v>
      </c>
      <c r="AX218" s="1809">
        <f>AM218*(AX$2&lt;=YEAR($K218))+AW218*$AQ218*(AX$2=YEAR($K218)+1)+INDEX([11]核心假设及结论!$E$17:$E$21,MATCH($D218,[11]核心假设及结论!$B$17:$B$21,0))*(AX$2&gt;YEAR($K218)+1)*AW218</f>
        <v>722.66583628468015</v>
      </c>
      <c r="AZ218" s="1746">
        <f t="shared" si="96"/>
        <v>45869</v>
      </c>
      <c r="BA218" s="1817">
        <f t="shared" si="97"/>
        <v>45658</v>
      </c>
      <c r="BB218" s="1817">
        <f t="shared" si="98"/>
        <v>45869</v>
      </c>
      <c r="BC218" s="1817">
        <f t="shared" si="99"/>
        <v>46022</v>
      </c>
      <c r="BD218" s="1818">
        <f t="shared" si="100"/>
        <v>212</v>
      </c>
      <c r="BE218" s="1818">
        <f t="shared" si="101"/>
        <v>153</v>
      </c>
      <c r="BG218" s="1777">
        <f t="shared" si="112"/>
        <v>127.68302650702618</v>
      </c>
      <c r="BH218" s="1777">
        <f t="shared" si="91"/>
        <v>135.21434598566341</v>
      </c>
      <c r="BI218" s="1777">
        <f t="shared" si="91"/>
        <v>139.35425842775081</v>
      </c>
      <c r="BJ218" s="1777">
        <f t="shared" si="91"/>
        <v>143.62092424724958</v>
      </c>
      <c r="BK218" s="1777">
        <f t="shared" si="90"/>
        <v>148.0182243036972</v>
      </c>
      <c r="BL218" s="1777">
        <f t="shared" si="90"/>
        <v>152.55015827848072</v>
      </c>
      <c r="BM218" s="1777">
        <f t="shared" si="90"/>
        <v>90.16018571615686</v>
      </c>
      <c r="BO218" s="1739">
        <f t="shared" si="102"/>
        <v>2025</v>
      </c>
      <c r="BP218" s="1742">
        <f>_xlfn.IFNA(INDEX($AR218:$AX218,MATCH(BO218,$AR$2:$AX$2,0))*12/365*[11]核心假设及结论!$C$70*$H218,0)</f>
        <v>101493.88273972602</v>
      </c>
      <c r="BR218" s="1739">
        <f t="shared" si="107"/>
        <v>2029</v>
      </c>
      <c r="BS218" s="1742">
        <f>_xlfn.IFNA(INDEX($AR218:$AX218,MATCH(BR218,$AR$2:$AX$2,0))*12/365*[11]核心假设及结论!$C$70*$H218,0)</f>
        <v>120117.21273939901</v>
      </c>
      <c r="BU218" s="1739">
        <f t="shared" si="108"/>
        <v>2033</v>
      </c>
      <c r="BV218" s="1742">
        <f>_xlfn.IFNA(INDEX($AR218:$AX218,MATCH(BU218,$AR$2:$AX$2,0))*12/365*[11]核心假设及结论!$C$70*$H218,0)</f>
        <v>0</v>
      </c>
      <c r="BX218" s="1739">
        <f t="shared" si="109"/>
        <v>2037</v>
      </c>
      <c r="BY218" s="1742">
        <f>_xlfn.IFNA(INDEX($AR218:$AX218,MATCH(BX218,$AR$2:$AX$2,0))*12/365*[11]核心假设及结论!$C$70*$H218,0)</f>
        <v>0</v>
      </c>
      <c r="CA218" s="1739">
        <f t="shared" si="110"/>
        <v>2041</v>
      </c>
      <c r="CB218" s="1742">
        <f>_xlfn.IFNA(INDEX($AR218:$AX218,MATCH(CA218,$AR$2:$AX$2,0))*12/365*[11]核心假设及结论!$C$70*$H218,0)</f>
        <v>0</v>
      </c>
    </row>
    <row r="219" spans="1:80" ht="30" customHeight="1">
      <c r="A219" s="1756" t="s">
        <v>1662</v>
      </c>
      <c r="B219" s="1757" t="s">
        <v>2128</v>
      </c>
      <c r="C219" s="1756" t="s">
        <v>2129</v>
      </c>
      <c r="D219" s="1756" t="s">
        <v>1685</v>
      </c>
      <c r="E219" s="1758" t="s">
        <v>1692</v>
      </c>
      <c r="F219" s="1759"/>
      <c r="G219" s="1760" t="s">
        <v>1661</v>
      </c>
      <c r="H219" s="1761">
        <v>178</v>
      </c>
      <c r="I219" s="1761" t="s">
        <v>1913</v>
      </c>
      <c r="J219" s="1773">
        <v>45433</v>
      </c>
      <c r="K219" s="1773">
        <v>45797</v>
      </c>
      <c r="L219" s="1764">
        <f t="shared" si="92"/>
        <v>12</v>
      </c>
      <c r="M219" s="1774">
        <f t="shared" si="103"/>
        <v>171729.06</v>
      </c>
      <c r="N219" s="1775">
        <f t="shared" si="104"/>
        <v>851.77</v>
      </c>
      <c r="O219" s="1760">
        <v>151615.06</v>
      </c>
      <c r="P219" s="1776">
        <v>0.18</v>
      </c>
      <c r="Q219" s="1783">
        <f t="shared" si="93"/>
        <v>95</v>
      </c>
      <c r="R219" s="1784">
        <v>16910</v>
      </c>
      <c r="S219" s="1777">
        <f t="shared" si="94"/>
        <v>18</v>
      </c>
      <c r="T219" s="1784">
        <v>3204</v>
      </c>
      <c r="U219" s="1777"/>
      <c r="V219" s="1785">
        <v>667691.25</v>
      </c>
      <c r="W219" s="1785">
        <f t="shared" si="95"/>
        <v>3751.0744382022472</v>
      </c>
      <c r="X219" s="1786">
        <f t="shared" si="113"/>
        <v>0.25239968323682538</v>
      </c>
      <c r="Y219" s="1789">
        <f>VLOOKUP(E219,[11]核心假设及结论!$C$25:$E$45,3,0)</f>
        <v>0.2</v>
      </c>
      <c r="Z219" s="1790">
        <f t="shared" si="111"/>
        <v>151615.06</v>
      </c>
      <c r="AA219" s="1790">
        <f t="shared" si="111"/>
        <v>0</v>
      </c>
      <c r="AB219" s="1790">
        <f t="shared" si="111"/>
        <v>0</v>
      </c>
      <c r="AC219" s="1790">
        <f t="shared" si="111"/>
        <v>0</v>
      </c>
      <c r="AD219" s="1790">
        <f t="shared" si="111"/>
        <v>0</v>
      </c>
      <c r="AE219" s="1790">
        <f t="shared" si="111"/>
        <v>0</v>
      </c>
      <c r="AF219" s="1790">
        <f t="shared" si="111"/>
        <v>0</v>
      </c>
      <c r="AG219" s="1794">
        <v>851.77</v>
      </c>
      <c r="AH219" s="1794">
        <v>0</v>
      </c>
      <c r="AI219" s="1794">
        <v>0</v>
      </c>
      <c r="AJ219" s="1794">
        <v>0</v>
      </c>
      <c r="AK219" s="1794">
        <v>0</v>
      </c>
      <c r="AL219" s="1794">
        <v>0</v>
      </c>
      <c r="AM219" s="1794">
        <v>0</v>
      </c>
      <c r="AN219" s="1797"/>
      <c r="AO219" s="1797"/>
      <c r="AP219" s="1808">
        <f t="shared" si="105"/>
        <v>1.2619984161841269</v>
      </c>
      <c r="AQ219" s="1810">
        <f>IF(AP219&gt;[11]核心假设及结论!$B$59,[11]核心假设及结论!$D$59,IF(AP219&lt;=[11]核心假设及结论!$B$58,[11]核心假设及结论!$D$57,[11]核心假设及结论!$D$58))</f>
        <v>1.0069999999999999</v>
      </c>
      <c r="AR219" s="1809">
        <f t="shared" si="106"/>
        <v>851.77</v>
      </c>
      <c r="AS219" s="1811">
        <f>AH219*(AS$2&lt;=YEAR($K219))+AR219*$AQ219*(AS$2=YEAR($K219)+1)+INDEX([11]核心假设及结论!$E$17:$E$21,MATCH($D219,[11]核心假设及结论!$B$17:$B$21,0))*(AS$2&gt;YEAR($K219)+1)*AR219</f>
        <v>857.7323899999999</v>
      </c>
      <c r="AT219" s="1809">
        <f>AI219*(AT$2&lt;=YEAR($K219))+AS219*$AQ219*(AT$2=YEAR($K219)+1)+INDEX([11]核心假设及结论!$E$17:$E$21,MATCH($D219,[11]核心假设及结论!$B$17:$B$21,0))*(AT$2&gt;YEAR($K219)+1)*AS219</f>
        <v>880.95505787966476</v>
      </c>
      <c r="AU219" s="1809">
        <f>AJ219*(AU$2&lt;=YEAR($K219))+AT219*$AQ219*(AU$2=YEAR($K219)+1)+INDEX([11]核心假设及结论!$E$17:$E$21,MATCH($D219,[11]核心假设及结论!$B$17:$B$21,0))*(AU$2&gt;YEAR($K219)+1)*AT219</f>
        <v>904.80646767200153</v>
      </c>
      <c r="AV219" s="1809">
        <f>AK219*(AV$2&lt;=YEAR($K219))+AU219*$AQ219*(AV$2=YEAR($K219)+1)+INDEX([11]核心假设及结论!$E$17:$E$21,MATCH($D219,[11]核心假设及结论!$B$17:$B$21,0))*(AV$2&gt;YEAR($K219)+1)*AU219</f>
        <v>929.30364224427069</v>
      </c>
      <c r="AW219" s="1809">
        <f>AL219*(AW$2&lt;=YEAR($K219))+AV219*$AQ219*(AW$2=YEAR($K219)+1)+INDEX([11]核心假设及结论!$E$17:$E$21,MATCH($D219,[11]核心假设及结论!$B$17:$B$21,0))*(AW$2&gt;YEAR($K219)+1)*AV219</f>
        <v>954.46406534919936</v>
      </c>
      <c r="AX219" s="1809">
        <f>AM219*(AX$2&lt;=YEAR($K219))+AW219*$AQ219*(AX$2=YEAR($K219)+1)+INDEX([11]核心假设及结论!$E$17:$E$21,MATCH($D219,[11]核心假设及结论!$B$17:$B$21,0))*(AX$2&gt;YEAR($K219)+1)*AW219</f>
        <v>980.3056941032205</v>
      </c>
      <c r="AZ219" s="1746">
        <f t="shared" si="96"/>
        <v>45797</v>
      </c>
      <c r="BA219" s="1817">
        <f t="shared" si="97"/>
        <v>45658</v>
      </c>
      <c r="BB219" s="1817">
        <f t="shared" si="98"/>
        <v>45797</v>
      </c>
      <c r="BC219" s="1817">
        <f t="shared" si="99"/>
        <v>46022</v>
      </c>
      <c r="BD219" s="1818">
        <f t="shared" si="100"/>
        <v>140</v>
      </c>
      <c r="BE219" s="1818">
        <f t="shared" si="101"/>
        <v>225</v>
      </c>
      <c r="BG219" s="1777">
        <f t="shared" si="112"/>
        <v>182.72314724219177</v>
      </c>
      <c r="BH219" s="1777">
        <f t="shared" si="91"/>
        <v>186.26939581440189</v>
      </c>
      <c r="BI219" s="1777">
        <f t="shared" si="91"/>
        <v>191.31254489630106</v>
      </c>
      <c r="BJ219" s="1777">
        <f t="shared" si="91"/>
        <v>196.49223467266629</v>
      </c>
      <c r="BK219" s="1777">
        <f t="shared" si="90"/>
        <v>201.81216191330191</v>
      </c>
      <c r="BL219" s="1777">
        <f t="shared" si="90"/>
        <v>207.27612347617327</v>
      </c>
      <c r="BM219" s="1777">
        <f t="shared" si="90"/>
        <v>80.315236921815639</v>
      </c>
      <c r="BO219" s="1739">
        <f t="shared" si="102"/>
        <v>2025</v>
      </c>
      <c r="BP219" s="1742">
        <f>_xlfn.IFNA(INDEX($AR219:$AX219,MATCH(BO219,$AR$2:$AX$2,0))*12/365*[11]核心假设及结论!$C$70*$H219,0)</f>
        <v>149538.14136986301</v>
      </c>
      <c r="BR219" s="1739">
        <f t="shared" si="107"/>
        <v>2026</v>
      </c>
      <c r="BS219" s="1742">
        <f>_xlfn.IFNA(INDEX($AR219:$AX219,MATCH(BR219,$AR$2:$AX$2,0))*12/365*[11]核心假设及结论!$C$70*$H219,0)</f>
        <v>150584.90835945203</v>
      </c>
      <c r="BU219" s="1739">
        <f t="shared" si="108"/>
        <v>2027</v>
      </c>
      <c r="BV219" s="1742">
        <f>_xlfn.IFNA(INDEX($AR219:$AX219,MATCH(BU219,$AR$2:$AX$2,0))*12/365*[11]核心假设及结论!$C$70*$H219,0)</f>
        <v>154661.91810665457</v>
      </c>
      <c r="BX219" s="1739">
        <f t="shared" si="109"/>
        <v>2028</v>
      </c>
      <c r="BY219" s="1742">
        <f>_xlfn.IFNA(INDEX($AR219:$AX219,MATCH(BX219,$AR$2:$AX$2,0))*12/365*[11]核心假设及结论!$C$70*$H219,0)</f>
        <v>158849.31081759415</v>
      </c>
      <c r="CA219" s="1739">
        <f t="shared" si="110"/>
        <v>2029</v>
      </c>
      <c r="CB219" s="1742">
        <f>_xlfn.IFNA(INDEX($AR219:$AX219,MATCH(CA219,$AR$2:$AX$2,0))*12/365*[11]核心假设及结论!$C$70*$H219,0)</f>
        <v>163150.07505482977</v>
      </c>
    </row>
    <row r="220" spans="1:80" ht="30" customHeight="1">
      <c r="A220" s="1756" t="s">
        <v>1662</v>
      </c>
      <c r="B220" s="1757" t="s">
        <v>2130</v>
      </c>
      <c r="C220" s="1756" t="s">
        <v>2131</v>
      </c>
      <c r="D220" s="1756" t="s">
        <v>1685</v>
      </c>
      <c r="E220" s="1758" t="s">
        <v>1692</v>
      </c>
      <c r="F220" s="1759"/>
      <c r="G220" s="1760" t="s">
        <v>1661</v>
      </c>
      <c r="H220" s="1761">
        <v>178</v>
      </c>
      <c r="I220" s="1761" t="s">
        <v>1913</v>
      </c>
      <c r="J220" s="1773">
        <v>44774</v>
      </c>
      <c r="K220" s="1773">
        <v>45869</v>
      </c>
      <c r="L220" s="1764">
        <f t="shared" si="92"/>
        <v>36</v>
      </c>
      <c r="M220" s="1774">
        <f t="shared" si="103"/>
        <v>155468.76</v>
      </c>
      <c r="N220" s="1775">
        <f t="shared" si="104"/>
        <v>760.42000000000007</v>
      </c>
      <c r="O220" s="1760">
        <v>135354.76</v>
      </c>
      <c r="P220" s="1776">
        <v>0.18</v>
      </c>
      <c r="Q220" s="1783">
        <f t="shared" si="93"/>
        <v>95</v>
      </c>
      <c r="R220" s="1784">
        <v>16910</v>
      </c>
      <c r="S220" s="1777">
        <f t="shared" si="94"/>
        <v>18</v>
      </c>
      <c r="T220" s="1777">
        <v>3204</v>
      </c>
      <c r="U220" s="1777"/>
      <c r="V220" s="1785">
        <v>265979.00916666701</v>
      </c>
      <c r="W220" s="1785">
        <f t="shared" si="95"/>
        <v>1494.2640964419495</v>
      </c>
      <c r="X220" s="1786">
        <f t="shared" si="113"/>
        <v>0.57246908497425186</v>
      </c>
      <c r="Y220" s="1789">
        <f>VLOOKUP(E220,[11]核心假设及结论!$C$25:$E$45,3,0)</f>
        <v>0.2</v>
      </c>
      <c r="Z220" s="1790">
        <f t="shared" si="111"/>
        <v>138062.13999999998</v>
      </c>
      <c r="AA220" s="1790">
        <f t="shared" si="111"/>
        <v>0</v>
      </c>
      <c r="AB220" s="1790">
        <f t="shared" si="111"/>
        <v>0</v>
      </c>
      <c r="AC220" s="1790">
        <f t="shared" si="111"/>
        <v>0</v>
      </c>
      <c r="AD220" s="1790">
        <f t="shared" si="111"/>
        <v>0</v>
      </c>
      <c r="AE220" s="1790">
        <f t="shared" si="111"/>
        <v>0</v>
      </c>
      <c r="AF220" s="1790">
        <f t="shared" si="111"/>
        <v>0</v>
      </c>
      <c r="AG220" s="1794">
        <v>775.63</v>
      </c>
      <c r="AH220" s="1794">
        <v>0</v>
      </c>
      <c r="AI220" s="1794">
        <v>0</v>
      </c>
      <c r="AJ220" s="1794">
        <v>0</v>
      </c>
      <c r="AK220" s="1794">
        <v>0</v>
      </c>
      <c r="AL220" s="1794">
        <v>0</v>
      </c>
      <c r="AM220" s="1794">
        <v>0</v>
      </c>
      <c r="AN220" s="1795"/>
      <c r="AO220" s="1795"/>
      <c r="AP220" s="1808">
        <f t="shared" si="105"/>
        <v>2.862345424871259</v>
      </c>
      <c r="AQ220" s="1810">
        <f>IF(AP220&gt;[11]核心假设及结论!$B$59,[11]核心假设及结论!$D$59,IF(AP220&lt;=[11]核心假设及结论!$B$58,[11]核心假设及结论!$D$57,[11]核心假设及结论!$D$58))</f>
        <v>1</v>
      </c>
      <c r="AR220" s="1809">
        <f t="shared" si="106"/>
        <v>775.63</v>
      </c>
      <c r="AS220" s="1811">
        <f>AH220*(AS$2&lt;=YEAR($K220))+AR220*$AQ220*(AS$2=YEAR($K220)+1)+INDEX([11]核心假设及结论!$E$17:$E$21,MATCH($D220,[11]核心假设及结论!$B$17:$B$21,0))*(AS$2&gt;YEAR($K220)+1)*AR220</f>
        <v>775.63</v>
      </c>
      <c r="AT220" s="1809">
        <f>AI220*(AT$2&lt;=YEAR($K220))+AS220*$AQ220*(AT$2=YEAR($K220)+1)+INDEX([11]核心假设及结论!$E$17:$E$21,MATCH($D220,[11]核心假设及结论!$B$17:$B$21,0))*(AT$2&gt;YEAR($K220)+1)*AS220</f>
        <v>796.6297874599378</v>
      </c>
      <c r="AU220" s="1809">
        <f>AJ220*(AU$2&lt;=YEAR($K220))+AT220*$AQ220*(AU$2=YEAR($K220)+1)+INDEX([11]核心假设及结论!$E$17:$E$21,MATCH($D220,[11]核心假设及结论!$B$17:$B$21,0))*(AU$2&gt;YEAR($K220)+1)*AT220</f>
        <v>818.19813347661341</v>
      </c>
      <c r="AV220" s="1809">
        <f>AK220*(AV$2&lt;=YEAR($K220))+AU220*$AQ220*(AV$2=YEAR($K220)+1)+INDEX([11]核心假设及结论!$E$17:$E$21,MATCH($D220,[11]核心假设及结论!$B$17:$B$21,0))*(AV$2&gt;YEAR($K220)+1)*AU220</f>
        <v>840.3504314835584</v>
      </c>
      <c r="AW220" s="1809">
        <f>AL220*(AW$2&lt;=YEAR($K220))+AV220*$AQ220*(AW$2=YEAR($K220)+1)+INDEX([11]核心假设及结论!$E$17:$E$21,MATCH($D220,[11]核心假设及结论!$B$17:$B$21,0))*(AW$2&gt;YEAR($K220)+1)*AV220</f>
        <v>863.10249168368182</v>
      </c>
      <c r="AX220" s="1809">
        <f>AM220*(AX$2&lt;=YEAR($K220))+AW220*$AQ220*(AX$2=YEAR($K220)+1)+INDEX([11]核心假设及结论!$E$17:$E$21,MATCH($D220,[11]核心假设及结论!$B$17:$B$21,0))*(AX$2&gt;YEAR($K220)+1)*AW220</f>
        <v>886.47055233308947</v>
      </c>
      <c r="AZ220" s="1746">
        <f t="shared" si="96"/>
        <v>45869</v>
      </c>
      <c r="BA220" s="1817">
        <f t="shared" si="97"/>
        <v>45658</v>
      </c>
      <c r="BB220" s="1817">
        <f t="shared" si="98"/>
        <v>45869</v>
      </c>
      <c r="BC220" s="1817">
        <f t="shared" si="99"/>
        <v>46022</v>
      </c>
      <c r="BD220" s="1818">
        <f t="shared" si="100"/>
        <v>212</v>
      </c>
      <c r="BE220" s="1818">
        <f t="shared" si="101"/>
        <v>153</v>
      </c>
      <c r="BG220" s="1777">
        <f t="shared" si="112"/>
        <v>165.67456799999997</v>
      </c>
      <c r="BH220" s="1777">
        <f t="shared" si="91"/>
        <v>167.55481417539926</v>
      </c>
      <c r="BI220" s="1777">
        <f t="shared" si="91"/>
        <v>172.09127548500922</v>
      </c>
      <c r="BJ220" s="1777">
        <f t="shared" si="91"/>
        <v>176.75055917555085</v>
      </c>
      <c r="BK220" s="1777">
        <f t="shared" si="90"/>
        <v>181.53599060047219</v>
      </c>
      <c r="BL220" s="1777">
        <f t="shared" si="90"/>
        <v>186.45098514547323</v>
      </c>
      <c r="BM220" s="1777">
        <f t="shared" si="90"/>
        <v>109.97869401482124</v>
      </c>
      <c r="BO220" s="1739">
        <f t="shared" si="102"/>
        <v>2025</v>
      </c>
      <c r="BP220" s="1742">
        <f>_xlfn.IFNA(INDEX($AR220:$AX220,MATCH(BO220,$AR$2:$AX$2,0))*12/365*[11]核心假设及结论!$C$70*$H220,0)</f>
        <v>136170.87780821917</v>
      </c>
      <c r="BR220" s="1739">
        <f t="shared" si="107"/>
        <v>2028</v>
      </c>
      <c r="BS220" s="1742">
        <f>_xlfn.IFNA(INDEX($AR220:$AX220,MATCH(BR220,$AR$2:$AX$2,0))*12/365*[11]核心假设及结论!$C$70*$H220,0)</f>
        <v>143644.20929638736</v>
      </c>
      <c r="BU220" s="1739">
        <f t="shared" si="108"/>
        <v>2031</v>
      </c>
      <c r="BV220" s="1742">
        <f>_xlfn.IFNA(INDEX($AR220:$AX220,MATCH(BU220,$AR$2:$AX$2,0))*12/365*[11]核心假设及结论!$C$70*$H220,0)</f>
        <v>155630.22737946405</v>
      </c>
      <c r="BX220" s="1739">
        <f t="shared" si="109"/>
        <v>2034</v>
      </c>
      <c r="BY220" s="1742">
        <f>_xlfn.IFNA(INDEX($AR220:$AX220,MATCH(BX220,$AR$2:$AX$2,0))*12/365*[11]核心假设及结论!$C$70*$H220,0)</f>
        <v>0</v>
      </c>
      <c r="CA220" s="1739">
        <f t="shared" si="110"/>
        <v>2037</v>
      </c>
      <c r="CB220" s="1742">
        <f>_xlfn.IFNA(INDEX($AR220:$AX220,MATCH(CA220,$AR$2:$AX$2,0))*12/365*[11]核心假设及结论!$C$70*$H220,0)</f>
        <v>0</v>
      </c>
    </row>
    <row r="221" spans="1:80" ht="30" customHeight="1">
      <c r="A221" s="1756" t="s">
        <v>1687</v>
      </c>
      <c r="B221" s="1757" t="s">
        <v>2132</v>
      </c>
      <c r="C221" s="1756" t="s">
        <v>2133</v>
      </c>
      <c r="D221" s="1756" t="s">
        <v>1676</v>
      </c>
      <c r="E221" s="1758" t="s">
        <v>1677</v>
      </c>
      <c r="F221" s="1759"/>
      <c r="G221" s="1760" t="s">
        <v>1661</v>
      </c>
      <c r="H221" s="1761">
        <v>178</v>
      </c>
      <c r="I221" s="1761" t="s">
        <v>1913</v>
      </c>
      <c r="J221" s="1773">
        <v>45465</v>
      </c>
      <c r="K221" s="1773">
        <v>46925</v>
      </c>
      <c r="L221" s="1764">
        <f t="shared" si="92"/>
        <v>48</v>
      </c>
      <c r="M221" s="1774">
        <f t="shared" si="103"/>
        <v>43045.740000000005</v>
      </c>
      <c r="N221" s="1775">
        <f t="shared" si="104"/>
        <v>133.83000000000001</v>
      </c>
      <c r="O221" s="1760">
        <v>23821.74</v>
      </c>
      <c r="P221" s="1776">
        <v>0.08</v>
      </c>
      <c r="Q221" s="1783">
        <f t="shared" si="93"/>
        <v>90</v>
      </c>
      <c r="R221" s="1784">
        <v>16020</v>
      </c>
      <c r="S221" s="1777">
        <f t="shared" si="94"/>
        <v>18</v>
      </c>
      <c r="T221" s="1784">
        <v>3204</v>
      </c>
      <c r="U221" s="1777"/>
      <c r="V221" s="1785">
        <v>114272.01</v>
      </c>
      <c r="W221" s="1785">
        <f t="shared" si="95"/>
        <v>641.97758426966288</v>
      </c>
      <c r="X221" s="1786">
        <f t="shared" si="113"/>
        <v>0.34865703333651005</v>
      </c>
      <c r="Y221" s="1789">
        <f>VLOOKUP(E221,[11]核心假设及结论!$C$25:$E$45,3,0)</f>
        <v>0.25</v>
      </c>
      <c r="Z221" s="1790">
        <f t="shared" si="111"/>
        <v>23821.74</v>
      </c>
      <c r="AA221" s="1790">
        <f t="shared" si="111"/>
        <v>24526.62</v>
      </c>
      <c r="AB221" s="1790">
        <f t="shared" si="111"/>
        <v>25284.9</v>
      </c>
      <c r="AC221" s="1790">
        <f t="shared" si="111"/>
        <v>26041.4</v>
      </c>
      <c r="AD221" s="1790">
        <f t="shared" si="111"/>
        <v>0</v>
      </c>
      <c r="AE221" s="1790">
        <f t="shared" si="111"/>
        <v>0</v>
      </c>
      <c r="AF221" s="1790">
        <f t="shared" si="111"/>
        <v>0</v>
      </c>
      <c r="AG221" s="1794">
        <v>133.83000000000001</v>
      </c>
      <c r="AH221" s="1794">
        <v>137.79</v>
      </c>
      <c r="AI221" s="1794">
        <v>142.05000000000001</v>
      </c>
      <c r="AJ221" s="1794">
        <v>146.30000000000001</v>
      </c>
      <c r="AK221" s="1794">
        <v>0</v>
      </c>
      <c r="AL221" s="1794">
        <v>0</v>
      </c>
      <c r="AM221" s="1794">
        <v>0</v>
      </c>
      <c r="AN221" s="1797"/>
      <c r="AO221" s="1797"/>
      <c r="AP221" s="1808">
        <f t="shared" si="105"/>
        <v>1.3946281333460402</v>
      </c>
      <c r="AQ221" s="1808">
        <f>IF(AP221&gt;[11]核心假设及结论!$B$65,[11]核心假设及结论!$D$65,IF(AP221&lt;=[11]核心假设及结论!$B$64,[11]核心假设及结论!$D$63,[11]核心假设及结论!$D$64))</f>
        <v>0.754</v>
      </c>
      <c r="AR221" s="1809">
        <f t="shared" si="106"/>
        <v>133.83000000000001</v>
      </c>
      <c r="AS221" s="1809">
        <f>AH221*(AS$2&lt;=YEAR($K221))+AR221*$AQ221*(AS$2=YEAR($K221)+1)+INDEX([11]核心假设及结论!$E$17:$E$21,MATCH($D221,[11]核心假设及结论!$B$17:$B$21,0))*(AS$2&gt;YEAR($K221)+1)*AR221</f>
        <v>137.79</v>
      </c>
      <c r="AT221" s="1809">
        <f>AI221*(AT$2&lt;=YEAR($K221))+AS221*$AQ221*(AT$2=YEAR($K221)+1)+INDEX([11]核心假设及结论!$E$17:$E$21,MATCH($D221,[11]核心假设及结论!$B$17:$B$21,0))*(AT$2&gt;YEAR($K221)+1)*AS221</f>
        <v>142.05000000000001</v>
      </c>
      <c r="AU221" s="1809">
        <f>AJ221*(AU$2&lt;=YEAR($K221))+AT221*$AQ221*(AU$2=YEAR($K221)+1)+INDEX([11]核心假设及结论!$E$17:$E$21,MATCH($D221,[11]核心假设及结论!$B$17:$B$21,0))*(AU$2&gt;YEAR($K221)+1)*AT221</f>
        <v>146.30000000000001</v>
      </c>
      <c r="AV221" s="1811">
        <f>AK221*(AV$2&lt;=YEAR($K221))+AU221*$AQ221*(AV$2=YEAR($K221)+1)+INDEX([11]核心假设及结论!$E$17:$E$21,MATCH($D221,[11]核心假设及结论!$B$17:$B$21,0))*(AV$2&gt;YEAR($K221)+1)*AU221</f>
        <v>110.31020000000001</v>
      </c>
      <c r="AW221" s="1809">
        <f>AL221*(AW$2&lt;=YEAR($K221))+AV221*$AQ221*(AW$2=YEAR($K221)+1)+INDEX([11]核心假设及结论!$E$17:$E$21,MATCH($D221,[11]核心假设及结论!$B$17:$B$21,0))*(AW$2&gt;YEAR($K221)+1)*AV221</f>
        <v>114.12418481686673</v>
      </c>
      <c r="AX221" s="1809">
        <f>AM221*(AX$2&lt;=YEAR($K221))+AW221*$AQ221*(AX$2=YEAR($K221)+1)+INDEX([11]核心假设及结论!$E$17:$E$21,MATCH($D221,[11]核心假设及结论!$B$17:$B$21,0))*(AX$2&gt;YEAR($K221)+1)*AW221</f>
        <v>118.07003849249075</v>
      </c>
      <c r="AZ221" s="1746">
        <f t="shared" si="96"/>
        <v>46925</v>
      </c>
      <c r="BA221" s="1817">
        <f t="shared" si="97"/>
        <v>45658</v>
      </c>
      <c r="BB221" s="1817">
        <f t="shared" si="98"/>
        <v>45829</v>
      </c>
      <c r="BC221" s="1817">
        <f t="shared" si="99"/>
        <v>46022</v>
      </c>
      <c r="BD221" s="1818">
        <f t="shared" si="100"/>
        <v>172</v>
      </c>
      <c r="BE221" s="1818">
        <f t="shared" si="101"/>
        <v>193</v>
      </c>
      <c r="BG221" s="1777">
        <f t="shared" si="112"/>
        <v>29.033348843835608</v>
      </c>
      <c r="BH221" s="1777">
        <f t="shared" si="91"/>
        <v>29.913088241095888</v>
      </c>
      <c r="BI221" s="1777">
        <f t="shared" si="91"/>
        <v>30.821894794520549</v>
      </c>
      <c r="BJ221" s="1777">
        <f t="shared" si="91"/>
        <v>27.184824364273979</v>
      </c>
      <c r="BK221" s="1777">
        <f t="shared" si="90"/>
        <v>23.993027928981832</v>
      </c>
      <c r="BL221" s="1777">
        <f t="shared" si="90"/>
        <v>24.822588968956335</v>
      </c>
      <c r="BM221" s="1777">
        <f t="shared" si="90"/>
        <v>11.884380159406344</v>
      </c>
      <c r="BO221" s="1739">
        <f t="shared" si="102"/>
        <v>2028</v>
      </c>
      <c r="BP221" s="1742">
        <f>_xlfn.IFNA(INDEX($AR221:$AX221,MATCH(BO221,$AR$2:$AX$2,0))*12/365*[11]核心假设及结论!$C$70*$H221,0)</f>
        <v>25684.668493150686</v>
      </c>
      <c r="BR221" s="1739">
        <f t="shared" si="107"/>
        <v>2032</v>
      </c>
      <c r="BS221" s="1742">
        <f>_xlfn.IFNA(INDEX($AR221:$AX221,MATCH(BR221,$AR$2:$AX$2,0))*12/365*[11]核心假设及结论!$C$70*$H221,0)</f>
        <v>0</v>
      </c>
      <c r="BU221" s="1739">
        <f t="shared" si="108"/>
        <v>2036</v>
      </c>
      <c r="BV221" s="1742">
        <f>_xlfn.IFNA(INDEX($AR221:$AX221,MATCH(BU221,$AR$2:$AX$2,0))*12/365*[11]核心假设及结论!$C$70*$H221,0)</f>
        <v>0</v>
      </c>
      <c r="BX221" s="1739">
        <f t="shared" si="109"/>
        <v>2040</v>
      </c>
      <c r="BY221" s="1742">
        <f>_xlfn.IFNA(INDEX($AR221:$AX221,MATCH(BX221,$AR$2:$AX$2,0))*12/365*[11]核心假设及结论!$C$70*$H221,0)</f>
        <v>0</v>
      </c>
      <c r="CA221" s="1739">
        <f t="shared" si="110"/>
        <v>2044</v>
      </c>
      <c r="CB221" s="1742">
        <f>_xlfn.IFNA(INDEX($AR221:$AX221,MATCH(CA221,$AR$2:$AX$2,0))*12/365*[11]核心假设及结论!$C$70*$H221,0)</f>
        <v>0</v>
      </c>
    </row>
    <row r="222" spans="1:80" ht="30" customHeight="1">
      <c r="A222" s="1756" t="s">
        <v>1662</v>
      </c>
      <c r="B222" s="1757" t="s">
        <v>2134</v>
      </c>
      <c r="C222" s="1756" t="s">
        <v>2135</v>
      </c>
      <c r="D222" s="1756" t="s">
        <v>1685</v>
      </c>
      <c r="E222" s="1758" t="s">
        <v>1692</v>
      </c>
      <c r="F222" s="1759"/>
      <c r="G222" s="1760" t="s">
        <v>1661</v>
      </c>
      <c r="H222" s="1761">
        <v>177</v>
      </c>
      <c r="I222" s="1761" t="s">
        <v>1913</v>
      </c>
      <c r="J222" s="1773">
        <v>45017</v>
      </c>
      <c r="K222" s="1773">
        <v>46112</v>
      </c>
      <c r="L222" s="1764">
        <f t="shared" si="92"/>
        <v>36</v>
      </c>
      <c r="M222" s="1774">
        <f t="shared" si="103"/>
        <v>151365.09</v>
      </c>
      <c r="N222" s="1775">
        <f t="shared" si="104"/>
        <v>742.17</v>
      </c>
      <c r="O222" s="1760">
        <v>131364.09</v>
      </c>
      <c r="P222" s="1776">
        <v>0.18</v>
      </c>
      <c r="Q222" s="1783">
        <f t="shared" si="93"/>
        <v>95</v>
      </c>
      <c r="R222" s="1784">
        <v>16815</v>
      </c>
      <c r="S222" s="1777">
        <f t="shared" si="94"/>
        <v>18</v>
      </c>
      <c r="T222" s="1777">
        <v>3186</v>
      </c>
      <c r="U222" s="1777"/>
      <c r="V222" s="1785">
        <v>613218.58333333302</v>
      </c>
      <c r="W222" s="1785">
        <f t="shared" si="95"/>
        <v>3464.5117702448192</v>
      </c>
      <c r="X222" s="1786">
        <f t="shared" si="113"/>
        <v>0.2416415516870481</v>
      </c>
      <c r="Y222" s="1789">
        <f>VLOOKUP(E222,[11]核心假设及结论!$C$25:$E$45,3,0)</f>
        <v>0.2</v>
      </c>
      <c r="Z222" s="1790">
        <f t="shared" si="111"/>
        <v>131364.09</v>
      </c>
      <c r="AA222" s="1790">
        <f t="shared" si="111"/>
        <v>135132.42000000001</v>
      </c>
      <c r="AB222" s="1790">
        <f t="shared" si="111"/>
        <v>0</v>
      </c>
      <c r="AC222" s="1790">
        <f t="shared" si="111"/>
        <v>0</v>
      </c>
      <c r="AD222" s="1790">
        <f t="shared" si="111"/>
        <v>0</v>
      </c>
      <c r="AE222" s="1790">
        <f t="shared" si="111"/>
        <v>0</v>
      </c>
      <c r="AF222" s="1790">
        <f t="shared" si="111"/>
        <v>0</v>
      </c>
      <c r="AG222" s="1794">
        <v>742.17</v>
      </c>
      <c r="AH222" s="1794">
        <v>763.46</v>
      </c>
      <c r="AI222" s="1794">
        <v>0</v>
      </c>
      <c r="AJ222" s="1794">
        <v>0</v>
      </c>
      <c r="AK222" s="1794">
        <v>0</v>
      </c>
      <c r="AL222" s="1794">
        <v>0</v>
      </c>
      <c r="AM222" s="1794">
        <v>0</v>
      </c>
      <c r="AN222" s="1795"/>
      <c r="AO222" s="1795"/>
      <c r="AP222" s="1808">
        <f t="shared" si="105"/>
        <v>1.2082077584352404</v>
      </c>
      <c r="AQ222" s="1810">
        <f>IF(AP222&gt;[11]核心假设及结论!$B$59,[11]核心假设及结论!$D$59,IF(AP222&lt;=[11]核心假设及结论!$B$58,[11]核心假设及结论!$D$57,[11]核心假设及结论!$D$58))</f>
        <v>1.0069999999999999</v>
      </c>
      <c r="AR222" s="1809">
        <f t="shared" si="106"/>
        <v>742.17</v>
      </c>
      <c r="AS222" s="1809">
        <f>AH222*(AS$2&lt;=YEAR($K222))+AR222*$AQ222*(AS$2=YEAR($K222)+1)+INDEX([11]核心假设及结论!$E$17:$E$21,MATCH($D222,[11]核心假设及结论!$B$17:$B$21,0))*(AS$2&gt;YEAR($K222)+1)*AR222</f>
        <v>763.46</v>
      </c>
      <c r="AT222" s="1811">
        <f>AI222*(AT$2&lt;=YEAR($K222))+AS222*$AQ222*(AT$2=YEAR($K222)+1)+INDEX([11]核心假设及结论!$E$17:$E$21,MATCH($D222,[11]核心假设及结论!$B$17:$B$21,0))*(AT$2&gt;YEAR($K222)+1)*AS222</f>
        <v>768.80421999999999</v>
      </c>
      <c r="AU222" s="1809">
        <f>AJ222*(AU$2&lt;=YEAR($K222))+AT222*$AQ222*(AU$2=YEAR($K222)+1)+INDEX([11]核心假设及结论!$E$17:$E$21,MATCH($D222,[11]核心假设及结论!$B$17:$B$21,0))*(AU$2&gt;YEAR($K222)+1)*AT222</f>
        <v>789.61920294071047</v>
      </c>
      <c r="AV222" s="1809">
        <f>AK222*(AV$2&lt;=YEAR($K222))+AU222*$AQ222*(AV$2=YEAR($K222)+1)+INDEX([11]核心假设及结论!$E$17:$E$21,MATCH($D222,[11]核心假设及结论!$B$17:$B$21,0))*(AV$2&gt;YEAR($K222)+1)*AU222</f>
        <v>810.99774094986492</v>
      </c>
      <c r="AW222" s="1809">
        <f>AL222*(AW$2&lt;=YEAR($K222))+AV222*$AQ222*(AW$2=YEAR($K222)+1)+INDEX([11]核心假设及结论!$E$17:$E$21,MATCH($D222,[11]核心假设及结论!$B$17:$B$21,0))*(AW$2&gt;YEAR($K222)+1)*AV222</f>
        <v>832.95509199409594</v>
      </c>
      <c r="AX222" s="1809">
        <f>AM222*(AX$2&lt;=YEAR($K222))+AW222*$AQ222*(AX$2=YEAR($K222)+1)+INDEX([11]核心假设及结论!$E$17:$E$21,MATCH($D222,[11]核心假设及结论!$B$17:$B$21,0))*(AX$2&gt;YEAR($K222)+1)*AW222</f>
        <v>855.50692714171657</v>
      </c>
      <c r="AZ222" s="1746">
        <f t="shared" si="96"/>
        <v>46112</v>
      </c>
      <c r="BA222" s="1817">
        <f t="shared" si="97"/>
        <v>45658</v>
      </c>
      <c r="BB222" s="1817">
        <f t="shared" si="98"/>
        <v>45747</v>
      </c>
      <c r="BC222" s="1817">
        <f t="shared" si="99"/>
        <v>46022</v>
      </c>
      <c r="BD222" s="1818">
        <f t="shared" si="100"/>
        <v>90</v>
      </c>
      <c r="BE222" s="1818">
        <f t="shared" si="101"/>
        <v>275</v>
      </c>
      <c r="BG222" s="1777">
        <f t="shared" si="112"/>
        <v>161.04389128767124</v>
      </c>
      <c r="BH222" s="1777">
        <f t="shared" si="91"/>
        <v>163.01412561698629</v>
      </c>
      <c r="BI222" s="1777">
        <f t="shared" si="91"/>
        <v>166.6249838720189</v>
      </c>
      <c r="BJ222" s="1777">
        <f t="shared" si="91"/>
        <v>171.13627049944174</v>
      </c>
      <c r="BK222" s="1777">
        <f t="shared" si="90"/>
        <v>175.76969791608974</v>
      </c>
      <c r="BL222" s="1777">
        <f t="shared" si="90"/>
        <v>180.52857302166248</v>
      </c>
      <c r="BM222" s="1777">
        <f t="shared" si="90"/>
        <v>44.805124436276863</v>
      </c>
      <c r="BO222" s="1739">
        <f t="shared" si="102"/>
        <v>2026</v>
      </c>
      <c r="BP222" s="1742">
        <f>_xlfn.IFNA(INDEX($AR222:$AX222,MATCH(BO222,$AR$2:$AX$2,0))*12/365*[11]核心假设及结论!$C$70*$H222,0)</f>
        <v>133281.29095890411</v>
      </c>
      <c r="BR222" s="1739">
        <f t="shared" si="107"/>
        <v>2029</v>
      </c>
      <c r="BS222" s="1742">
        <f>_xlfn.IFNA(INDEX($AR222:$AX222,MATCH(BR222,$AR$2:$AX$2,0))*12/365*[11]核心假设及结论!$C$70*$H222,0)</f>
        <v>141580.20836527503</v>
      </c>
      <c r="BU222" s="1739">
        <f t="shared" si="108"/>
        <v>2032</v>
      </c>
      <c r="BV222" s="1742">
        <f>_xlfn.IFNA(INDEX($AR222:$AX222,MATCH(BU222,$AR$2:$AX$2,0))*12/365*[11]核心假设及结论!$C$70*$H222,0)</f>
        <v>0</v>
      </c>
      <c r="BX222" s="1739">
        <f t="shared" si="109"/>
        <v>2035</v>
      </c>
      <c r="BY222" s="1742">
        <f>_xlfn.IFNA(INDEX($AR222:$AX222,MATCH(BX222,$AR$2:$AX$2,0))*12/365*[11]核心假设及结论!$C$70*$H222,0)</f>
        <v>0</v>
      </c>
      <c r="CA222" s="1739">
        <f t="shared" si="110"/>
        <v>2038</v>
      </c>
      <c r="CB222" s="1742">
        <f>_xlfn.IFNA(INDEX($AR222:$AX222,MATCH(CA222,$AR$2:$AX$2,0))*12/365*[11]核心假设及结论!$C$70*$H222,0)</f>
        <v>0</v>
      </c>
    </row>
    <row r="223" spans="1:80" ht="30" customHeight="1">
      <c r="A223" s="1756" t="s">
        <v>1687</v>
      </c>
      <c r="B223" s="1757" t="s">
        <v>2136</v>
      </c>
      <c r="C223" s="1756" t="s">
        <v>2137</v>
      </c>
      <c r="D223" s="1756" t="s">
        <v>1685</v>
      </c>
      <c r="E223" s="1758" t="s">
        <v>1692</v>
      </c>
      <c r="F223" s="1762"/>
      <c r="G223" s="1760" t="s">
        <v>1661</v>
      </c>
      <c r="H223" s="1761">
        <v>175</v>
      </c>
      <c r="I223" s="1761" t="s">
        <v>1913</v>
      </c>
      <c r="J223" s="1773">
        <v>45505</v>
      </c>
      <c r="K223" s="1773">
        <v>46599</v>
      </c>
      <c r="L223" s="1764">
        <f t="shared" si="92"/>
        <v>36</v>
      </c>
      <c r="M223" s="1774">
        <f t="shared" si="103"/>
        <v>142201.5</v>
      </c>
      <c r="N223" s="1775">
        <f t="shared" si="104"/>
        <v>699.58</v>
      </c>
      <c r="O223" s="1760">
        <v>122426.5</v>
      </c>
      <c r="P223" s="1776">
        <v>0.18</v>
      </c>
      <c r="Q223" s="1783">
        <f t="shared" si="93"/>
        <v>95</v>
      </c>
      <c r="R223" s="1784">
        <v>16625</v>
      </c>
      <c r="S223" s="1777">
        <f t="shared" si="94"/>
        <v>18</v>
      </c>
      <c r="T223" s="1784">
        <v>3150</v>
      </c>
      <c r="U223" s="1777"/>
      <c r="V223" s="1785">
        <v>334604.83636363602</v>
      </c>
      <c r="W223" s="1785">
        <f t="shared" si="95"/>
        <v>1912.0276363636344</v>
      </c>
      <c r="X223" s="1786">
        <f>(N223+Q223+S223)*H223/V223</f>
        <v>0.42498339696877763</v>
      </c>
      <c r="Y223" s="1789">
        <f>VLOOKUP(E223,[11]核心假设及结论!$C$25:$E$45,3,0)</f>
        <v>0.2</v>
      </c>
      <c r="Z223" s="1790">
        <f t="shared" si="111"/>
        <v>122426.5</v>
      </c>
      <c r="AA223" s="1790">
        <f t="shared" si="111"/>
        <v>127750</v>
      </c>
      <c r="AB223" s="1790">
        <f t="shared" si="111"/>
        <v>133073.5</v>
      </c>
      <c r="AC223" s="1790">
        <f t="shared" si="111"/>
        <v>0</v>
      </c>
      <c r="AD223" s="1790">
        <f t="shared" si="111"/>
        <v>0</v>
      </c>
      <c r="AE223" s="1790">
        <f t="shared" si="111"/>
        <v>0</v>
      </c>
      <c r="AF223" s="1790">
        <f t="shared" si="111"/>
        <v>0</v>
      </c>
      <c r="AG223" s="1794">
        <v>699.58</v>
      </c>
      <c r="AH223" s="1794">
        <v>730</v>
      </c>
      <c r="AI223" s="1794">
        <v>760.42</v>
      </c>
      <c r="AJ223" s="1794">
        <v>0</v>
      </c>
      <c r="AK223" s="1794">
        <v>0</v>
      </c>
      <c r="AL223" s="1794">
        <v>0</v>
      </c>
      <c r="AM223" s="1794">
        <v>0</v>
      </c>
      <c r="AN223" s="1797"/>
      <c r="AO223" s="1797"/>
      <c r="AP223" s="1808">
        <f t="shared" si="105"/>
        <v>2.124916984843888</v>
      </c>
      <c r="AQ223" s="1810">
        <f>IF(AP223&gt;[11]核心假设及结论!$B$59,[11]核心假设及结论!$D$59,IF(AP223&lt;=[11]核心假设及结论!$B$58,[11]核心假设及结论!$D$57,[11]核心假设及结论!$D$58))</f>
        <v>1</v>
      </c>
      <c r="AR223" s="1809">
        <f t="shared" si="106"/>
        <v>699.58</v>
      </c>
      <c r="AS223" s="1809">
        <f>AH223*(AS$2&lt;=YEAR($K223))+AR223*$AQ223*(AS$2=YEAR($K223)+1)+INDEX([11]核心假设及结论!$E$17:$E$21,MATCH($D223,[11]核心假设及结论!$B$17:$B$21,0))*(AS$2&gt;YEAR($K223)+1)*AR223</f>
        <v>730</v>
      </c>
      <c r="AT223" s="1809">
        <f>AI223*(AT$2&lt;=YEAR($K223))+AS223*$AQ223*(AT$2=YEAR($K223)+1)+INDEX([11]核心假设及结论!$E$17:$E$21,MATCH($D223,[11]核心假设及结论!$B$17:$B$21,0))*(AT$2&gt;YEAR($K223)+1)*AS223</f>
        <v>760.42</v>
      </c>
      <c r="AU223" s="1811">
        <f>AJ223*(AU$2&lt;=YEAR($K223))+AT223*$AQ223*(AU$2=YEAR($K223)+1)+INDEX([11]核心假设及结论!$E$17:$E$21,MATCH($D223,[11]核心假设及结论!$B$17:$B$21,0))*(AU$2&gt;YEAR($K223)+1)*AT223</f>
        <v>760.42</v>
      </c>
      <c r="AV223" s="1809">
        <f>AK223*(AV$2&lt;=YEAR($K223))+AU223*$AQ223*(AV$2=YEAR($K223)+1)+INDEX([11]核心假设及结论!$E$17:$E$21,MATCH($D223,[11]核心假设及结论!$B$17:$B$21,0))*(AV$2&gt;YEAR($K223)+1)*AU223</f>
        <v>781.00798445171779</v>
      </c>
      <c r="AW223" s="1809">
        <f>AL223*(AW$2&lt;=YEAR($K223))+AV223*$AQ223*(AW$2=YEAR($K223)+1)+INDEX([11]核心假设及结论!$E$17:$E$21,MATCH($D223,[11]核心假设及结论!$B$17:$B$21,0))*(AW$2&gt;YEAR($K223)+1)*AV223</f>
        <v>802.15337810333062</v>
      </c>
      <c r="AX223" s="1809">
        <f>AM223*(AX$2&lt;=YEAR($K223))+AW223*$AQ223*(AX$2=YEAR($K223)+1)+INDEX([11]核心假设及结论!$E$17:$E$21,MATCH($D223,[11]核心假设及结论!$B$17:$B$21,0))*(AX$2&gt;YEAR($K223)+1)*AW223</f>
        <v>823.87127252520838</v>
      </c>
      <c r="AZ223" s="1746">
        <f t="shared" si="96"/>
        <v>46599</v>
      </c>
      <c r="BA223" s="1817">
        <f t="shared" si="97"/>
        <v>45658</v>
      </c>
      <c r="BB223" s="1817">
        <f t="shared" si="98"/>
        <v>45869</v>
      </c>
      <c r="BC223" s="1817">
        <f t="shared" si="99"/>
        <v>46022</v>
      </c>
      <c r="BD223" s="1818">
        <f t="shared" si="100"/>
        <v>212</v>
      </c>
      <c r="BE223" s="1818">
        <f t="shared" si="101"/>
        <v>153</v>
      </c>
      <c r="BG223" s="1777">
        <f t="shared" si="112"/>
        <v>149.58959342465755</v>
      </c>
      <c r="BH223" s="1777">
        <f t="shared" si="91"/>
        <v>155.97779342465753</v>
      </c>
      <c r="BI223" s="1777">
        <f t="shared" si="91"/>
        <v>159.68819999999999</v>
      </c>
      <c r="BJ223" s="1777">
        <f t="shared" si="91"/>
        <v>161.50050668611968</v>
      </c>
      <c r="BK223" s="1777">
        <f t="shared" si="90"/>
        <v>165.87305070205613</v>
      </c>
      <c r="BL223" s="1777">
        <f t="shared" si="90"/>
        <v>170.36397912163076</v>
      </c>
      <c r="BM223" s="1777">
        <f t="shared" si="90"/>
        <v>100.48972343238981</v>
      </c>
      <c r="BO223" s="1739">
        <f t="shared" si="102"/>
        <v>2027</v>
      </c>
      <c r="BP223" s="1742">
        <f>_xlfn.IFNA(INDEX($AR223:$AX223,MATCH(BO223,$AR$2:$AX$2,0))*12/365*[11]核心假设及结论!$C$70*$H223,0)</f>
        <v>131250.57534246575</v>
      </c>
      <c r="BR223" s="1739">
        <f t="shared" si="107"/>
        <v>2030</v>
      </c>
      <c r="BS223" s="1742">
        <f>_xlfn.IFNA(INDEX($AR223:$AX223,MATCH(BR223,$AR$2:$AX$2,0))*12/365*[11]核心假设及结论!$C$70*$H223,0)</f>
        <v>138453.87074112284</v>
      </c>
      <c r="BU223" s="1739">
        <f t="shared" si="108"/>
        <v>2033</v>
      </c>
      <c r="BV223" s="1742">
        <f>_xlfn.IFNA(INDEX($AR223:$AX223,MATCH(BU223,$AR$2:$AX$2,0))*12/365*[11]核心假设及结论!$C$70*$H223,0)</f>
        <v>0</v>
      </c>
      <c r="BX223" s="1739">
        <f t="shared" si="109"/>
        <v>2036</v>
      </c>
      <c r="BY223" s="1742">
        <f>_xlfn.IFNA(INDEX($AR223:$AX223,MATCH(BX223,$AR$2:$AX$2,0))*12/365*[11]核心假设及结论!$C$70*$H223,0)</f>
        <v>0</v>
      </c>
      <c r="CA223" s="1739">
        <f t="shared" si="110"/>
        <v>2039</v>
      </c>
      <c r="CB223" s="1742">
        <f>_xlfn.IFNA(INDEX($AR223:$AX223,MATCH(CA223,$AR$2:$AX$2,0))*12/365*[11]核心假设及结论!$C$70*$H223,0)</f>
        <v>0</v>
      </c>
    </row>
    <row r="224" spans="1:80" ht="30" customHeight="1">
      <c r="A224" s="1756" t="s">
        <v>1687</v>
      </c>
      <c r="B224" s="1757" t="s">
        <v>2138</v>
      </c>
      <c r="C224" s="1756" t="s">
        <v>2139</v>
      </c>
      <c r="D224" s="1756" t="s">
        <v>1685</v>
      </c>
      <c r="E224" s="1758" t="s">
        <v>1692</v>
      </c>
      <c r="F224" s="1759"/>
      <c r="G224" s="1760" t="s">
        <v>1661</v>
      </c>
      <c r="H224" s="1761">
        <v>174</v>
      </c>
      <c r="I224" s="1761" t="s">
        <v>1913</v>
      </c>
      <c r="J224" s="1773">
        <v>45762</v>
      </c>
      <c r="K224" s="1773">
        <v>46812</v>
      </c>
      <c r="L224" s="1764">
        <f t="shared" si="92"/>
        <v>35</v>
      </c>
      <c r="M224" s="1774">
        <f t="shared" si="103"/>
        <v>120220.08</v>
      </c>
      <c r="N224" s="1775">
        <f t="shared" si="104"/>
        <v>577.91999999999996</v>
      </c>
      <c r="O224" s="1760">
        <v>100558.08</v>
      </c>
      <c r="P224" s="1776">
        <v>0.18</v>
      </c>
      <c r="Q224" s="1783">
        <f t="shared" si="93"/>
        <v>95</v>
      </c>
      <c r="R224" s="1784">
        <v>16530</v>
      </c>
      <c r="S224" s="1777">
        <f t="shared" si="94"/>
        <v>18</v>
      </c>
      <c r="T224" s="1777">
        <v>3132</v>
      </c>
      <c r="U224" s="1777"/>
      <c r="V224" s="1785">
        <v>625904</v>
      </c>
      <c r="W224" s="1785">
        <f t="shared" si="95"/>
        <v>3597.1494252873563</v>
      </c>
      <c r="X224" s="1786">
        <f>(N224+Q224)*H224/V224</f>
        <v>0.18707034944656048</v>
      </c>
      <c r="Y224" s="1789">
        <f>VLOOKUP(E224,[11]核心假设及结论!$C$25:$E$45,3,0)</f>
        <v>0.2</v>
      </c>
      <c r="Z224" s="1790">
        <f t="shared" si="111"/>
        <v>121726.92000000001</v>
      </c>
      <c r="AA224" s="1790">
        <f t="shared" si="111"/>
        <v>125379.18000000001</v>
      </c>
      <c r="AB224" s="1790">
        <f t="shared" si="111"/>
        <v>129137.57999999999</v>
      </c>
      <c r="AC224" s="1790">
        <f t="shared" si="111"/>
        <v>132825.21999999994</v>
      </c>
      <c r="AD224" s="1790">
        <f t="shared" si="111"/>
        <v>0</v>
      </c>
      <c r="AE224" s="1790">
        <f t="shared" si="111"/>
        <v>0</v>
      </c>
      <c r="AF224" s="1790">
        <f t="shared" si="111"/>
        <v>0</v>
      </c>
      <c r="AG224" s="1794">
        <v>699.58</v>
      </c>
      <c r="AH224" s="1794">
        <v>720.57</v>
      </c>
      <c r="AI224" s="1794">
        <v>742.17</v>
      </c>
      <c r="AJ224" s="1794">
        <v>763.363333333333</v>
      </c>
      <c r="AK224" s="1794">
        <v>0</v>
      </c>
      <c r="AL224" s="1794">
        <v>0</v>
      </c>
      <c r="AM224" s="1794">
        <v>0</v>
      </c>
      <c r="AN224" s="1795"/>
      <c r="AO224" s="1795"/>
      <c r="AP224" s="1808">
        <f t="shared" si="105"/>
        <v>0.93535174723280234</v>
      </c>
      <c r="AQ224" s="1810">
        <f>IF(AP224&gt;[11]核心假设及结论!$B$59,[11]核心假设及结论!$D$59,IF(AP224&lt;=[11]核心假设及结论!$B$58,[11]核心假设及结论!$D$57,[11]核心假设及结论!$D$58))</f>
        <v>1.0342640124442799</v>
      </c>
      <c r="AR224" s="1809">
        <f t="shared" si="106"/>
        <v>699.58</v>
      </c>
      <c r="AS224" s="1809">
        <f>AH224*(AS$2&lt;=YEAR($K224))+AR224*$AQ224*(AS$2=YEAR($K224)+1)+INDEX([11]核心假设及结论!$E$17:$E$21,MATCH($D224,[11]核心假设及结论!$B$17:$B$21,0))*(AS$2&gt;YEAR($K224)+1)*AR224</f>
        <v>720.57</v>
      </c>
      <c r="AT224" s="1809">
        <f>AI224*(AT$2&lt;=YEAR($K224))+AS224*$AQ224*(AT$2=YEAR($K224)+1)+INDEX([11]核心假设及结论!$E$17:$E$21,MATCH($D224,[11]核心假设及结论!$B$17:$B$21,0))*(AT$2&gt;YEAR($K224)+1)*AS224</f>
        <v>742.17</v>
      </c>
      <c r="AU224" s="1809">
        <f>AJ224*(AU$2&lt;=YEAR($K224))+AT224*$AQ224*(AU$2=YEAR($K224)+1)+INDEX([11]核心假设及结论!$E$17:$E$21,MATCH($D224,[11]核心假设及结论!$B$17:$B$21,0))*(AU$2&gt;YEAR($K224)+1)*AT224</f>
        <v>763.363333333333</v>
      </c>
      <c r="AV224" s="1811">
        <f>AK224*(AV$2&lt;=YEAR($K224))+AU224*$AQ224*(AV$2=YEAR($K224)+1)+INDEX([11]核心假设及结论!$E$17:$E$21,MATCH($D224,[11]核心假设及结论!$B$17:$B$21,0))*(AV$2&gt;YEAR($K224)+1)*AU224</f>
        <v>789.51922408617327</v>
      </c>
      <c r="AW224" s="1809">
        <f>AL224*(AW$2&lt;=YEAR($K224))+AV224*$AQ224*(AW$2=YEAR($K224)+1)+INDEX([11]核心假设及结论!$E$17:$E$21,MATCH($D224,[11]核心假设及结论!$B$17:$B$21,0))*(AW$2&gt;YEAR($K224)+1)*AV224</f>
        <v>810.89505521872957</v>
      </c>
      <c r="AX224" s="1809">
        <f>AM224*(AX$2&lt;=YEAR($K224))+AW224*$AQ224*(AX$2=YEAR($K224)+1)+INDEX([11]核心假设及结论!$E$17:$E$21,MATCH($D224,[11]核心假设及结论!$B$17:$B$21,0))*(AX$2&gt;YEAR($K224)+1)*AW224</f>
        <v>832.84962609905631</v>
      </c>
      <c r="AZ224" s="1746">
        <f t="shared" si="96"/>
        <v>46812</v>
      </c>
      <c r="BA224" s="1817">
        <f t="shared" si="97"/>
        <v>45658</v>
      </c>
      <c r="BB224" s="1817">
        <f t="shared" si="98"/>
        <v>45717</v>
      </c>
      <c r="BC224" s="1817">
        <f t="shared" si="99"/>
        <v>46022</v>
      </c>
      <c r="BD224" s="1818">
        <f t="shared" si="100"/>
        <v>60</v>
      </c>
      <c r="BE224" s="1818">
        <f t="shared" si="101"/>
        <v>305</v>
      </c>
      <c r="BG224" s="1777">
        <f t="shared" si="112"/>
        <v>149.73457019178079</v>
      </c>
      <c r="BH224" s="1777">
        <f t="shared" si="91"/>
        <v>154.22371298630136</v>
      </c>
      <c r="BI224" s="1777">
        <f t="shared" si="91"/>
        <v>158.6628391232876</v>
      </c>
      <c r="BJ224" s="1777">
        <f t="shared" si="91"/>
        <v>163.9538578265859</v>
      </c>
      <c r="BK224" s="1777">
        <f t="shared" si="90"/>
        <v>168.5811987284963</v>
      </c>
      <c r="BL224" s="1777">
        <f t="shared" si="90"/>
        <v>173.14544887745902</v>
      </c>
      <c r="BM224" s="1777">
        <f t="shared" si="90"/>
        <v>28.586137303476651</v>
      </c>
      <c r="BO224" s="1739">
        <f t="shared" si="102"/>
        <v>2028</v>
      </c>
      <c r="BP224" s="1742">
        <f>_xlfn.IFNA(INDEX($AR224:$AX224,MATCH(BO224,$AR$2:$AX$2,0))*12/365*[11]核心假设及结论!$C$70*$H224,0)</f>
        <v>131005.69643835611</v>
      </c>
      <c r="BR224" s="1739">
        <f t="shared" si="107"/>
        <v>2031</v>
      </c>
      <c r="BS224" s="1742">
        <f>_xlfn.IFNA(INDEX($AR224:$AX224,MATCH(BR224,$AR$2:$AX$2,0))*12/365*[11]核心假设及结论!$C$70*$H224,0)</f>
        <v>142930.68651738326</v>
      </c>
      <c r="BU224" s="1739">
        <f t="shared" si="108"/>
        <v>2034</v>
      </c>
      <c r="BV224" s="1742">
        <f>_xlfn.IFNA(INDEX($AR224:$AX224,MATCH(BU224,$AR$2:$AX$2,0))*12/365*[11]核心假设及结论!$C$70*$H224,0)</f>
        <v>0</v>
      </c>
      <c r="BX224" s="1739">
        <f t="shared" si="109"/>
        <v>2037</v>
      </c>
      <c r="BY224" s="1742">
        <f>_xlfn.IFNA(INDEX($AR224:$AX224,MATCH(BX224,$AR$2:$AX$2,0))*12/365*[11]核心假设及结论!$C$70*$H224,0)</f>
        <v>0</v>
      </c>
      <c r="CA224" s="1739">
        <f t="shared" si="110"/>
        <v>2040</v>
      </c>
      <c r="CB224" s="1742">
        <f>_xlfn.IFNA(INDEX($AR224:$AX224,MATCH(CA224,$AR$2:$AX$2,0))*12/365*[11]核心假设及结论!$C$70*$H224,0)</f>
        <v>0</v>
      </c>
    </row>
    <row r="225" spans="1:80" ht="30" customHeight="1">
      <c r="A225" s="1756" t="s">
        <v>1662</v>
      </c>
      <c r="B225" s="1757" t="s">
        <v>2140</v>
      </c>
      <c r="C225" s="1756" t="s">
        <v>2141</v>
      </c>
      <c r="D225" s="1756" t="s">
        <v>1698</v>
      </c>
      <c r="E225" s="1758" t="s">
        <v>1698</v>
      </c>
      <c r="F225" s="1759"/>
      <c r="G225" s="1760" t="s">
        <v>1661</v>
      </c>
      <c r="H225" s="1761">
        <v>172</v>
      </c>
      <c r="I225" s="1761" t="s">
        <v>1913</v>
      </c>
      <c r="J225" s="1773">
        <v>45253</v>
      </c>
      <c r="K225" s="1773">
        <v>46348</v>
      </c>
      <c r="L225" s="1764">
        <f t="shared" si="92"/>
        <v>36</v>
      </c>
      <c r="M225" s="1774">
        <f t="shared" si="103"/>
        <v>102283.24</v>
      </c>
      <c r="N225" s="1775">
        <f t="shared" si="104"/>
        <v>486.67</v>
      </c>
      <c r="O225" s="1760">
        <v>83707.240000000005</v>
      </c>
      <c r="P225" s="1776">
        <v>0.1</v>
      </c>
      <c r="Q225" s="1783">
        <f t="shared" si="93"/>
        <v>90</v>
      </c>
      <c r="R225" s="1784">
        <v>15480</v>
      </c>
      <c r="S225" s="1777">
        <f t="shared" si="94"/>
        <v>18</v>
      </c>
      <c r="T225" s="1784">
        <v>3096</v>
      </c>
      <c r="U225" s="1777"/>
      <c r="V225" s="1785">
        <v>320543.64750000002</v>
      </c>
      <c r="W225" s="1785">
        <f t="shared" si="95"/>
        <v>1863.6258575581396</v>
      </c>
      <c r="X225" s="1786">
        <f>(N225+Q225)*H225/V225</f>
        <v>0.30943442733489207</v>
      </c>
      <c r="Y225" s="1789">
        <f>VLOOKUP(E225,[11]核心假设及结论!$C$25:$E$45,3,0)</f>
        <v>0.2</v>
      </c>
      <c r="Z225" s="1790">
        <f t="shared" si="111"/>
        <v>86218.44</v>
      </c>
      <c r="AA225" s="1790">
        <f t="shared" si="111"/>
        <v>88803.599999999991</v>
      </c>
      <c r="AB225" s="1790">
        <f t="shared" si="111"/>
        <v>0</v>
      </c>
      <c r="AC225" s="1790">
        <f t="shared" si="111"/>
        <v>0</v>
      </c>
      <c r="AD225" s="1790">
        <f t="shared" si="111"/>
        <v>0</v>
      </c>
      <c r="AE225" s="1790">
        <f t="shared" si="111"/>
        <v>0</v>
      </c>
      <c r="AF225" s="1790">
        <f t="shared" si="111"/>
        <v>0</v>
      </c>
      <c r="AG225" s="1794">
        <v>501.27</v>
      </c>
      <c r="AH225" s="1794">
        <v>516.29999999999995</v>
      </c>
      <c r="AI225" s="1794">
        <v>0</v>
      </c>
      <c r="AJ225" s="1794">
        <v>0</v>
      </c>
      <c r="AK225" s="1794">
        <v>0</v>
      </c>
      <c r="AL225" s="1794">
        <v>0</v>
      </c>
      <c r="AM225" s="1794">
        <v>0</v>
      </c>
      <c r="AN225" s="1797"/>
      <c r="AO225" s="1797"/>
      <c r="AP225" s="1808">
        <f t="shared" si="105"/>
        <v>1.5471721366744602</v>
      </c>
      <c r="AQ225" s="1812">
        <f>IF(AP225&gt;[11]核心假设及结论!$B$62,[11]核心假设及结论!$D$62,IF(AP225&lt;=[11]核心假设及结论!$B$61,[11]核心假设及结论!$D$60,[11]核心假设及结论!$D$61))</f>
        <v>1</v>
      </c>
      <c r="AR225" s="1809">
        <f t="shared" si="106"/>
        <v>501.27</v>
      </c>
      <c r="AS225" s="1809">
        <f>AH225*(AS$2&lt;=YEAR($K225))+AR225*$AQ225*(AS$2=YEAR($K225)+1)+INDEX([11]核心假设及结论!$E$17:$E$21,MATCH($D225,[11]核心假设及结论!$B$17:$B$21,0))*(AS$2&gt;YEAR($K225)+1)*AR225</f>
        <v>516.29999999999995</v>
      </c>
      <c r="AT225" s="1811">
        <f>AI225*(AT$2&lt;=YEAR($K225))+AS225*$AQ225*(AT$2=YEAR($K225)+1)+INDEX([11]核心假设及结论!$E$17:$E$21,MATCH($D225,[11]核心假设及结论!$B$17:$B$21,0))*(AT$2&gt;YEAR($K225)+1)*AS225</f>
        <v>516.29999999999995</v>
      </c>
      <c r="AU225" s="1809">
        <f>AJ225*(AU$2&lt;=YEAR($K225))+AT225*$AQ225*(AU$2=YEAR($K225)+1)+INDEX([11]核心假设及结论!$E$17:$E$21,MATCH($D225,[11]核心假设及结论!$B$17:$B$21,0))*(AU$2&gt;YEAR($K225)+1)*AT225</f>
        <v>532.10776638949505</v>
      </c>
      <c r="AV225" s="1809">
        <f>AK225*(AV$2&lt;=YEAR($K225))+AU225*$AQ225*(AV$2=YEAR($K225)+1)+INDEX([11]核心假设及结论!$E$17:$E$21,MATCH($D225,[11]核心假设及结论!$B$17:$B$21,0))*(AV$2&gt;YEAR($K225)+1)*AU225</f>
        <v>548.39952557043864</v>
      </c>
      <c r="AW225" s="1809">
        <f>AL225*(AW$2&lt;=YEAR($K225))+AV225*$AQ225*(AW$2=YEAR($K225)+1)+INDEX([11]核心假设及结论!$E$17:$E$21,MATCH($D225,[11]核心假设及结论!$B$17:$B$21,0))*(AW$2&gt;YEAR($K225)+1)*AV225</f>
        <v>565.19009614631977</v>
      </c>
      <c r="AX225" s="1809">
        <f>AM225*(AX$2&lt;=YEAR($K225))+AW225*$AQ225*(AX$2=YEAR($K225)+1)+INDEX([11]核心假设及结论!$E$17:$E$21,MATCH($D225,[11]核心假设及结论!$B$17:$B$21,0))*(AX$2&gt;YEAR($K225)+1)*AW225</f>
        <v>582.49475042781762</v>
      </c>
      <c r="AZ225" s="1746">
        <f t="shared" si="96"/>
        <v>46348</v>
      </c>
      <c r="BA225" s="1817">
        <f t="shared" si="97"/>
        <v>45658</v>
      </c>
      <c r="BB225" s="1817">
        <f t="shared" si="98"/>
        <v>45983</v>
      </c>
      <c r="BC225" s="1817">
        <f t="shared" si="99"/>
        <v>46022</v>
      </c>
      <c r="BD225" s="1818">
        <f t="shared" si="100"/>
        <v>326</v>
      </c>
      <c r="BE225" s="1818">
        <f t="shared" si="101"/>
        <v>39</v>
      </c>
      <c r="BG225" s="1777">
        <f t="shared" si="112"/>
        <v>103.79359509041095</v>
      </c>
      <c r="BH225" s="1777">
        <f t="shared" si="91"/>
        <v>106.56432</v>
      </c>
      <c r="BI225" s="1777">
        <f t="shared" si="91"/>
        <v>106.91293971596954</v>
      </c>
      <c r="BJ225" s="1777">
        <f t="shared" si="91"/>
        <v>110.1863365299231</v>
      </c>
      <c r="BK225" s="1777">
        <f t="shared" si="90"/>
        <v>113.55995626104706</v>
      </c>
      <c r="BL225" s="1777">
        <f t="shared" si="90"/>
        <v>117.03686747502326</v>
      </c>
      <c r="BM225" s="1777">
        <f t="shared" si="90"/>
        <v>107.38075280872962</v>
      </c>
      <c r="BO225" s="1739">
        <f t="shared" si="102"/>
        <v>2026</v>
      </c>
      <c r="BP225" s="1742">
        <f>_xlfn.IFNA(INDEX($AR225:$AX225,MATCH(BO225,$AR$2:$AX$2,0))*12/365*[11]核心假设及结论!$C$70*$H225,0)</f>
        <v>87587.112328767107</v>
      </c>
      <c r="BR225" s="1739">
        <f t="shared" si="107"/>
        <v>2029</v>
      </c>
      <c r="BS225" s="1742">
        <f>_xlfn.IFNA(INDEX($AR225:$AX225,MATCH(BR225,$AR$2:$AX$2,0))*12/365*[11]核心假设及结论!$C$70*$H225,0)</f>
        <v>93032.598968004284</v>
      </c>
      <c r="BU225" s="1739">
        <f t="shared" si="108"/>
        <v>2032</v>
      </c>
      <c r="BV225" s="1742">
        <f>_xlfn.IFNA(INDEX($AR225:$AX225,MATCH(BU225,$AR$2:$AX$2,0))*12/365*[11]核心假设及结论!$C$70*$H225,0)</f>
        <v>0</v>
      </c>
      <c r="BX225" s="1739">
        <f t="shared" si="109"/>
        <v>2035</v>
      </c>
      <c r="BY225" s="1742">
        <f>_xlfn.IFNA(INDEX($AR225:$AX225,MATCH(BX225,$AR$2:$AX$2,0))*12/365*[11]核心假设及结论!$C$70*$H225,0)</f>
        <v>0</v>
      </c>
      <c r="CA225" s="1739">
        <f t="shared" si="110"/>
        <v>2038</v>
      </c>
      <c r="CB225" s="1742">
        <f>_xlfn.IFNA(INDEX($AR225:$AX225,MATCH(CA225,$AR$2:$AX$2,0))*12/365*[11]核心假设及结论!$C$70*$H225,0)</f>
        <v>0</v>
      </c>
    </row>
    <row r="226" spans="1:80" ht="30" customHeight="1">
      <c r="A226" s="1756" t="s">
        <v>1687</v>
      </c>
      <c r="B226" s="1757" t="s">
        <v>2142</v>
      </c>
      <c r="C226" s="1756" t="s">
        <v>2143</v>
      </c>
      <c r="D226" s="1756" t="s">
        <v>1685</v>
      </c>
      <c r="E226" s="1758" t="s">
        <v>1709</v>
      </c>
      <c r="F226" s="1759"/>
      <c r="G226" s="1760" t="s">
        <v>1661</v>
      </c>
      <c r="H226" s="1761">
        <v>172</v>
      </c>
      <c r="I226" s="1761" t="s">
        <v>1913</v>
      </c>
      <c r="J226" s="1773">
        <v>45383</v>
      </c>
      <c r="K226" s="1773">
        <v>46477</v>
      </c>
      <c r="L226" s="1764">
        <f t="shared" si="92"/>
        <v>36</v>
      </c>
      <c r="M226" s="1774">
        <f t="shared" si="103"/>
        <v>92680.48</v>
      </c>
      <c r="N226" s="1775">
        <f t="shared" si="104"/>
        <v>425.84</v>
      </c>
      <c r="O226" s="1760">
        <v>73244.479999999996</v>
      </c>
      <c r="P226" s="1776">
        <v>0.06</v>
      </c>
      <c r="Q226" s="1783">
        <f t="shared" si="93"/>
        <v>95</v>
      </c>
      <c r="R226" s="1784">
        <v>16340</v>
      </c>
      <c r="S226" s="1777">
        <f t="shared" si="94"/>
        <v>18</v>
      </c>
      <c r="T226" s="1784">
        <v>3096</v>
      </c>
      <c r="U226" s="1777"/>
      <c r="V226" s="1785">
        <v>892040.01833333296</v>
      </c>
      <c r="W226" s="1785">
        <f t="shared" si="95"/>
        <v>5186.2791763565874</v>
      </c>
      <c r="X226" s="1786">
        <f>(N226+Q226+S226)*H226/V226</f>
        <v>0.1038972222044052</v>
      </c>
      <c r="Y226" s="1789">
        <f>VLOOKUP(E226,[11]核心假设及结论!$C$25:$E$45,3,0)</f>
        <v>0.2</v>
      </c>
      <c r="Z226" s="1790">
        <f t="shared" si="111"/>
        <v>73244.479999999996</v>
      </c>
      <c r="AA226" s="1790">
        <f t="shared" si="111"/>
        <v>75858.880000000005</v>
      </c>
      <c r="AB226" s="1790">
        <f t="shared" si="111"/>
        <v>78475</v>
      </c>
      <c r="AC226" s="1790">
        <f t="shared" si="111"/>
        <v>0</v>
      </c>
      <c r="AD226" s="1790">
        <f t="shared" si="111"/>
        <v>0</v>
      </c>
      <c r="AE226" s="1790">
        <f t="shared" si="111"/>
        <v>0</v>
      </c>
      <c r="AF226" s="1790">
        <f t="shared" si="111"/>
        <v>0</v>
      </c>
      <c r="AG226" s="1794">
        <v>425.84</v>
      </c>
      <c r="AH226" s="1794">
        <v>441.04</v>
      </c>
      <c r="AI226" s="1794">
        <v>456.25</v>
      </c>
      <c r="AJ226" s="1794">
        <v>0</v>
      </c>
      <c r="AK226" s="1794">
        <v>0</v>
      </c>
      <c r="AL226" s="1794">
        <v>0</v>
      </c>
      <c r="AM226" s="1794">
        <v>0</v>
      </c>
      <c r="AN226" s="1797"/>
      <c r="AO226" s="1797"/>
      <c r="AP226" s="1808">
        <f t="shared" si="105"/>
        <v>0.51948611102202591</v>
      </c>
      <c r="AQ226" s="1810">
        <f>IF(AP226&gt;[11]核心假设及结论!$B$59,[11]核心假设及结论!$D$59,IF(AP226&lt;=[11]核心假设及结论!$B$58,[11]核心假设及结论!$D$57,[11]核心假设及结论!$D$58))</f>
        <v>1.0342640124442799</v>
      </c>
      <c r="AR226" s="1809">
        <f t="shared" si="106"/>
        <v>425.84</v>
      </c>
      <c r="AS226" s="1809">
        <f>AH226*(AS$2&lt;=YEAR($K226))+AR226*$AQ226*(AS$2=YEAR($K226)+1)+INDEX([11]核心假设及结论!$E$17:$E$21,MATCH($D226,[11]核心假设及结论!$B$17:$B$21,0))*(AS$2&gt;YEAR($K226)+1)*AR226</f>
        <v>441.04</v>
      </c>
      <c r="AT226" s="1809">
        <f>AI226*(AT$2&lt;=YEAR($K226))+AS226*$AQ226*(AT$2=YEAR($K226)+1)+INDEX([11]核心假设及结论!$E$17:$E$21,MATCH($D226,[11]核心假设及结论!$B$17:$B$21,0))*(AT$2&gt;YEAR($K226)+1)*AS226</f>
        <v>456.25</v>
      </c>
      <c r="AU226" s="1811">
        <f>AJ226*(AU$2&lt;=YEAR($K226))+AT226*$AQ226*(AU$2=YEAR($K226)+1)+INDEX([11]核心假设及结论!$E$17:$E$21,MATCH($D226,[11]核心假设及结论!$B$17:$B$21,0))*(AU$2&gt;YEAR($K226)+1)*AT226</f>
        <v>471.88295567770268</v>
      </c>
      <c r="AV226" s="1809">
        <f>AK226*(AV$2&lt;=YEAR($K226))+AU226*$AQ226*(AV$2=YEAR($K226)+1)+INDEX([11]核心假设及结论!$E$17:$E$21,MATCH($D226,[11]核心假设及结论!$B$17:$B$21,0))*(AV$2&gt;YEAR($K226)+1)*AU226</f>
        <v>484.65894651766376</v>
      </c>
      <c r="AW226" s="1809">
        <f>AL226*(AW$2&lt;=YEAR($K226))+AV226*$AQ226*(AW$2=YEAR($K226)+1)+INDEX([11]核心假设及结论!$E$17:$E$21,MATCH($D226,[11]核心假设及结论!$B$17:$B$21,0))*(AW$2&gt;YEAR($K226)+1)*AV226</f>
        <v>497.78084080672983</v>
      </c>
      <c r="AX226" s="1809">
        <f>AM226*(AX$2&lt;=YEAR($K226))+AW226*$AQ226*(AX$2=YEAR($K226)+1)+INDEX([11]核心假设及结论!$E$17:$E$21,MATCH($D226,[11]核心假设及结论!$B$17:$B$21,0))*(AX$2&gt;YEAR($K226)+1)*AW226</f>
        <v>511.25800370472302</v>
      </c>
      <c r="AZ226" s="1746">
        <f t="shared" si="96"/>
        <v>46477</v>
      </c>
      <c r="BA226" s="1817">
        <f t="shared" si="97"/>
        <v>45658</v>
      </c>
      <c r="BB226" s="1817">
        <f t="shared" si="98"/>
        <v>45747</v>
      </c>
      <c r="BC226" s="1817">
        <f t="shared" si="99"/>
        <v>46022</v>
      </c>
      <c r="BD226" s="1818">
        <f t="shared" si="100"/>
        <v>90</v>
      </c>
      <c r="BE226" s="1818">
        <f t="shared" si="101"/>
        <v>275</v>
      </c>
      <c r="BG226" s="1777">
        <f t="shared" si="112"/>
        <v>90.25708010958904</v>
      </c>
      <c r="BH226" s="1777">
        <f t="shared" si="91"/>
        <v>93.395915178082191</v>
      </c>
      <c r="BI226" s="1777">
        <f t="shared" si="91"/>
        <v>96.601031682921644</v>
      </c>
      <c r="BJ226" s="1777">
        <f t="shared" si="91"/>
        <v>99.383396134278371</v>
      </c>
      <c r="BK226" s="1777">
        <f t="shared" si="90"/>
        <v>102.07415099918386</v>
      </c>
      <c r="BL226" s="1777">
        <f t="shared" si="90"/>
        <v>104.8377566824819</v>
      </c>
      <c r="BM226" s="1777">
        <f t="shared" si="90"/>
        <v>26.01953062142174</v>
      </c>
      <c r="BO226" s="1739">
        <f t="shared" si="102"/>
        <v>2027</v>
      </c>
      <c r="BP226" s="1742">
        <f>_xlfn.IFNA(INDEX($AR226:$AX226,MATCH(BO226,$AR$2:$AX$2,0))*12/365*[11]核心假设及结论!$C$70*$H226,0)</f>
        <v>77400</v>
      </c>
      <c r="BR226" s="1739">
        <f t="shared" si="107"/>
        <v>2030</v>
      </c>
      <c r="BS226" s="1742">
        <f>_xlfn.IFNA(INDEX($AR226:$AX226,MATCH(BR226,$AR$2:$AX$2,0))*12/365*[11]核心假设及结论!$C$70*$H226,0)</f>
        <v>84445.451130829329</v>
      </c>
      <c r="BU226" s="1739">
        <f t="shared" si="108"/>
        <v>2033</v>
      </c>
      <c r="BV226" s="1742">
        <f>_xlfn.IFNA(INDEX($AR226:$AX226,MATCH(BU226,$AR$2:$AX$2,0))*12/365*[11]核心假设及结论!$C$70*$H226,0)</f>
        <v>0</v>
      </c>
      <c r="BX226" s="1739">
        <f t="shared" si="109"/>
        <v>2036</v>
      </c>
      <c r="BY226" s="1742">
        <f>_xlfn.IFNA(INDEX($AR226:$AX226,MATCH(BX226,$AR$2:$AX$2,0))*12/365*[11]核心假设及结论!$C$70*$H226,0)</f>
        <v>0</v>
      </c>
      <c r="CA226" s="1739">
        <f t="shared" si="110"/>
        <v>2039</v>
      </c>
      <c r="CB226" s="1742">
        <f>_xlfn.IFNA(INDEX($AR226:$AX226,MATCH(CA226,$AR$2:$AX$2,0))*12/365*[11]核心假设及结论!$C$70*$H226,0)</f>
        <v>0</v>
      </c>
    </row>
    <row r="227" spans="1:80" ht="30" customHeight="1">
      <c r="A227" s="1756" t="s">
        <v>1666</v>
      </c>
      <c r="B227" s="1757" t="s">
        <v>2144</v>
      </c>
      <c r="C227" s="1756" t="s">
        <v>2145</v>
      </c>
      <c r="D227" s="1756" t="s">
        <v>1676</v>
      </c>
      <c r="E227" s="1758" t="s">
        <v>1677</v>
      </c>
      <c r="F227" s="1759"/>
      <c r="G227" s="1760" t="s">
        <v>1661</v>
      </c>
      <c r="H227" s="1761">
        <v>171</v>
      </c>
      <c r="I227" s="1761" t="s">
        <v>1913</v>
      </c>
      <c r="J227" s="1773">
        <v>45226</v>
      </c>
      <c r="K227" s="1773">
        <v>46321</v>
      </c>
      <c r="L227" s="1764">
        <f t="shared" si="92"/>
        <v>36</v>
      </c>
      <c r="M227" s="1774">
        <f t="shared" si="103"/>
        <v>88685.73</v>
      </c>
      <c r="N227" s="1775">
        <f t="shared" si="104"/>
        <v>410.63</v>
      </c>
      <c r="O227" s="1760">
        <v>70217.73</v>
      </c>
      <c r="P227" s="1776">
        <v>0.09</v>
      </c>
      <c r="Q227" s="1783">
        <f t="shared" si="93"/>
        <v>90</v>
      </c>
      <c r="R227" s="1784">
        <v>15390</v>
      </c>
      <c r="S227" s="1777">
        <f t="shared" si="94"/>
        <v>18</v>
      </c>
      <c r="T227" s="1784">
        <v>3078</v>
      </c>
      <c r="U227" s="1777"/>
      <c r="V227" s="1785">
        <v>835958.5</v>
      </c>
      <c r="W227" s="1785">
        <f t="shared" si="95"/>
        <v>4888.646198830409</v>
      </c>
      <c r="X227" s="1786">
        <f t="shared" ref="X227:X233" si="114">(N227+Q227)*H227/V227</f>
        <v>0.10240667449400896</v>
      </c>
      <c r="Y227" s="1789">
        <f>VLOOKUP(E227,[11]核心假设及结论!$C$25:$E$45,3,0)</f>
        <v>0.25</v>
      </c>
      <c r="Z227" s="1790">
        <f t="shared" si="111"/>
        <v>72322.740000000005</v>
      </c>
      <c r="AA227" s="1790">
        <f t="shared" si="111"/>
        <v>74492.73</v>
      </c>
      <c r="AB227" s="1790">
        <f t="shared" si="111"/>
        <v>0</v>
      </c>
      <c r="AC227" s="1790">
        <f t="shared" si="111"/>
        <v>0</v>
      </c>
      <c r="AD227" s="1790">
        <f t="shared" si="111"/>
        <v>0</v>
      </c>
      <c r="AE227" s="1790">
        <f t="shared" si="111"/>
        <v>0</v>
      </c>
      <c r="AF227" s="1790">
        <f t="shared" si="111"/>
        <v>0</v>
      </c>
      <c r="AG227" s="1794">
        <v>422.94</v>
      </c>
      <c r="AH227" s="1794">
        <v>435.63</v>
      </c>
      <c r="AI227" s="1794">
        <v>0</v>
      </c>
      <c r="AJ227" s="1794">
        <v>0</v>
      </c>
      <c r="AK227" s="1794">
        <v>0</v>
      </c>
      <c r="AL227" s="1794">
        <v>0</v>
      </c>
      <c r="AM227" s="1794">
        <v>0</v>
      </c>
      <c r="AN227" s="1797"/>
      <c r="AO227" s="1797"/>
      <c r="AP227" s="1808">
        <f t="shared" si="105"/>
        <v>0.40962669797603585</v>
      </c>
      <c r="AQ227" s="1808">
        <f>IF(AP227&gt;[11]核心假设及结论!$B$65,[11]核心假设及结论!$D$65,IF(AP227&lt;=[11]核心假设及结论!$B$64,[11]核心假设及结论!$D$63,[11]核心假设及结论!$D$64))</f>
        <v>1</v>
      </c>
      <c r="AR227" s="1809">
        <f t="shared" si="106"/>
        <v>422.94</v>
      </c>
      <c r="AS227" s="1809">
        <f>AH227*(AS$2&lt;=YEAR($K227))+AR227*$AQ227*(AS$2=YEAR($K227)+1)+INDEX([11]核心假设及结论!$E$17:$E$21,MATCH($D227,[11]核心假设及结论!$B$17:$B$21,0))*(AS$2&gt;YEAR($K227)+1)*AR227</f>
        <v>435.63</v>
      </c>
      <c r="AT227" s="1811">
        <f>AI227*(AT$2&lt;=YEAR($K227))+AS227*$AQ227*(AT$2=YEAR($K227)+1)+INDEX([11]核心假设及结论!$E$17:$E$21,MATCH($D227,[11]核心假设及结论!$B$17:$B$21,0))*(AT$2&gt;YEAR($K227)+1)*AS227</f>
        <v>435.63</v>
      </c>
      <c r="AU227" s="1809">
        <f>AJ227*(AU$2&lt;=YEAR($K227))+AT227*$AQ227*(AU$2=YEAR($K227)+1)+INDEX([11]核心假设及结论!$E$17:$E$21,MATCH($D227,[11]核心假设及结论!$B$17:$B$21,0))*(AU$2&gt;YEAR($K227)+1)*AT227</f>
        <v>450.69194536653589</v>
      </c>
      <c r="AV227" s="1809">
        <f>AK227*(AV$2&lt;=YEAR($K227))+AU227*$AQ227*(AV$2=YEAR($K227)+1)+INDEX([11]核心假设及结论!$E$17:$E$21,MATCH($D227,[11]核心假设及结论!$B$17:$B$21,0))*(AV$2&gt;YEAR($K227)+1)*AU227</f>
        <v>466.27465881200231</v>
      </c>
      <c r="AW227" s="1809">
        <f>AL227*(AW$2&lt;=YEAR($K227))+AV227*$AQ227*(AW$2=YEAR($K227)+1)+INDEX([11]核心假设及结论!$E$17:$E$21,MATCH($D227,[11]核心假设及结论!$B$17:$B$21,0))*(AW$2&gt;YEAR($K227)+1)*AV227</f>
        <v>482.39614593829424</v>
      </c>
      <c r="AX227" s="1809">
        <f>AM227*(AX$2&lt;=YEAR($K227))+AW227*$AQ227*(AX$2=YEAR($K227)+1)+INDEX([11]核心假设及结论!$E$17:$E$21,MATCH($D227,[11]核心假设及结论!$B$17:$B$21,0))*(AX$2&gt;YEAR($K227)+1)*AW227</f>
        <v>499.07503489256749</v>
      </c>
      <c r="AZ227" s="1746">
        <f t="shared" si="96"/>
        <v>46321</v>
      </c>
      <c r="BA227" s="1817">
        <f t="shared" si="97"/>
        <v>45658</v>
      </c>
      <c r="BB227" s="1817">
        <f t="shared" si="98"/>
        <v>45956</v>
      </c>
      <c r="BC227" s="1817">
        <f t="shared" si="99"/>
        <v>46022</v>
      </c>
      <c r="BD227" s="1818">
        <f t="shared" si="100"/>
        <v>299</v>
      </c>
      <c r="BE227" s="1818">
        <f t="shared" si="101"/>
        <v>66</v>
      </c>
      <c r="BG227" s="1777">
        <f t="shared" si="112"/>
        <v>87.258146104109585</v>
      </c>
      <c r="BH227" s="1777">
        <f t="shared" si="91"/>
        <v>89.391276000000005</v>
      </c>
      <c r="BI227" s="1777">
        <f t="shared" si="91"/>
        <v>89.950144324624858</v>
      </c>
      <c r="BJ227" s="1777">
        <f t="shared" si="91"/>
        <v>93.060178435061502</v>
      </c>
      <c r="BK227" s="1777">
        <f t="shared" si="90"/>
        <v>96.277742246986691</v>
      </c>
      <c r="BL227" s="1777">
        <f t="shared" si="90"/>
        <v>99.606553609238006</v>
      </c>
      <c r="BM227" s="1777">
        <f t="shared" si="90"/>
        <v>83.892188906373974</v>
      </c>
      <c r="BO227" s="1739">
        <f t="shared" si="102"/>
        <v>2026</v>
      </c>
      <c r="BP227" s="1742">
        <f>_xlfn.IFNA(INDEX($AR227:$AX227,MATCH(BO227,$AR$2:$AX$2,0))*12/365*[11]核心假设及结论!$C$70*$H227,0)</f>
        <v>73472.281643835609</v>
      </c>
      <c r="BR227" s="1739">
        <f t="shared" si="107"/>
        <v>2029</v>
      </c>
      <c r="BS227" s="1742">
        <f>_xlfn.IFNA(INDEX($AR227:$AX227,MATCH(BR227,$AR$2:$AX$2,0))*12/365*[11]核心假设及结论!$C$70*$H227,0)</f>
        <v>78640.734236895514</v>
      </c>
      <c r="BU227" s="1739">
        <f t="shared" si="108"/>
        <v>2032</v>
      </c>
      <c r="BV227" s="1742">
        <f>_xlfn.IFNA(INDEX($AR227:$AX227,MATCH(BU227,$AR$2:$AX$2,0))*12/365*[11]核心假设及结论!$C$70*$H227,0)</f>
        <v>0</v>
      </c>
      <c r="BX227" s="1739">
        <f t="shared" si="109"/>
        <v>2035</v>
      </c>
      <c r="BY227" s="1742">
        <f>_xlfn.IFNA(INDEX($AR227:$AX227,MATCH(BX227,$AR$2:$AX$2,0))*12/365*[11]核心假设及结论!$C$70*$H227,0)</f>
        <v>0</v>
      </c>
      <c r="CA227" s="1739">
        <f t="shared" si="110"/>
        <v>2038</v>
      </c>
      <c r="CB227" s="1742">
        <f>_xlfn.IFNA(INDEX($AR227:$AX227,MATCH(CA227,$AR$2:$AX$2,0))*12/365*[11]核心假设及结论!$C$70*$H227,0)</f>
        <v>0</v>
      </c>
    </row>
    <row r="228" spans="1:80" ht="30" customHeight="1">
      <c r="A228" s="1756" t="s">
        <v>1666</v>
      </c>
      <c r="B228" s="1757" t="s">
        <v>2146</v>
      </c>
      <c r="C228" s="1756" t="s">
        <v>2147</v>
      </c>
      <c r="D228" s="1756" t="s">
        <v>1698</v>
      </c>
      <c r="E228" s="1758" t="s">
        <v>1698</v>
      </c>
      <c r="F228" s="1759"/>
      <c r="G228" s="1760" t="s">
        <v>1661</v>
      </c>
      <c r="H228" s="1761">
        <v>170</v>
      </c>
      <c r="I228" s="1761" t="s">
        <v>1913</v>
      </c>
      <c r="J228" s="1773">
        <v>45219</v>
      </c>
      <c r="K228" s="1773">
        <v>46679</v>
      </c>
      <c r="L228" s="1764">
        <f t="shared" si="92"/>
        <v>48</v>
      </c>
      <c r="M228" s="1774">
        <f t="shared" si="103"/>
        <v>106263.6</v>
      </c>
      <c r="N228" s="1775">
        <f t="shared" si="104"/>
        <v>517.08000000000004</v>
      </c>
      <c r="O228" s="1760">
        <v>87903.6</v>
      </c>
      <c r="P228" s="1776">
        <v>0.12</v>
      </c>
      <c r="Q228" s="1783">
        <f t="shared" si="93"/>
        <v>90</v>
      </c>
      <c r="R228" s="1784">
        <v>15300</v>
      </c>
      <c r="S228" s="1777">
        <f t="shared" si="94"/>
        <v>18</v>
      </c>
      <c r="T228" s="1784">
        <v>3060</v>
      </c>
      <c r="U228" s="1777"/>
      <c r="V228" s="1785">
        <v>660929.53888888902</v>
      </c>
      <c r="W228" s="1785">
        <f t="shared" si="95"/>
        <v>3887.8208169934646</v>
      </c>
      <c r="X228" s="1786">
        <f t="shared" si="114"/>
        <v>0.15614917162501024</v>
      </c>
      <c r="Y228" s="1789">
        <f>VLOOKUP(E228,[11]核心假设及结论!$C$25:$E$45,3,0)</f>
        <v>0.2</v>
      </c>
      <c r="Z228" s="1790">
        <f t="shared" si="111"/>
        <v>90489.299999999988</v>
      </c>
      <c r="AA228" s="1790">
        <f t="shared" si="111"/>
        <v>93075</v>
      </c>
      <c r="AB228" s="1790">
        <f t="shared" si="111"/>
        <v>95660.700000000012</v>
      </c>
      <c r="AC228" s="1790">
        <f t="shared" si="111"/>
        <v>0</v>
      </c>
      <c r="AD228" s="1790">
        <f t="shared" si="111"/>
        <v>0</v>
      </c>
      <c r="AE228" s="1790">
        <f t="shared" si="111"/>
        <v>0</v>
      </c>
      <c r="AF228" s="1790">
        <f t="shared" si="111"/>
        <v>0</v>
      </c>
      <c r="AG228" s="1794">
        <v>532.29</v>
      </c>
      <c r="AH228" s="1794">
        <v>547.5</v>
      </c>
      <c r="AI228" s="1794">
        <v>562.71</v>
      </c>
      <c r="AJ228" s="1794">
        <v>0</v>
      </c>
      <c r="AK228" s="1794">
        <v>0</v>
      </c>
      <c r="AL228" s="1794">
        <v>0</v>
      </c>
      <c r="AM228" s="1794">
        <v>0</v>
      </c>
      <c r="AN228" s="1797"/>
      <c r="AO228" s="1797"/>
      <c r="AP228" s="1808">
        <f t="shared" si="105"/>
        <v>0.78074585812505115</v>
      </c>
      <c r="AQ228" s="1812">
        <f>IF(AP228&gt;[11]核心假设及结论!$B$62,[11]核心假设及结论!$D$62,IF(AP228&lt;=[11]核心假设及结论!$B$61,[11]核心假设及结论!$D$60,[11]核心假设及结论!$D$61))</f>
        <v>1.0811176582269599</v>
      </c>
      <c r="AR228" s="1809">
        <f t="shared" si="106"/>
        <v>532.29</v>
      </c>
      <c r="AS228" s="1809">
        <f>AH228*(AS$2&lt;=YEAR($K228))+AR228*$AQ228*(AS$2=YEAR($K228)+1)+INDEX([11]核心假设及结论!$E$17:$E$21,MATCH($D228,[11]核心假设及结论!$B$17:$B$21,0))*(AS$2&gt;YEAR($K228)+1)*AR228</f>
        <v>547.5</v>
      </c>
      <c r="AT228" s="1809">
        <f>AI228*(AT$2&lt;=YEAR($K228))+AS228*$AQ228*(AT$2=YEAR($K228)+1)+INDEX([11]核心假设及结论!$E$17:$E$21,MATCH($D228,[11]核心假设及结论!$B$17:$B$21,0))*(AT$2&gt;YEAR($K228)+1)*AS228</f>
        <v>562.71</v>
      </c>
      <c r="AU228" s="1811">
        <f>AJ228*(AU$2&lt;=YEAR($K228))+AT228*$AQ228*(AU$2=YEAR($K228)+1)+INDEX([11]核心假设及结论!$E$17:$E$21,MATCH($D228,[11]核心假设及结论!$B$17:$B$21,0))*(AU$2&gt;YEAR($K228)+1)*AT228</f>
        <v>608.35571746089261</v>
      </c>
      <c r="AV228" s="1809">
        <f>AK228*(AV$2&lt;=YEAR($K228))+AU228*$AQ228*(AV$2=YEAR($K228)+1)+INDEX([11]核心假设及结论!$E$17:$E$21,MATCH($D228,[11]核心假设及结论!$B$17:$B$21,0))*(AV$2&gt;YEAR($K228)+1)*AU228</f>
        <v>626.98199106797279</v>
      </c>
      <c r="AW228" s="1809">
        <f>AL228*(AW$2&lt;=YEAR($K228))+AV228*$AQ228*(AW$2=YEAR($K228)+1)+INDEX([11]核心假设及结论!$E$17:$E$21,MATCH($D228,[11]核心假设及结论!$B$17:$B$21,0))*(AW$2&gt;YEAR($K228)+1)*AV228</f>
        <v>646.17855284450388</v>
      </c>
      <c r="AX228" s="1809">
        <f>AM228*(AX$2&lt;=YEAR($K228))+AW228*$AQ228*(AX$2=YEAR($K228)+1)+INDEX([11]核心假设及结论!$E$17:$E$21,MATCH($D228,[11]核心假设及结论!$B$17:$B$21,0))*(AX$2&gt;YEAR($K228)+1)*AW228</f>
        <v>665.96286353454445</v>
      </c>
      <c r="AZ228" s="1746">
        <f t="shared" si="96"/>
        <v>46679</v>
      </c>
      <c r="BA228" s="1817">
        <f t="shared" si="97"/>
        <v>45658</v>
      </c>
      <c r="BB228" s="1817">
        <f t="shared" si="98"/>
        <v>45949</v>
      </c>
      <c r="BC228" s="1817">
        <f t="shared" si="99"/>
        <v>46022</v>
      </c>
      <c r="BD228" s="1818">
        <f t="shared" si="100"/>
        <v>292</v>
      </c>
      <c r="BE228" s="1818">
        <f t="shared" si="101"/>
        <v>73</v>
      </c>
      <c r="BG228" s="1777">
        <f t="shared" si="112"/>
        <v>109.20772799999997</v>
      </c>
      <c r="BH228" s="1777">
        <f t="shared" si="91"/>
        <v>112.31056799999999</v>
      </c>
      <c r="BI228" s="1777">
        <f t="shared" si="91"/>
        <v>116.65518527240444</v>
      </c>
      <c r="BJ228" s="1777">
        <f t="shared" si="91"/>
        <v>124.86451832519097</v>
      </c>
      <c r="BK228" s="1777">
        <f t="shared" si="90"/>
        <v>128.68754589834893</v>
      </c>
      <c r="BL228" s="1777">
        <f t="shared" si="90"/>
        <v>132.62762465643246</v>
      </c>
      <c r="BM228" s="1777">
        <f t="shared" si="90"/>
        <v>108.68513932883765</v>
      </c>
      <c r="BO228" s="1739">
        <f t="shared" si="102"/>
        <v>2027</v>
      </c>
      <c r="BP228" s="1742">
        <f>_xlfn.IFNA(INDEX($AR228:$AX228,MATCH(BO228,$AR$2:$AX$2,0))*12/365*[11]核心假设及结论!$C$70*$H228,0)</f>
        <v>94350.27945205479</v>
      </c>
      <c r="BR228" s="1739">
        <f t="shared" si="107"/>
        <v>2031</v>
      </c>
      <c r="BS228" s="1742">
        <f>_xlfn.IFNA(INDEX($AR228:$AX228,MATCH(BR228,$AR$2:$AX$2,0))*12/365*[11]核心假设及结论!$C$70*$H228,0)</f>
        <v>111662.81437894281</v>
      </c>
      <c r="BU228" s="1739">
        <f t="shared" si="108"/>
        <v>2035</v>
      </c>
      <c r="BV228" s="1742">
        <f>_xlfn.IFNA(INDEX($AR228:$AX228,MATCH(BU228,$AR$2:$AX$2,0))*12/365*[11]核心假设及结论!$C$70*$H228,0)</f>
        <v>0</v>
      </c>
      <c r="BX228" s="1739">
        <f t="shared" si="109"/>
        <v>2039</v>
      </c>
      <c r="BY228" s="1742">
        <f>_xlfn.IFNA(INDEX($AR228:$AX228,MATCH(BX228,$AR$2:$AX$2,0))*12/365*[11]核心假设及结论!$C$70*$H228,0)</f>
        <v>0</v>
      </c>
      <c r="CA228" s="1739">
        <f t="shared" si="110"/>
        <v>2043</v>
      </c>
      <c r="CB228" s="1742">
        <f>_xlfn.IFNA(INDEX($AR228:$AX228,MATCH(CA228,$AR$2:$AX$2,0))*12/365*[11]核心假设及结论!$C$70*$H228,0)</f>
        <v>0</v>
      </c>
    </row>
    <row r="229" spans="1:80" ht="30" customHeight="1">
      <c r="A229" s="1756" t="s">
        <v>1687</v>
      </c>
      <c r="B229" s="1757" t="s">
        <v>2148</v>
      </c>
      <c r="C229" s="1756" t="s">
        <v>2149</v>
      </c>
      <c r="D229" s="1756" t="s">
        <v>1685</v>
      </c>
      <c r="E229" s="1758" t="s">
        <v>1721</v>
      </c>
      <c r="F229" s="1759"/>
      <c r="G229" s="1760" t="s">
        <v>1661</v>
      </c>
      <c r="H229" s="1761">
        <v>169</v>
      </c>
      <c r="I229" s="1761" t="s">
        <v>1913</v>
      </c>
      <c r="J229" s="1773">
        <v>45646</v>
      </c>
      <c r="K229" s="1773">
        <v>46703</v>
      </c>
      <c r="L229" s="1764">
        <f t="shared" si="92"/>
        <v>35</v>
      </c>
      <c r="M229" s="1774">
        <f t="shared" si="103"/>
        <v>108232.67</v>
      </c>
      <c r="N229" s="1775">
        <f t="shared" si="104"/>
        <v>527.42999999999995</v>
      </c>
      <c r="O229" s="1760">
        <v>89135.67</v>
      </c>
      <c r="P229" s="1776">
        <v>0.16</v>
      </c>
      <c r="Q229" s="1783">
        <f t="shared" si="93"/>
        <v>95</v>
      </c>
      <c r="R229" s="1784">
        <v>16055</v>
      </c>
      <c r="S229" s="1777">
        <f t="shared" si="94"/>
        <v>18</v>
      </c>
      <c r="T229" s="1784">
        <v>3042</v>
      </c>
      <c r="U229" s="1777"/>
      <c r="V229" s="1785">
        <v>467237.12166666699</v>
      </c>
      <c r="W229" s="1785">
        <f t="shared" si="95"/>
        <v>2764.7166962524675</v>
      </c>
      <c r="X229" s="1786">
        <f t="shared" si="114"/>
        <v>0.22513337473011055</v>
      </c>
      <c r="Y229" s="1789">
        <f>VLOOKUP(E229,[11]核心假设及结论!$C$25:$E$45,3,0)</f>
        <v>0.25</v>
      </c>
      <c r="Z229" s="1790">
        <f t="shared" si="111"/>
        <v>66825.98</v>
      </c>
      <c r="AA229" s="1790">
        <f t="shared" si="111"/>
        <v>71965.27</v>
      </c>
      <c r="AB229" s="1790">
        <f t="shared" si="111"/>
        <v>77106.25</v>
      </c>
      <c r="AC229" s="1790">
        <f t="shared" si="111"/>
        <v>0</v>
      </c>
      <c r="AD229" s="1790">
        <f t="shared" si="111"/>
        <v>0</v>
      </c>
      <c r="AE229" s="1790">
        <f t="shared" si="111"/>
        <v>0</v>
      </c>
      <c r="AF229" s="1790">
        <f t="shared" si="111"/>
        <v>0</v>
      </c>
      <c r="AG229" s="1794">
        <v>395.42</v>
      </c>
      <c r="AH229" s="1794">
        <v>425.83</v>
      </c>
      <c r="AI229" s="1794">
        <v>456.25</v>
      </c>
      <c r="AJ229" s="1794">
        <v>0</v>
      </c>
      <c r="AK229" s="1794">
        <v>0</v>
      </c>
      <c r="AL229" s="1794">
        <v>0</v>
      </c>
      <c r="AM229" s="1794">
        <v>0</v>
      </c>
      <c r="AN229" s="1797"/>
      <c r="AO229" s="1797"/>
      <c r="AP229" s="1808">
        <f t="shared" si="105"/>
        <v>0.90053349892044221</v>
      </c>
      <c r="AQ229" s="1810">
        <f>IF(AP229&gt;[11]核心假设及结论!$B$59,[11]核心假设及结论!$D$59,IF(AP229&lt;=[11]核心假设及结论!$B$58,[11]核心假设及结论!$D$57,[11]核心假设及结论!$D$58))</f>
        <v>1.0342640124442799</v>
      </c>
      <c r="AR229" s="1809">
        <f t="shared" si="106"/>
        <v>395.42</v>
      </c>
      <c r="AS229" s="1809">
        <f>AH229*(AS$2&lt;=YEAR($K229))+AR229*$AQ229*(AS$2=YEAR($K229)+1)+INDEX([11]核心假设及结论!$E$17:$E$21,MATCH($D229,[11]核心假设及结论!$B$17:$B$21,0))*(AS$2&gt;YEAR($K229)+1)*AR229</f>
        <v>425.83</v>
      </c>
      <c r="AT229" s="1809">
        <f>AI229*(AT$2&lt;=YEAR($K229))+AS229*$AQ229*(AT$2=YEAR($K229)+1)+INDEX([11]核心假设及结论!$E$17:$E$21,MATCH($D229,[11]核心假设及结论!$B$17:$B$21,0))*(AT$2&gt;YEAR($K229)+1)*AS229</f>
        <v>456.25</v>
      </c>
      <c r="AU229" s="1811">
        <f>AJ229*(AU$2&lt;=YEAR($K229))+AT229*$AQ229*(AU$2=YEAR($K229)+1)+INDEX([11]核心假设及结论!$E$17:$E$21,MATCH($D229,[11]核心假设及结论!$B$17:$B$21,0))*(AU$2&gt;YEAR($K229)+1)*AT229</f>
        <v>471.88295567770268</v>
      </c>
      <c r="AV229" s="1809">
        <f>AK229*(AV$2&lt;=YEAR($K229))+AU229*$AQ229*(AV$2=YEAR($K229)+1)+INDEX([11]核心假设及结论!$E$17:$E$21,MATCH($D229,[11]核心假设及结论!$B$17:$B$21,0))*(AV$2&gt;YEAR($K229)+1)*AU229</f>
        <v>484.65894651766376</v>
      </c>
      <c r="AW229" s="1809">
        <f>AL229*(AW$2&lt;=YEAR($K229))+AV229*$AQ229*(AW$2=YEAR($K229)+1)+INDEX([11]核心假设及结论!$E$17:$E$21,MATCH($D229,[11]核心假设及结论!$B$17:$B$21,0))*(AW$2&gt;YEAR($K229)+1)*AV229</f>
        <v>497.78084080672983</v>
      </c>
      <c r="AX229" s="1809">
        <f>AM229*(AX$2&lt;=YEAR($K229))+AW229*$AQ229*(AX$2=YEAR($K229)+1)+INDEX([11]核心假设及结论!$E$17:$E$21,MATCH($D229,[11]核心假设及结论!$B$17:$B$21,0))*(AX$2&gt;YEAR($K229)+1)*AW229</f>
        <v>511.25800370472302</v>
      </c>
      <c r="AZ229" s="1746">
        <f t="shared" si="96"/>
        <v>46703</v>
      </c>
      <c r="BA229" s="1817">
        <f t="shared" si="97"/>
        <v>45658</v>
      </c>
      <c r="BB229" s="1817">
        <f t="shared" si="98"/>
        <v>45973</v>
      </c>
      <c r="BC229" s="1817">
        <f t="shared" si="99"/>
        <v>46022</v>
      </c>
      <c r="BD229" s="1818">
        <f t="shared" si="100"/>
        <v>316</v>
      </c>
      <c r="BE229" s="1818">
        <f t="shared" si="101"/>
        <v>49</v>
      </c>
      <c r="BG229" s="1777">
        <f t="shared" si="112"/>
        <v>81.019094498630125</v>
      </c>
      <c r="BH229" s="1777">
        <f t="shared" si="91"/>
        <v>87.186514750684935</v>
      </c>
      <c r="BI229" s="1777">
        <f t="shared" si="91"/>
        <v>92.953110430576615</v>
      </c>
      <c r="BJ229" s="1777">
        <f t="shared" si="91"/>
        <v>96.045692387259649</v>
      </c>
      <c r="BK229" s="1777">
        <f t="shared" si="90"/>
        <v>98.646080622081669</v>
      </c>
      <c r="BL229" s="1777">
        <f t="shared" si="90"/>
        <v>101.31687304478271</v>
      </c>
      <c r="BM229" s="1777">
        <f t="shared" si="90"/>
        <v>89.764018947442267</v>
      </c>
      <c r="BO229" s="1739">
        <f t="shared" si="102"/>
        <v>2027</v>
      </c>
      <c r="BP229" s="1742">
        <f>_xlfn.IFNA(INDEX($AR229:$AX229,MATCH(BO229,$AR$2:$AX$2,0))*12/365*[11]核心假设及结论!$C$70*$H229,0)</f>
        <v>76050</v>
      </c>
      <c r="BR229" s="1739">
        <f t="shared" si="107"/>
        <v>2030</v>
      </c>
      <c r="BS229" s="1742">
        <f>_xlfn.IFNA(INDEX($AR229:$AX229,MATCH(BR229,$AR$2:$AX$2,0))*12/365*[11]核心假设及结论!$C$70*$H229,0)</f>
        <v>82972.565355291619</v>
      </c>
      <c r="BU229" s="1739">
        <f t="shared" si="108"/>
        <v>2033</v>
      </c>
      <c r="BV229" s="1742">
        <f>_xlfn.IFNA(INDEX($AR229:$AX229,MATCH(BU229,$AR$2:$AX$2,0))*12/365*[11]核心假设及结论!$C$70*$H229,0)</f>
        <v>0</v>
      </c>
      <c r="BX229" s="1739">
        <f t="shared" si="109"/>
        <v>2036</v>
      </c>
      <c r="BY229" s="1742">
        <f>_xlfn.IFNA(INDEX($AR229:$AX229,MATCH(BX229,$AR$2:$AX$2,0))*12/365*[11]核心假设及结论!$C$70*$H229,0)</f>
        <v>0</v>
      </c>
      <c r="CA229" s="1739">
        <f t="shared" si="110"/>
        <v>2039</v>
      </c>
      <c r="CB229" s="1742">
        <f>_xlfn.IFNA(INDEX($AR229:$AX229,MATCH(CA229,$AR$2:$AX$2,0))*12/365*[11]核心假设及结论!$C$70*$H229,0)</f>
        <v>0</v>
      </c>
    </row>
    <row r="230" spans="1:80" ht="30" customHeight="1">
      <c r="A230" s="1756" t="s">
        <v>1662</v>
      </c>
      <c r="B230" s="1757" t="s">
        <v>2150</v>
      </c>
      <c r="C230" s="1756" t="s">
        <v>2151</v>
      </c>
      <c r="D230" s="1756" t="s">
        <v>1685</v>
      </c>
      <c r="E230" s="1758" t="s">
        <v>1871</v>
      </c>
      <c r="F230" s="1759"/>
      <c r="G230" s="1760" t="s">
        <v>1661</v>
      </c>
      <c r="H230" s="1761">
        <v>166</v>
      </c>
      <c r="I230" s="1761" t="s">
        <v>1913</v>
      </c>
      <c r="J230" s="1773">
        <v>45381</v>
      </c>
      <c r="K230" s="1773">
        <v>46475</v>
      </c>
      <c r="L230" s="1764">
        <f t="shared" si="92"/>
        <v>36</v>
      </c>
      <c r="M230" s="1774">
        <f t="shared" si="103"/>
        <v>184550.5</v>
      </c>
      <c r="N230" s="1775">
        <f t="shared" si="104"/>
        <v>1003.75</v>
      </c>
      <c r="O230" s="1760">
        <v>166622.5</v>
      </c>
      <c r="P230" s="1776" t="s">
        <v>2152</v>
      </c>
      <c r="Q230" s="1783">
        <f t="shared" si="93"/>
        <v>90</v>
      </c>
      <c r="R230" s="1784">
        <v>14940</v>
      </c>
      <c r="S230" s="1777">
        <f t="shared" si="94"/>
        <v>18</v>
      </c>
      <c r="T230" s="1784">
        <v>2988</v>
      </c>
      <c r="U230" s="1777"/>
      <c r="V230" s="1785">
        <v>1458531.42</v>
      </c>
      <c r="W230" s="1785">
        <f t="shared" si="95"/>
        <v>8786.3338554216862</v>
      </c>
      <c r="X230" s="1786">
        <f t="shared" si="114"/>
        <v>0.12448309135500146</v>
      </c>
      <c r="Y230" s="1789">
        <f>VLOOKUP(E230,[11]核心假设及结论!$C$25:$E$45,3,0)</f>
        <v>0.2</v>
      </c>
      <c r="Z230" s="1790">
        <f t="shared" si="111"/>
        <v>166622.5</v>
      </c>
      <c r="AA230" s="1790">
        <f t="shared" si="111"/>
        <v>169147.36000000002</v>
      </c>
      <c r="AB230" s="1790">
        <f t="shared" si="111"/>
        <v>171672.22</v>
      </c>
      <c r="AC230" s="1790">
        <f t="shared" si="111"/>
        <v>0</v>
      </c>
      <c r="AD230" s="1790">
        <f t="shared" si="111"/>
        <v>0</v>
      </c>
      <c r="AE230" s="1790">
        <f t="shared" si="111"/>
        <v>0</v>
      </c>
      <c r="AF230" s="1790">
        <f t="shared" si="111"/>
        <v>0</v>
      </c>
      <c r="AG230" s="1794">
        <v>1003.75</v>
      </c>
      <c r="AH230" s="1794">
        <v>1018.96</v>
      </c>
      <c r="AI230" s="1794">
        <v>1034.17</v>
      </c>
      <c r="AJ230" s="1794">
        <v>0</v>
      </c>
      <c r="AK230" s="1794">
        <v>0</v>
      </c>
      <c r="AL230" s="1794">
        <v>0</v>
      </c>
      <c r="AM230" s="1794">
        <v>0</v>
      </c>
      <c r="AN230" s="1797"/>
      <c r="AO230" s="1797"/>
      <c r="AP230" s="1808">
        <f t="shared" si="105"/>
        <v>0.62241545677500731</v>
      </c>
      <c r="AQ230" s="1810">
        <f>IF(AP230&gt;[11]核心假设及结论!$B$59,[11]核心假设及结论!$D$59,IF(AP230&lt;=[11]核心假设及结论!$B$58,[11]核心假设及结论!$D$57,[11]核心假设及结论!$D$58))</f>
        <v>1.0342640124442799</v>
      </c>
      <c r="AR230" s="1809">
        <f t="shared" si="106"/>
        <v>1003.75</v>
      </c>
      <c r="AS230" s="1809">
        <f>AH230*(AS$2&lt;=YEAR($K230))+AR230*$AQ230*(AS$2=YEAR($K230)+1)+INDEX([11]核心假设及结论!$E$17:$E$21,MATCH($D230,[11]核心假设及结论!$B$17:$B$21,0))*(AS$2&gt;YEAR($K230)+1)*AR230</f>
        <v>1018.96</v>
      </c>
      <c r="AT230" s="1809">
        <f>AI230*(AT$2&lt;=YEAR($K230))+AS230*$AQ230*(AT$2=YEAR($K230)+1)+INDEX([11]核心假设及结论!$E$17:$E$21,MATCH($D230,[11]核心假设及结论!$B$17:$B$21,0))*(AT$2&gt;YEAR($K230)+1)*AS230</f>
        <v>1034.17</v>
      </c>
      <c r="AU230" s="1811">
        <f>AJ230*(AU$2&lt;=YEAR($K230))+AT230*$AQ230*(AU$2=YEAR($K230)+1)+INDEX([11]核心假设及结论!$E$17:$E$21,MATCH($D230,[11]核心假设及结论!$B$17:$B$21,0))*(AU$2&gt;YEAR($K230)+1)*AT230</f>
        <v>1069.6048137495011</v>
      </c>
      <c r="AV230" s="1809">
        <f>AK230*(AV$2&lt;=YEAR($K230))+AU230*$AQ230*(AV$2=YEAR($K230)+1)+INDEX([11]核心假设及结论!$E$17:$E$21,MATCH($D230,[11]核心假设及结论!$B$17:$B$21,0))*(AV$2&gt;YEAR($K230)+1)*AU230</f>
        <v>1098.5638196606519</v>
      </c>
      <c r="AW230" s="1809">
        <f>AL230*(AW$2&lt;=YEAR($K230))+AV230*$AQ230*(AW$2=YEAR($K230)+1)+INDEX([11]核心假设及结论!$E$17:$E$21,MATCH($D230,[11]核心假设及结论!$B$17:$B$21,0))*(AW$2&gt;YEAR($K230)+1)*AV230</f>
        <v>1128.3068759169225</v>
      </c>
      <c r="AX230" s="1809">
        <f>AM230*(AX$2&lt;=YEAR($K230))+AW230*$AQ230*(AX$2=YEAR($K230)+1)+INDEX([11]核心假设及结论!$E$17:$E$21,MATCH($D230,[11]核心假设及结论!$B$17:$B$21,0))*(AX$2&gt;YEAR($K230)+1)*AW230</f>
        <v>1158.855210282331</v>
      </c>
      <c r="AZ230" s="1746">
        <f t="shared" si="96"/>
        <v>46475</v>
      </c>
      <c r="BA230" s="1817">
        <f t="shared" si="97"/>
        <v>45658</v>
      </c>
      <c r="BB230" s="1817">
        <f t="shared" si="98"/>
        <v>45745</v>
      </c>
      <c r="BC230" s="1817">
        <f t="shared" si="99"/>
        <v>46022</v>
      </c>
      <c r="BD230" s="1818">
        <f t="shared" si="100"/>
        <v>88</v>
      </c>
      <c r="BE230" s="1818">
        <f t="shared" si="101"/>
        <v>277</v>
      </c>
      <c r="BG230" s="1777">
        <f t="shared" si="112"/>
        <v>202.24635195616437</v>
      </c>
      <c r="BH230" s="1777">
        <f t="shared" si="91"/>
        <v>205.2761839561644</v>
      </c>
      <c r="BI230" s="1777">
        <f t="shared" si="91"/>
        <v>211.36347585478211</v>
      </c>
      <c r="BJ230" s="1777">
        <f t="shared" si="91"/>
        <v>217.4431189311413</v>
      </c>
      <c r="BK230" s="1777">
        <f t="shared" si="90"/>
        <v>223.33028069922651</v>
      </c>
      <c r="BL230" s="1777">
        <f t="shared" si="90"/>
        <v>229.37683437565988</v>
      </c>
      <c r="BM230" s="1777">
        <f t="shared" si="90"/>
        <v>55.655529573055219</v>
      </c>
      <c r="BO230" s="1739">
        <f t="shared" si="102"/>
        <v>2027</v>
      </c>
      <c r="BP230" s="1742">
        <f>_xlfn.IFNA(INDEX($AR230:$AX230,MATCH(BO230,$AR$2:$AX$2,0))*12/365*[11]核心假设及结论!$C$70*$H230,0)</f>
        <v>169320.54575342467</v>
      </c>
      <c r="BR230" s="1739">
        <f t="shared" si="107"/>
        <v>2030</v>
      </c>
      <c r="BS230" s="1742">
        <f>_xlfn.IFNA(INDEX($AR230:$AX230,MATCH(BR230,$AR$2:$AX$2,0))*12/365*[11]核心假设及结论!$C$70*$H230,0)</f>
        <v>184733.20247889121</v>
      </c>
      <c r="BU230" s="1739">
        <f t="shared" si="108"/>
        <v>2033</v>
      </c>
      <c r="BV230" s="1742">
        <f>_xlfn.IFNA(INDEX($AR230:$AX230,MATCH(BU230,$AR$2:$AX$2,0))*12/365*[11]核心假设及结论!$C$70*$H230,0)</f>
        <v>0</v>
      </c>
      <c r="BX230" s="1739">
        <f t="shared" si="109"/>
        <v>2036</v>
      </c>
      <c r="BY230" s="1742">
        <f>_xlfn.IFNA(INDEX($AR230:$AX230,MATCH(BX230,$AR$2:$AX$2,0))*12/365*[11]核心假设及结论!$C$70*$H230,0)</f>
        <v>0</v>
      </c>
      <c r="CA230" s="1739">
        <f t="shared" si="110"/>
        <v>2039</v>
      </c>
      <c r="CB230" s="1742">
        <f>_xlfn.IFNA(INDEX($AR230:$AX230,MATCH(CA230,$AR$2:$AX$2,0))*12/365*[11]核心假设及结论!$C$70*$H230,0)</f>
        <v>0</v>
      </c>
    </row>
    <row r="231" spans="1:80" ht="30" customHeight="1">
      <c r="A231" s="1756" t="s">
        <v>1687</v>
      </c>
      <c r="B231" s="1757" t="s">
        <v>2153</v>
      </c>
      <c r="C231" s="1756" t="s">
        <v>2154</v>
      </c>
      <c r="D231" s="1756" t="s">
        <v>1685</v>
      </c>
      <c r="E231" s="1758" t="s">
        <v>1709</v>
      </c>
      <c r="F231" s="1759"/>
      <c r="G231" s="1760" t="s">
        <v>1661</v>
      </c>
      <c r="H231" s="1761">
        <v>166</v>
      </c>
      <c r="I231" s="1761" t="s">
        <v>1913</v>
      </c>
      <c r="J231" s="1773">
        <v>45474</v>
      </c>
      <c r="K231" s="1773">
        <v>46203</v>
      </c>
      <c r="L231" s="1764">
        <f t="shared" si="92"/>
        <v>24</v>
      </c>
      <c r="M231" s="1774">
        <f t="shared" si="103"/>
        <v>127315.36</v>
      </c>
      <c r="N231" s="1775">
        <f t="shared" si="104"/>
        <v>653.96</v>
      </c>
      <c r="O231" s="1760">
        <v>108557.36</v>
      </c>
      <c r="P231" s="1776">
        <v>0.14000000000000001</v>
      </c>
      <c r="Q231" s="1783">
        <f t="shared" si="93"/>
        <v>95</v>
      </c>
      <c r="R231" s="1784">
        <v>15770</v>
      </c>
      <c r="S231" s="1777">
        <f t="shared" si="94"/>
        <v>18</v>
      </c>
      <c r="T231" s="1777">
        <v>2988</v>
      </c>
      <c r="U231" s="1777"/>
      <c r="V231" s="1785">
        <v>428601.57583333302</v>
      </c>
      <c r="W231" s="1785">
        <f t="shared" si="95"/>
        <v>2581.9372038152592</v>
      </c>
      <c r="X231" s="1786">
        <f t="shared" si="114"/>
        <v>0.29007676828595286</v>
      </c>
      <c r="Y231" s="1789">
        <f>VLOOKUP(E231,[11]核心假设及结论!$C$25:$E$45,3,0)</f>
        <v>0.2</v>
      </c>
      <c r="Z231" s="1790">
        <f t="shared" si="111"/>
        <v>108557.36</v>
      </c>
      <c r="AA231" s="1790">
        <f t="shared" si="111"/>
        <v>111082.21999999999</v>
      </c>
      <c r="AB231" s="1790">
        <f t="shared" si="111"/>
        <v>0</v>
      </c>
      <c r="AC231" s="1790">
        <f t="shared" si="111"/>
        <v>0</v>
      </c>
      <c r="AD231" s="1790">
        <f t="shared" si="111"/>
        <v>0</v>
      </c>
      <c r="AE231" s="1790">
        <f t="shared" si="111"/>
        <v>0</v>
      </c>
      <c r="AF231" s="1790">
        <f t="shared" si="111"/>
        <v>0</v>
      </c>
      <c r="AG231" s="1794">
        <v>653.96</v>
      </c>
      <c r="AH231" s="1794">
        <v>669.17</v>
      </c>
      <c r="AI231" s="1794">
        <v>0</v>
      </c>
      <c r="AJ231" s="1794">
        <v>0</v>
      </c>
      <c r="AK231" s="1794">
        <v>0</v>
      </c>
      <c r="AL231" s="1794">
        <v>0</v>
      </c>
      <c r="AM231" s="1794">
        <v>0</v>
      </c>
      <c r="AN231" s="1795"/>
      <c r="AO231" s="1795"/>
      <c r="AP231" s="1808">
        <f t="shared" si="105"/>
        <v>1.4503838414297643</v>
      </c>
      <c r="AQ231" s="1810">
        <f>IF(AP231&gt;[11]核心假设及结论!$B$59,[11]核心假设及结论!$D$59,IF(AP231&lt;=[11]核心假设及结论!$B$58,[11]核心假设及结论!$D$57,[11]核心假设及结论!$D$58))</f>
        <v>1.0069999999999999</v>
      </c>
      <c r="AR231" s="1809">
        <f t="shared" si="106"/>
        <v>653.96</v>
      </c>
      <c r="AS231" s="1809">
        <f>AH231*(AS$2&lt;=YEAR($K231))+AR231*$AQ231*(AS$2=YEAR($K231)+1)+INDEX([11]核心假设及结论!$E$17:$E$21,MATCH($D231,[11]核心假设及结论!$B$17:$B$21,0))*(AS$2&gt;YEAR($K231)+1)*AR231</f>
        <v>669.17</v>
      </c>
      <c r="AT231" s="1811">
        <f>AI231*(AT$2&lt;=YEAR($K231))+AS231*$AQ231*(AT$2=YEAR($K231)+1)+INDEX([11]核心假设及结论!$E$17:$E$21,MATCH($D231,[11]核心假设及结论!$B$17:$B$21,0))*(AT$2&gt;YEAR($K231)+1)*AS231</f>
        <v>673.8541899999999</v>
      </c>
      <c r="AU231" s="1809">
        <f>AJ231*(AU$2&lt;=YEAR($K231))+AT231*$AQ231*(AU$2=YEAR($K231)+1)+INDEX([11]核心假设及结论!$E$17:$E$21,MATCH($D231,[11]核心假设及结论!$B$17:$B$21,0))*(AU$2&gt;YEAR($K231)+1)*AT231</f>
        <v>692.09844920733917</v>
      </c>
      <c r="AV231" s="1809">
        <f>AK231*(AV$2&lt;=YEAR($K231))+AU231*$AQ231*(AV$2=YEAR($K231)+1)+INDEX([11]核心假设及结论!$E$17:$E$21,MATCH($D231,[11]核心假设及结论!$B$17:$B$21,0))*(AV$2&gt;YEAR($K231)+1)*AU231</f>
        <v>710.83666244652113</v>
      </c>
      <c r="AW231" s="1809">
        <f>AL231*(AW$2&lt;=YEAR($K231))+AV231*$AQ231*(AW$2=YEAR($K231)+1)+INDEX([11]核心假设及结论!$E$17:$E$21,MATCH($D231,[11]核心假设及结论!$B$17:$B$21,0))*(AW$2&gt;YEAR($K231)+1)*AV231</f>
        <v>730.0822032715389</v>
      </c>
      <c r="AX231" s="1809">
        <f>AM231*(AX$2&lt;=YEAR($K231))+AW231*$AQ231*(AX$2=YEAR($K231)+1)+INDEX([11]核心假设及结论!$E$17:$E$21,MATCH($D231,[11]核心假设及结论!$B$17:$B$21,0))*(AX$2&gt;YEAR($K231)+1)*AW231</f>
        <v>749.84880731855287</v>
      </c>
      <c r="AZ231" s="1746">
        <f t="shared" si="96"/>
        <v>46203</v>
      </c>
      <c r="BA231" s="1817">
        <f t="shared" si="97"/>
        <v>45658</v>
      </c>
      <c r="BB231" s="1817">
        <f t="shared" si="98"/>
        <v>45838</v>
      </c>
      <c r="BC231" s="1817">
        <f t="shared" si="99"/>
        <v>46022</v>
      </c>
      <c r="BD231" s="1818">
        <f t="shared" si="100"/>
        <v>181</v>
      </c>
      <c r="BE231" s="1818">
        <f t="shared" si="101"/>
        <v>184</v>
      </c>
      <c r="BG231" s="1777">
        <f t="shared" si="112"/>
        <v>131.79619936438357</v>
      </c>
      <c r="BH231" s="1777">
        <f t="shared" si="91"/>
        <v>133.76904394310137</v>
      </c>
      <c r="BI231" s="1777">
        <f t="shared" si="91"/>
        <v>136.06381816546511</v>
      </c>
      <c r="BJ231" s="1777">
        <f t="shared" si="91"/>
        <v>139.74767678679535</v>
      </c>
      <c r="BK231" s="1777">
        <f t="shared" si="90"/>
        <v>143.53127400524073</v>
      </c>
      <c r="BL231" s="1777">
        <f t="shared" si="90"/>
        <v>147.41731019255189</v>
      </c>
      <c r="BM231" s="1777">
        <f t="shared" si="90"/>
        <v>74.071092377073668</v>
      </c>
      <c r="BO231" s="1739">
        <f t="shared" si="102"/>
        <v>2026</v>
      </c>
      <c r="BP231" s="1742">
        <f>_xlfn.IFNA(INDEX($AR231:$AX231,MATCH(BO231,$AR$2:$AX$2,0))*12/365*[11]核心假设及结论!$C$70*$H231,0)</f>
        <v>109560.54575342464</v>
      </c>
      <c r="BR231" s="1739">
        <f t="shared" si="107"/>
        <v>2028</v>
      </c>
      <c r="BS231" s="1742">
        <f>_xlfn.IFNA(INDEX($AR231:$AX231,MATCH(BR231,$AR$2:$AX$2,0))*12/365*[11]核心假设及结论!$C$70*$H231,0)</f>
        <v>113314.52965652215</v>
      </c>
      <c r="BU231" s="1739">
        <f t="shared" si="108"/>
        <v>2030</v>
      </c>
      <c r="BV231" s="1742">
        <f>_xlfn.IFNA(INDEX($AR231:$AX231,MATCH(BU231,$AR$2:$AX$2,0))*12/365*[11]核心假设及结论!$C$70*$H231,0)</f>
        <v>119533.45881508812</v>
      </c>
      <c r="BX231" s="1739">
        <f t="shared" si="109"/>
        <v>2032</v>
      </c>
      <c r="BY231" s="1742">
        <f>_xlfn.IFNA(INDEX($AR231:$AX231,MATCH(BX231,$AR$2:$AX$2,0))*12/365*[11]核心假设及结论!$C$70*$H231,0)</f>
        <v>0</v>
      </c>
      <c r="CA231" s="1739">
        <f t="shared" si="110"/>
        <v>2034</v>
      </c>
      <c r="CB231" s="1742">
        <f>_xlfn.IFNA(INDEX($AR231:$AX231,MATCH(CA231,$AR$2:$AX$2,0))*12/365*[11]核心假设及结论!$C$70*$H231,0)</f>
        <v>0</v>
      </c>
    </row>
    <row r="232" spans="1:80" ht="30" customHeight="1">
      <c r="A232" s="1756" t="s">
        <v>1666</v>
      </c>
      <c r="B232" s="1757" t="s">
        <v>2155</v>
      </c>
      <c r="C232" s="1756" t="s">
        <v>2156</v>
      </c>
      <c r="D232" s="1756" t="s">
        <v>1698</v>
      </c>
      <c r="E232" s="1758" t="s">
        <v>1698</v>
      </c>
      <c r="F232" s="1759"/>
      <c r="G232" s="1760" t="s">
        <v>1661</v>
      </c>
      <c r="H232" s="1761">
        <v>166</v>
      </c>
      <c r="I232" s="1761" t="s">
        <v>1913</v>
      </c>
      <c r="J232" s="1773">
        <v>45251</v>
      </c>
      <c r="K232" s="1773">
        <v>46711</v>
      </c>
      <c r="L232" s="1764">
        <f t="shared" si="92"/>
        <v>48</v>
      </c>
      <c r="M232" s="1774">
        <f t="shared" si="103"/>
        <v>103763.28</v>
      </c>
      <c r="N232" s="1775">
        <f t="shared" si="104"/>
        <v>517.08000000000004</v>
      </c>
      <c r="O232" s="1760">
        <v>85835.28</v>
      </c>
      <c r="P232" s="1776">
        <v>0.12</v>
      </c>
      <c r="Q232" s="1783">
        <f t="shared" si="93"/>
        <v>90</v>
      </c>
      <c r="R232" s="1784">
        <v>14940</v>
      </c>
      <c r="S232" s="1777">
        <f t="shared" si="94"/>
        <v>18</v>
      </c>
      <c r="T232" s="1784">
        <v>2988</v>
      </c>
      <c r="U232" s="1777"/>
      <c r="V232" s="1785">
        <v>809439.65</v>
      </c>
      <c r="W232" s="1785">
        <f t="shared" si="95"/>
        <v>4876.1424698795181</v>
      </c>
      <c r="X232" s="1786">
        <f t="shared" si="114"/>
        <v>0.12450005383353782</v>
      </c>
      <c r="Y232" s="1789">
        <f>VLOOKUP(E232,[11]核心假设及结论!$C$25:$E$45,3,0)</f>
        <v>0.2</v>
      </c>
      <c r="Z232" s="1790">
        <f t="shared" si="111"/>
        <v>88360.14</v>
      </c>
      <c r="AA232" s="1790">
        <f t="shared" si="111"/>
        <v>90885</v>
      </c>
      <c r="AB232" s="1790">
        <f t="shared" si="111"/>
        <v>93409.86</v>
      </c>
      <c r="AC232" s="1790">
        <f t="shared" si="111"/>
        <v>0</v>
      </c>
      <c r="AD232" s="1790">
        <f t="shared" si="111"/>
        <v>0</v>
      </c>
      <c r="AE232" s="1790">
        <f t="shared" si="111"/>
        <v>0</v>
      </c>
      <c r="AF232" s="1790">
        <f t="shared" si="111"/>
        <v>0</v>
      </c>
      <c r="AG232" s="1794">
        <v>532.29</v>
      </c>
      <c r="AH232" s="1794">
        <v>547.5</v>
      </c>
      <c r="AI232" s="1794">
        <v>562.71</v>
      </c>
      <c r="AJ232" s="1794">
        <v>0</v>
      </c>
      <c r="AK232" s="1794">
        <v>0</v>
      </c>
      <c r="AL232" s="1794">
        <v>0</v>
      </c>
      <c r="AM232" s="1794">
        <v>0</v>
      </c>
      <c r="AN232" s="1797"/>
      <c r="AO232" s="1797"/>
      <c r="AP232" s="1808">
        <f t="shared" si="105"/>
        <v>0.62250026916768908</v>
      </c>
      <c r="AQ232" s="1812">
        <f>IF(AP232&gt;[11]核心假设及结论!$B$62,[11]核心假设及结论!$D$62,IF(AP232&lt;=[11]核心假设及结论!$B$61,[11]核心假设及结论!$D$60,[11]核心假设及结论!$D$61))</f>
        <v>1.0811176582269599</v>
      </c>
      <c r="AR232" s="1809">
        <f t="shared" si="106"/>
        <v>532.29</v>
      </c>
      <c r="AS232" s="1809">
        <f>AH232*(AS$2&lt;=YEAR($K232))+AR232*$AQ232*(AS$2=YEAR($K232)+1)+INDEX([11]核心假设及结论!$E$17:$E$21,MATCH($D232,[11]核心假设及结论!$B$17:$B$21,0))*(AS$2&gt;YEAR($K232)+1)*AR232</f>
        <v>547.5</v>
      </c>
      <c r="AT232" s="1809">
        <f>AI232*(AT$2&lt;=YEAR($K232))+AS232*$AQ232*(AT$2=YEAR($K232)+1)+INDEX([11]核心假设及结论!$E$17:$E$21,MATCH($D232,[11]核心假设及结论!$B$17:$B$21,0))*(AT$2&gt;YEAR($K232)+1)*AS232</f>
        <v>562.71</v>
      </c>
      <c r="AU232" s="1811">
        <f>AJ232*(AU$2&lt;=YEAR($K232))+AT232*$AQ232*(AU$2=YEAR($K232)+1)+INDEX([11]核心假设及结论!$E$17:$E$21,MATCH($D232,[11]核心假设及结论!$B$17:$B$21,0))*(AU$2&gt;YEAR($K232)+1)*AT232</f>
        <v>608.35571746089261</v>
      </c>
      <c r="AV232" s="1809">
        <f>AK232*(AV$2&lt;=YEAR($K232))+AU232*$AQ232*(AV$2=YEAR($K232)+1)+INDEX([11]核心假设及结论!$E$17:$E$21,MATCH($D232,[11]核心假设及结论!$B$17:$B$21,0))*(AV$2&gt;YEAR($K232)+1)*AU232</f>
        <v>626.98199106797279</v>
      </c>
      <c r="AW232" s="1809">
        <f>AL232*(AW$2&lt;=YEAR($K232))+AV232*$AQ232*(AW$2=YEAR($K232)+1)+INDEX([11]核心假设及结论!$E$17:$E$21,MATCH($D232,[11]核心假设及结论!$B$17:$B$21,0))*(AW$2&gt;YEAR($K232)+1)*AV232</f>
        <v>646.17855284450388</v>
      </c>
      <c r="AX232" s="1809">
        <f>AM232*(AX$2&lt;=YEAR($K232))+AW232*$AQ232*(AX$2=YEAR($K232)+1)+INDEX([11]核心假设及结论!$E$17:$E$21,MATCH($D232,[11]核心假设及结论!$B$17:$B$21,0))*(AX$2&gt;YEAR($K232)+1)*AW232</f>
        <v>665.96286353454445</v>
      </c>
      <c r="AZ232" s="1746">
        <f t="shared" si="96"/>
        <v>46711</v>
      </c>
      <c r="BA232" s="1817">
        <f t="shared" si="97"/>
        <v>45658</v>
      </c>
      <c r="BB232" s="1817">
        <f t="shared" si="98"/>
        <v>45981</v>
      </c>
      <c r="BC232" s="1817">
        <f t="shared" si="99"/>
        <v>46022</v>
      </c>
      <c r="BD232" s="1818">
        <f t="shared" si="100"/>
        <v>324</v>
      </c>
      <c r="BE232" s="1818">
        <f t="shared" si="101"/>
        <v>41</v>
      </c>
      <c r="BG232" s="1777">
        <f t="shared" si="112"/>
        <v>106.3725052931507</v>
      </c>
      <c r="BH232" s="1777">
        <f t="shared" si="91"/>
        <v>109.40233729315069</v>
      </c>
      <c r="BI232" s="1777">
        <f t="shared" si="91"/>
        <v>113.11319557163452</v>
      </c>
      <c r="BJ232" s="1777">
        <f t="shared" si="91"/>
        <v>121.60123837520638</v>
      </c>
      <c r="BK232" s="1777">
        <f t="shared" si="90"/>
        <v>125.32435278331906</v>
      </c>
      <c r="BL232" s="1777">
        <f t="shared" si="90"/>
        <v>129.16145929448192</v>
      </c>
      <c r="BM232" s="1777">
        <f t="shared" si="90"/>
        <v>117.75829036386392</v>
      </c>
      <c r="BO232" s="1739">
        <f t="shared" si="102"/>
        <v>2027</v>
      </c>
      <c r="BP232" s="1742">
        <f>_xlfn.IFNA(INDEX($AR232:$AX232,MATCH(BO232,$AR$2:$AX$2,0))*12/365*[11]核心假设及结论!$C$70*$H232,0)</f>
        <v>92130.272876712319</v>
      </c>
      <c r="BR232" s="1739">
        <f t="shared" si="107"/>
        <v>2031</v>
      </c>
      <c r="BS232" s="1742">
        <f>_xlfn.IFNA(INDEX($AR232:$AX232,MATCH(BR232,$AR$2:$AX$2,0))*12/365*[11]核心假设及结论!$C$70*$H232,0)</f>
        <v>109035.45404061474</v>
      </c>
      <c r="BU232" s="1739">
        <f t="shared" si="108"/>
        <v>2035</v>
      </c>
      <c r="BV232" s="1742">
        <f>_xlfn.IFNA(INDEX($AR232:$AX232,MATCH(BU232,$AR$2:$AX$2,0))*12/365*[11]核心假设及结论!$C$70*$H232,0)</f>
        <v>0</v>
      </c>
      <c r="BX232" s="1739">
        <f t="shared" si="109"/>
        <v>2039</v>
      </c>
      <c r="BY232" s="1742">
        <f>_xlfn.IFNA(INDEX($AR232:$AX232,MATCH(BX232,$AR$2:$AX$2,0))*12/365*[11]核心假设及结论!$C$70*$H232,0)</f>
        <v>0</v>
      </c>
      <c r="CA232" s="1739">
        <f t="shared" si="110"/>
        <v>2043</v>
      </c>
      <c r="CB232" s="1742">
        <f>_xlfn.IFNA(INDEX($AR232:$AX232,MATCH(CA232,$AR$2:$AX$2,0))*12/365*[11]核心假设及结论!$C$70*$H232,0)</f>
        <v>0</v>
      </c>
    </row>
    <row r="233" spans="1:80" ht="30" customHeight="1">
      <c r="A233" s="1756" t="s">
        <v>1666</v>
      </c>
      <c r="B233" s="1757" t="s">
        <v>2157</v>
      </c>
      <c r="C233" s="1756" t="s">
        <v>2158</v>
      </c>
      <c r="D233" s="1756" t="s">
        <v>1685</v>
      </c>
      <c r="E233" s="1758" t="s">
        <v>1692</v>
      </c>
      <c r="F233" s="1759"/>
      <c r="G233" s="1760" t="s">
        <v>1661</v>
      </c>
      <c r="H233" s="1761">
        <v>165</v>
      </c>
      <c r="I233" s="1761" t="s">
        <v>1913</v>
      </c>
      <c r="J233" s="1773">
        <v>44640</v>
      </c>
      <c r="K233" s="1773">
        <v>45735</v>
      </c>
      <c r="L233" s="1764">
        <f t="shared" si="92"/>
        <v>36</v>
      </c>
      <c r="M233" s="1774">
        <f t="shared" si="103"/>
        <v>144371.25862500002</v>
      </c>
      <c r="N233" s="1775">
        <f t="shared" si="104"/>
        <v>760.43</v>
      </c>
      <c r="O233" s="1760">
        <v>125470.95</v>
      </c>
      <c r="P233" s="1776">
        <v>0.16</v>
      </c>
      <c r="Q233" s="1783">
        <f t="shared" si="93"/>
        <v>95</v>
      </c>
      <c r="R233" s="1784">
        <v>15675</v>
      </c>
      <c r="S233" s="1777">
        <f t="shared" si="94"/>
        <v>19.547325000000001</v>
      </c>
      <c r="T233" s="1777">
        <v>3225.3086250000001</v>
      </c>
      <c r="U233" s="1777"/>
      <c r="V233" s="1785">
        <v>380890.83333333302</v>
      </c>
      <c r="W233" s="1785">
        <f t="shared" si="95"/>
        <v>2308.429292929291</v>
      </c>
      <c r="X233" s="1786">
        <f t="shared" si="114"/>
        <v>0.37056798864066504</v>
      </c>
      <c r="Y233" s="1789">
        <f>VLOOKUP(E233,[11]核心假设及结论!$C$25:$E$45,3,0)</f>
        <v>0.2</v>
      </c>
      <c r="Z233" s="1790">
        <f t="shared" si="111"/>
        <v>125470.95</v>
      </c>
      <c r="AA233" s="1790">
        <f t="shared" si="111"/>
        <v>0</v>
      </c>
      <c r="AB233" s="1790">
        <f t="shared" si="111"/>
        <v>0</v>
      </c>
      <c r="AC233" s="1790">
        <f t="shared" si="111"/>
        <v>0</v>
      </c>
      <c r="AD233" s="1790">
        <f t="shared" si="111"/>
        <v>0</v>
      </c>
      <c r="AE233" s="1790">
        <f t="shared" si="111"/>
        <v>0</v>
      </c>
      <c r="AF233" s="1790">
        <f t="shared" si="111"/>
        <v>0</v>
      </c>
      <c r="AG233" s="1794">
        <v>760.43</v>
      </c>
      <c r="AH233" s="1794">
        <v>0</v>
      </c>
      <c r="AI233" s="1794">
        <v>0</v>
      </c>
      <c r="AJ233" s="1794">
        <v>0</v>
      </c>
      <c r="AK233" s="1794">
        <v>0</v>
      </c>
      <c r="AL233" s="1794">
        <v>0</v>
      </c>
      <c r="AM233" s="1794">
        <v>0</v>
      </c>
      <c r="AN233" s="1795"/>
      <c r="AO233" s="1795"/>
      <c r="AP233" s="1808">
        <f t="shared" si="105"/>
        <v>1.8528399432033251</v>
      </c>
      <c r="AQ233" s="1810">
        <f>IF(AP233&gt;[11]核心假设及结论!$B$59,[11]核心假设及结论!$D$59,IF(AP233&lt;=[11]核心假设及结论!$B$58,[11]核心假设及结论!$D$57,[11]核心假设及结论!$D$58))</f>
        <v>1</v>
      </c>
      <c r="AR233" s="1809">
        <f t="shared" si="106"/>
        <v>760.43</v>
      </c>
      <c r="AS233" s="1811">
        <f>AH233*(AS$2&lt;=YEAR($K233))+AR233*$AQ233*(AS$2=YEAR($K233)+1)+INDEX([11]核心假设及结论!$E$17:$E$21,MATCH($D233,[11]核心假设及结论!$B$17:$B$21,0))*(AS$2&gt;YEAR($K233)+1)*AR233</f>
        <v>760.43</v>
      </c>
      <c r="AT233" s="1809">
        <f>AI233*(AT$2&lt;=YEAR($K233))+AS233*$AQ233*(AT$2=YEAR($K233)+1)+INDEX([11]核心假设及结论!$E$17:$E$21,MATCH($D233,[11]核心假设及结论!$B$17:$B$21,0))*(AT$2&gt;YEAR($K233)+1)*AS233</f>
        <v>781.01825519662793</v>
      </c>
      <c r="AU233" s="1809">
        <f>AJ233*(AU$2&lt;=YEAR($K233))+AT233*$AQ233*(AU$2=YEAR($K233)+1)+INDEX([11]核心假设及结论!$E$17:$E$21,MATCH($D233,[11]核心假设及结论!$B$17:$B$21,0))*(AU$2&gt;YEAR($K233)+1)*AT233</f>
        <v>802.16392692343152</v>
      </c>
      <c r="AV233" s="1809">
        <f>AK233*(AV$2&lt;=YEAR($K233))+AU233*$AQ233*(AV$2=YEAR($K233)+1)+INDEX([11]核心假设及结论!$E$17:$E$21,MATCH($D233,[11]核心假设及结论!$B$17:$B$21,0))*(AV$2&gt;YEAR($K233)+1)*AU233</f>
        <v>823.8821069492443</v>
      </c>
      <c r="AW233" s="1809">
        <f>AL233*(AW$2&lt;=YEAR($K233))+AV233*$AQ233*(AW$2=YEAR($K233)+1)+INDEX([11]核心假设及结论!$E$17:$E$21,MATCH($D233,[11]核心假设及结论!$B$17:$B$21,0))*(AW$2&gt;YEAR($K233)+1)*AV233</f>
        <v>846.18829564485929</v>
      </c>
      <c r="AX233" s="1809">
        <f>AM233*(AX$2&lt;=YEAR($K233))+AW233*$AQ233*(AX$2=YEAR($K233)+1)+INDEX([11]核心假设及结论!$E$17:$E$21,MATCH($D233,[11]核心假设及结论!$B$17:$B$21,0))*(AX$2&gt;YEAR($K233)+1)*AW233</f>
        <v>869.09841304571933</v>
      </c>
      <c r="AZ233" s="1746">
        <f t="shared" si="96"/>
        <v>45735</v>
      </c>
      <c r="BA233" s="1817">
        <f t="shared" si="97"/>
        <v>45658</v>
      </c>
      <c r="BB233" s="1817">
        <f t="shared" si="98"/>
        <v>45735</v>
      </c>
      <c r="BC233" s="1817">
        <f t="shared" si="99"/>
        <v>46022</v>
      </c>
      <c r="BD233" s="1818">
        <f t="shared" si="100"/>
        <v>78</v>
      </c>
      <c r="BE233" s="1818">
        <f t="shared" si="101"/>
        <v>287</v>
      </c>
      <c r="BG233" s="1777">
        <f t="shared" si="112"/>
        <v>150.56513999999999</v>
      </c>
      <c r="BH233" s="1777">
        <f t="shared" si="91"/>
        <v>153.77047750631118</v>
      </c>
      <c r="BI233" s="1777">
        <f t="shared" si="91"/>
        <v>157.93373491673324</v>
      </c>
      <c r="BJ233" s="1777">
        <f t="shared" si="91"/>
        <v>162.2097104024746</v>
      </c>
      <c r="BK233" s="1777">
        <f t="shared" si="90"/>
        <v>166.60145574805179</v>
      </c>
      <c r="BL233" s="1777">
        <f t="shared" si="90"/>
        <v>171.11210536349384</v>
      </c>
      <c r="BM233" s="1777">
        <f t="shared" si="90"/>
        <v>36.773577783775593</v>
      </c>
      <c r="BO233" s="1739">
        <f t="shared" si="102"/>
        <v>2025</v>
      </c>
      <c r="BP233" s="1742">
        <f>_xlfn.IFNA(INDEX($AR233:$AX233,MATCH(BO233,$AR$2:$AX$2,0))*12/365*[11]核心假设及结论!$C$70*$H233,0)</f>
        <v>123752.1698630137</v>
      </c>
      <c r="BR233" s="1739">
        <f t="shared" si="107"/>
        <v>2028</v>
      </c>
      <c r="BS233" s="1742">
        <f>_xlfn.IFNA(INDEX($AR233:$AX233,MATCH(BR233,$AR$2:$AX$2,0))*12/365*[11]核心假设及结论!$C$70*$H233,0)</f>
        <v>130543.93769658035</v>
      </c>
      <c r="BU233" s="1739">
        <f t="shared" si="108"/>
        <v>2031</v>
      </c>
      <c r="BV233" s="1742">
        <f>_xlfn.IFNA(INDEX($AR233:$AX233,MATCH(BU233,$AR$2:$AX$2,0))*12/365*[11]核心假设及结论!$C$70*$H233,0)</f>
        <v>141436.83762990611</v>
      </c>
      <c r="BX233" s="1739">
        <f t="shared" si="109"/>
        <v>2034</v>
      </c>
      <c r="BY233" s="1742">
        <f>_xlfn.IFNA(INDEX($AR233:$AX233,MATCH(BX233,$AR$2:$AX$2,0))*12/365*[11]核心假设及结论!$C$70*$H233,0)</f>
        <v>0</v>
      </c>
      <c r="CA233" s="1739">
        <f t="shared" si="110"/>
        <v>2037</v>
      </c>
      <c r="CB233" s="1742">
        <f>_xlfn.IFNA(INDEX($AR233:$AX233,MATCH(CA233,$AR$2:$AX$2,0))*12/365*[11]核心假设及结论!$C$70*$H233,0)</f>
        <v>0</v>
      </c>
    </row>
    <row r="234" spans="1:80" ht="30" customHeight="1">
      <c r="A234" s="1756" t="s">
        <v>1666</v>
      </c>
      <c r="B234" s="1757" t="s">
        <v>2159</v>
      </c>
      <c r="C234" s="1756" t="s">
        <v>2160</v>
      </c>
      <c r="D234" s="1756" t="s">
        <v>1685</v>
      </c>
      <c r="E234" s="1758" t="s">
        <v>1692</v>
      </c>
      <c r="F234" s="1759"/>
      <c r="G234" s="1760" t="s">
        <v>1661</v>
      </c>
      <c r="H234" s="1761">
        <v>165</v>
      </c>
      <c r="I234" s="1761" t="s">
        <v>1913</v>
      </c>
      <c r="J234" s="1773">
        <v>45190</v>
      </c>
      <c r="K234" s="1773">
        <v>46285</v>
      </c>
      <c r="L234" s="1764">
        <f t="shared" si="92"/>
        <v>36</v>
      </c>
      <c r="M234" s="1774">
        <f t="shared" si="103"/>
        <v>119019.45</v>
      </c>
      <c r="N234" s="1775">
        <f t="shared" si="104"/>
        <v>608.32999999999993</v>
      </c>
      <c r="O234" s="1760">
        <v>100374.45</v>
      </c>
      <c r="P234" s="1776">
        <v>0.16002</v>
      </c>
      <c r="Q234" s="1783">
        <f t="shared" si="93"/>
        <v>95</v>
      </c>
      <c r="R234" s="1784">
        <v>15675</v>
      </c>
      <c r="S234" s="1777">
        <f t="shared" si="94"/>
        <v>18</v>
      </c>
      <c r="T234" s="1777">
        <v>2970</v>
      </c>
      <c r="U234" s="1777"/>
      <c r="V234" s="1785">
        <v>259462.44083333301</v>
      </c>
      <c r="W234" s="1785">
        <f t="shared" si="95"/>
        <v>1572.4996414141394</v>
      </c>
      <c r="X234" s="1786">
        <f>(N234+Q234+S234)*H234/V234</f>
        <v>0.45871552590709158</v>
      </c>
      <c r="Y234" s="1789">
        <f>VLOOKUP(E234,[11]核心假设及结论!$C$25:$E$45,3,0)</f>
        <v>0.2</v>
      </c>
      <c r="Z234" s="1790">
        <f t="shared" si="111"/>
        <v>103385.70000000001</v>
      </c>
      <c r="AA234" s="1790">
        <f t="shared" si="111"/>
        <v>106396.95000000001</v>
      </c>
      <c r="AB234" s="1790">
        <f t="shared" si="111"/>
        <v>0</v>
      </c>
      <c r="AC234" s="1790">
        <f t="shared" si="111"/>
        <v>0</v>
      </c>
      <c r="AD234" s="1790">
        <f t="shared" si="111"/>
        <v>0</v>
      </c>
      <c r="AE234" s="1790">
        <f t="shared" si="111"/>
        <v>0</v>
      </c>
      <c r="AF234" s="1790">
        <f t="shared" si="111"/>
        <v>0</v>
      </c>
      <c r="AG234" s="1794">
        <v>626.58000000000004</v>
      </c>
      <c r="AH234" s="1794">
        <v>644.83000000000004</v>
      </c>
      <c r="AI234" s="1794">
        <v>0</v>
      </c>
      <c r="AJ234" s="1794">
        <v>0</v>
      </c>
      <c r="AK234" s="1794">
        <v>0</v>
      </c>
      <c r="AL234" s="1794">
        <v>0</v>
      </c>
      <c r="AM234" s="1794">
        <v>0</v>
      </c>
      <c r="AN234" s="1795"/>
      <c r="AO234" s="1795"/>
      <c r="AP234" s="1808">
        <f t="shared" si="105"/>
        <v>2.293577629535458</v>
      </c>
      <c r="AQ234" s="1810">
        <f>IF(AP234&gt;[11]核心假设及结论!$B$59,[11]核心假设及结论!$D$59,IF(AP234&lt;=[11]核心假设及结论!$B$58,[11]核心假设及结论!$D$57,[11]核心假设及结论!$D$58))</f>
        <v>1</v>
      </c>
      <c r="AR234" s="1809">
        <f t="shared" si="106"/>
        <v>626.58000000000004</v>
      </c>
      <c r="AS234" s="1809">
        <f>AH234*(AS$2&lt;=YEAR($K234))+AR234*$AQ234*(AS$2=YEAR($K234)+1)+INDEX([11]核心假设及结论!$E$17:$E$21,MATCH($D234,[11]核心假设及结论!$B$17:$B$21,0))*(AS$2&gt;YEAR($K234)+1)*AR234</f>
        <v>644.83000000000004</v>
      </c>
      <c r="AT234" s="1811">
        <f>AI234*(AT$2&lt;=YEAR($K234))+AS234*$AQ234*(AT$2=YEAR($K234)+1)+INDEX([11]核心假设及结论!$E$17:$E$21,MATCH($D234,[11]核心假设及结论!$B$17:$B$21,0))*(AT$2&gt;YEAR($K234)+1)*AS234</f>
        <v>644.83000000000004</v>
      </c>
      <c r="AU234" s="1809">
        <f>AJ234*(AU$2&lt;=YEAR($K234))+AT234*$AQ234*(AU$2=YEAR($K234)+1)+INDEX([11]核心假设及结论!$E$17:$E$21,MATCH($D234,[11]核心假设及结论!$B$17:$B$21,0))*(AU$2&gt;YEAR($K234)+1)*AT234</f>
        <v>662.28844403619223</v>
      </c>
      <c r="AV234" s="1809">
        <f>AK234*(AV$2&lt;=YEAR($K234))+AU234*$AQ234*(AV$2=YEAR($K234)+1)+INDEX([11]核心假设及结论!$E$17:$E$21,MATCH($D234,[11]核心假设及结论!$B$17:$B$21,0))*(AV$2&gt;YEAR($K234)+1)*AU234</f>
        <v>680.21956655844247</v>
      </c>
      <c r="AW234" s="1809">
        <f>AL234*(AW$2&lt;=YEAR($K234))+AV234*$AQ234*(AW$2=YEAR($K234)+1)+INDEX([11]核心假设及结论!$E$17:$E$21,MATCH($D234,[11]核心假设及结论!$B$17:$B$21,0))*(AW$2&gt;YEAR($K234)+1)*AV234</f>
        <v>698.63616509617088</v>
      </c>
      <c r="AX234" s="1809">
        <f>AM234*(AX$2&lt;=YEAR($K234))+AW234*$AQ234*(AX$2=YEAR($K234)+1)+INDEX([11]核心假设及结论!$E$17:$E$21,MATCH($D234,[11]核心假设及结论!$B$17:$B$21,0))*(AX$2&gt;YEAR($K234)+1)*AW234</f>
        <v>717.55138366539279</v>
      </c>
      <c r="AZ234" s="1746">
        <f t="shared" si="96"/>
        <v>46285</v>
      </c>
      <c r="BA234" s="1817">
        <f t="shared" si="97"/>
        <v>45658</v>
      </c>
      <c r="BB234" s="1817">
        <f t="shared" si="98"/>
        <v>45920</v>
      </c>
      <c r="BC234" s="1817">
        <f t="shared" si="99"/>
        <v>46022</v>
      </c>
      <c r="BD234" s="1818">
        <f t="shared" si="100"/>
        <v>263</v>
      </c>
      <c r="BE234" s="1818">
        <f t="shared" si="101"/>
        <v>102</v>
      </c>
      <c r="BG234" s="1777">
        <f t="shared" si="112"/>
        <v>125.07264000000001</v>
      </c>
      <c r="BH234" s="1777">
        <f t="shared" si="91"/>
        <v>127.67634000000001</v>
      </c>
      <c r="BI234" s="1777">
        <f t="shared" si="91"/>
        <v>128.64234201576696</v>
      </c>
      <c r="BJ234" s="1777">
        <f t="shared" si="91"/>
        <v>132.12526794782187</v>
      </c>
      <c r="BK234" s="1777">
        <f t="shared" si="90"/>
        <v>135.70249232670301</v>
      </c>
      <c r="BL234" s="1777">
        <f t="shared" si="90"/>
        <v>139.37656823486103</v>
      </c>
      <c r="BM234" s="1777">
        <f t="shared" si="90"/>
        <v>102.37197466573059</v>
      </c>
      <c r="BO234" s="1739">
        <f t="shared" si="102"/>
        <v>2026</v>
      </c>
      <c r="BP234" s="1742">
        <f>_xlfn.IFNA(INDEX($AR234:$AX234,MATCH(BO234,$AR$2:$AX$2,0))*12/365*[11]核心假设及结论!$C$70*$H234,0)</f>
        <v>104939.4575342466</v>
      </c>
      <c r="BR234" s="1739">
        <f t="shared" si="107"/>
        <v>2029</v>
      </c>
      <c r="BS234" s="1742">
        <f>_xlfn.IFNA(INDEX($AR234:$AX234,MATCH(BR234,$AR$2:$AX$2,0))*12/365*[11]核心假设及结论!$C$70*$H234,0)</f>
        <v>110698.74590019583</v>
      </c>
      <c r="BU234" s="1739">
        <f t="shared" si="108"/>
        <v>2032</v>
      </c>
      <c r="BV234" s="1742">
        <f>_xlfn.IFNA(INDEX($AR234:$AX234,MATCH(BU234,$AR$2:$AX$2,0))*12/365*[11]核心假设及结论!$C$70*$H234,0)</f>
        <v>0</v>
      </c>
      <c r="BX234" s="1739">
        <f t="shared" si="109"/>
        <v>2035</v>
      </c>
      <c r="BY234" s="1742">
        <f>_xlfn.IFNA(INDEX($AR234:$AX234,MATCH(BX234,$AR$2:$AX$2,0))*12/365*[11]核心假设及结论!$C$70*$H234,0)</f>
        <v>0</v>
      </c>
      <c r="CA234" s="1739">
        <f t="shared" si="110"/>
        <v>2038</v>
      </c>
      <c r="CB234" s="1742">
        <f>_xlfn.IFNA(INDEX($AR234:$AX234,MATCH(CA234,$AR$2:$AX$2,0))*12/365*[11]核心假设及结论!$C$70*$H234,0)</f>
        <v>0</v>
      </c>
    </row>
    <row r="235" spans="1:80" ht="30" customHeight="1">
      <c r="A235" s="1756" t="s">
        <v>1687</v>
      </c>
      <c r="B235" s="1757" t="s">
        <v>2161</v>
      </c>
      <c r="C235" s="1828" t="s">
        <v>2162</v>
      </c>
      <c r="D235" s="1756" t="s">
        <v>1676</v>
      </c>
      <c r="E235" s="1758" t="s">
        <v>1677</v>
      </c>
      <c r="F235" s="1759"/>
      <c r="G235" s="1760" t="s">
        <v>1661</v>
      </c>
      <c r="H235" s="1761">
        <v>165</v>
      </c>
      <c r="I235" s="1761" t="s">
        <v>1913</v>
      </c>
      <c r="J235" s="1773">
        <v>44469</v>
      </c>
      <c r="K235" s="1829">
        <v>45564</v>
      </c>
      <c r="L235" s="1764">
        <f t="shared" si="92"/>
        <v>36</v>
      </c>
      <c r="M235" s="1774">
        <f t="shared" si="103"/>
        <v>65612.25</v>
      </c>
      <c r="N235" s="1775">
        <f t="shared" si="104"/>
        <v>289.02999999999997</v>
      </c>
      <c r="O235" s="1760">
        <v>47689.95</v>
      </c>
      <c r="P235" s="1776">
        <v>0.1</v>
      </c>
      <c r="Q235" s="1783">
        <f t="shared" si="93"/>
        <v>90</v>
      </c>
      <c r="R235" s="1784">
        <v>14850</v>
      </c>
      <c r="S235" s="1777">
        <f t="shared" si="94"/>
        <v>18.62</v>
      </c>
      <c r="T235" s="1777">
        <v>3072.3</v>
      </c>
      <c r="U235" s="1777"/>
      <c r="V235" s="1785">
        <v>58694.25</v>
      </c>
      <c r="W235" s="1785">
        <f t="shared" si="95"/>
        <v>355.7227272727273</v>
      </c>
      <c r="X235" s="1786">
        <f>(N235+Q235)*H235/V235</f>
        <v>1.0655208985547988</v>
      </c>
      <c r="Y235" s="1789">
        <f>VLOOKUP(E235,[11]核心假设及结论!$C$25:$E$45,3,0)</f>
        <v>0.25</v>
      </c>
      <c r="Z235" s="1790">
        <f t="shared" si="111"/>
        <v>47689.95</v>
      </c>
      <c r="AA235" s="1790">
        <f t="shared" si="111"/>
        <v>0</v>
      </c>
      <c r="AB235" s="1790">
        <f t="shared" si="111"/>
        <v>0</v>
      </c>
      <c r="AC235" s="1790">
        <f t="shared" si="111"/>
        <v>0</v>
      </c>
      <c r="AD235" s="1790">
        <f t="shared" si="111"/>
        <v>0</v>
      </c>
      <c r="AE235" s="1790">
        <f t="shared" si="111"/>
        <v>0</v>
      </c>
      <c r="AF235" s="1790">
        <f t="shared" si="111"/>
        <v>0</v>
      </c>
      <c r="AG235" s="1794">
        <v>289.02999999999997</v>
      </c>
      <c r="AH235" s="1824">
        <v>0</v>
      </c>
      <c r="AI235" s="1824">
        <v>0</v>
      </c>
      <c r="AJ235" s="1824">
        <v>0</v>
      </c>
      <c r="AK235" s="1824">
        <v>0</v>
      </c>
      <c r="AL235" s="1824">
        <v>0</v>
      </c>
      <c r="AM235" s="1824">
        <v>0</v>
      </c>
      <c r="AN235" s="1795"/>
      <c r="AO235" s="1795"/>
      <c r="AP235" s="1808">
        <f t="shared" si="105"/>
        <v>4.2620835942191952</v>
      </c>
      <c r="AQ235" s="1808">
        <f>IF(AP235&gt;[11]核心假设及结论!$B$65,[11]核心假设及结论!$D$65,IF(AP235&lt;=[11]核心假设及结论!$B$64,[11]核心假设及结论!$D$63,[11]核心假设及结论!$D$64))</f>
        <v>0.72793038402688603</v>
      </c>
      <c r="AR235" s="1811">
        <f t="shared" si="106"/>
        <v>210.39371889529085</v>
      </c>
      <c r="AS235" s="1809">
        <f>AH235*(AS$2&lt;=YEAR($K235))+AR235*$AQ235*(AS$2=YEAR($K235)+1)+INDEX([11]核心假设及结论!$E$17:$E$21,MATCH($D235,[11]核心假设及结论!$B$17:$B$21,0))*(AS$2&gt;YEAR($K235)+1)*AR235</f>
        <v>217.66810013501993</v>
      </c>
      <c r="AT235" s="1809">
        <f>AI235*(AT$2&lt;=YEAR($K235))+AS235*$AQ235*(AT$2=YEAR($K235)+1)+INDEX([11]核心假设及结论!$E$17:$E$21,MATCH($D235,[11]核心假设及结论!$B$17:$B$21,0))*(AT$2&gt;YEAR($K235)+1)*AS235</f>
        <v>225.19399374260283</v>
      </c>
      <c r="AU235" s="1809">
        <f>AJ235*(AU$2&lt;=YEAR($K235))+AT235*$AQ235*(AU$2=YEAR($K235)+1)+INDEX([11]核心假设及结论!$E$17:$E$21,MATCH($D235,[11]核心假设及结论!$B$17:$B$21,0))*(AU$2&gt;YEAR($K235)+1)*AT235</f>
        <v>232.98009578016476</v>
      </c>
      <c r="AV235" s="1809">
        <f>AK235*(AV$2&lt;=YEAR($K235))+AU235*$AQ235*(AV$2=YEAR($K235)+1)+INDEX([11]核心假设及结论!$E$17:$E$21,MATCH($D235,[11]核心假设及结论!$B$17:$B$21,0))*(AV$2&gt;YEAR($K235)+1)*AU235</f>
        <v>241.03540297693988</v>
      </c>
      <c r="AW235" s="1809">
        <f>AL235*(AW$2&lt;=YEAR($K235))+AV235*$AQ235*(AW$2=YEAR($K235)+1)+INDEX([11]核心假设及结论!$E$17:$E$21,MATCH($D235,[11]核心假设及结论!$B$17:$B$21,0))*(AW$2&gt;YEAR($K235)+1)*AV235</f>
        <v>249.36922312486274</v>
      </c>
      <c r="AX235" s="1809">
        <f>AM235*(AX$2&lt;=YEAR($K235))+AW235*$AQ235*(AX$2=YEAR($K235)+1)+INDEX([11]核心假设及结论!$E$17:$E$21,MATCH($D235,[11]核心假设及结论!$B$17:$B$21,0))*(AX$2&gt;YEAR($K235)+1)*AW235</f>
        <v>257.99118583358847</v>
      </c>
      <c r="AZ235" s="1746">
        <f t="shared" si="96"/>
        <v>45564</v>
      </c>
      <c r="BA235" s="1817">
        <f t="shared" si="97"/>
        <v>45658</v>
      </c>
      <c r="BB235" s="1817">
        <f t="shared" si="98"/>
        <v>45929</v>
      </c>
      <c r="BC235" s="1817">
        <f t="shared" si="99"/>
        <v>46022</v>
      </c>
      <c r="BD235" s="1818">
        <f t="shared" si="100"/>
        <v>272</v>
      </c>
      <c r="BE235" s="1818">
        <f t="shared" si="101"/>
        <v>93</v>
      </c>
      <c r="BG235" s="1777">
        <f t="shared" si="112"/>
        <v>42.024943892359019</v>
      </c>
      <c r="BH235" s="1777">
        <f t="shared" si="91"/>
        <v>43.477960004514863</v>
      </c>
      <c r="BI235" s="1777">
        <f t="shared" si="91"/>
        <v>44.981214275883758</v>
      </c>
      <c r="BJ235" s="1777">
        <f t="shared" si="91"/>
        <v>46.536443695216228</v>
      </c>
      <c r="BK235" s="1777">
        <f t="shared" si="90"/>
        <v>48.145445307800813</v>
      </c>
      <c r="BL235" s="1777">
        <f t="shared" si="90"/>
        <v>49.810078291924114</v>
      </c>
      <c r="BM235" s="1777">
        <f t="shared" si="90"/>
        <v>38.066776176037642</v>
      </c>
      <c r="BO235" s="1826">
        <f t="shared" si="102"/>
        <v>2024</v>
      </c>
      <c r="BP235" s="1742">
        <f>_xlfn.IFNA(INDEX($AR235:$AX235,MATCH(BO235,$AR$2:$AX$2,0))*12/365*[11]核心假设及结论!$C$70*$H235,0)</f>
        <v>0</v>
      </c>
      <c r="BR235" s="1739">
        <f t="shared" si="107"/>
        <v>2027</v>
      </c>
      <c r="BS235" s="1742">
        <f>_xlfn.IFNA(INDEX($AR235:$AX235,MATCH(BR235,$AR$2:$AX$2,0))*12/365*[11]核心假设及结论!$C$70*$H235,0)</f>
        <v>36648.008844686592</v>
      </c>
      <c r="BU235" s="1739">
        <f t="shared" si="108"/>
        <v>2030</v>
      </c>
      <c r="BV235" s="1742">
        <f>_xlfn.IFNA(INDEX($AR235:$AX235,MATCH(BU235,$AR$2:$AX$2,0))*12/365*[11]核心假设及结论!$C$70*$H235,0)</f>
        <v>40582.279051005054</v>
      </c>
      <c r="BX235" s="1739">
        <f t="shared" si="109"/>
        <v>2033</v>
      </c>
      <c r="BY235" s="1742">
        <f>_xlfn.IFNA(INDEX($AR235:$AX235,MATCH(BX235,$AR$2:$AX$2,0))*12/365*[11]核心假设及结论!$C$70*$H235,0)</f>
        <v>0</v>
      </c>
      <c r="CA235" s="1739">
        <f t="shared" si="110"/>
        <v>2036</v>
      </c>
      <c r="CB235" s="1742">
        <f>_xlfn.IFNA(INDEX($AR235:$AX235,MATCH(CA235,$AR$2:$AX$2,0))*12/365*[11]核心假设及结论!$C$70*$H235,0)</f>
        <v>0</v>
      </c>
    </row>
    <row r="236" spans="1:80" ht="30" customHeight="1">
      <c r="A236" s="1756" t="s">
        <v>1666</v>
      </c>
      <c r="B236" s="1757" t="s">
        <v>2163</v>
      </c>
      <c r="C236" s="1756" t="s">
        <v>2164</v>
      </c>
      <c r="D236" s="1756" t="s">
        <v>1698</v>
      </c>
      <c r="E236" s="1758" t="s">
        <v>1698</v>
      </c>
      <c r="F236" s="1759"/>
      <c r="G236" s="1760" t="s">
        <v>1661</v>
      </c>
      <c r="H236" s="1761">
        <v>164</v>
      </c>
      <c r="I236" s="1761" t="s">
        <v>1913</v>
      </c>
      <c r="J236" s="1773">
        <v>45427</v>
      </c>
      <c r="K236" s="1773">
        <v>46463</v>
      </c>
      <c r="L236" s="1764">
        <f t="shared" si="92"/>
        <v>35</v>
      </c>
      <c r="M236" s="1774">
        <f t="shared" si="103"/>
        <v>105827.56</v>
      </c>
      <c r="N236" s="1775">
        <f t="shared" si="104"/>
        <v>532.29</v>
      </c>
      <c r="O236" s="1760">
        <v>87295.56</v>
      </c>
      <c r="P236" s="1776">
        <v>0.12</v>
      </c>
      <c r="Q236" s="1783">
        <f t="shared" si="93"/>
        <v>95</v>
      </c>
      <c r="R236" s="1784">
        <v>15580</v>
      </c>
      <c r="S236" s="1777">
        <f t="shared" si="94"/>
        <v>18</v>
      </c>
      <c r="T236" s="1777">
        <v>2952</v>
      </c>
      <c r="U236" s="1777"/>
      <c r="V236" s="1785">
        <v>662901.78500000003</v>
      </c>
      <c r="W236" s="1785">
        <f t="shared" si="95"/>
        <v>4042.0840548780488</v>
      </c>
      <c r="X236" s="1786">
        <f>(N236+Q236)*H236/V236</f>
        <v>0.15518974654744669</v>
      </c>
      <c r="Y236" s="1789">
        <f>VLOOKUP(E236,[11]核心假设及结论!$C$25:$E$45,3,0)</f>
        <v>0.2</v>
      </c>
      <c r="Z236" s="1790">
        <f t="shared" si="111"/>
        <v>87295.56</v>
      </c>
      <c r="AA236" s="1790">
        <f t="shared" si="111"/>
        <v>89939.239999999991</v>
      </c>
      <c r="AB236" s="1790">
        <f t="shared" si="111"/>
        <v>92633.760000000009</v>
      </c>
      <c r="AC236" s="1790">
        <f t="shared" si="111"/>
        <v>0</v>
      </c>
      <c r="AD236" s="1790">
        <f t="shared" si="111"/>
        <v>0</v>
      </c>
      <c r="AE236" s="1790">
        <f t="shared" si="111"/>
        <v>0</v>
      </c>
      <c r="AF236" s="1790">
        <f t="shared" si="111"/>
        <v>0</v>
      </c>
      <c r="AG236" s="1794">
        <v>532.29</v>
      </c>
      <c r="AH236" s="1794">
        <v>548.41</v>
      </c>
      <c r="AI236" s="1794">
        <v>564.84</v>
      </c>
      <c r="AJ236" s="1794">
        <v>0</v>
      </c>
      <c r="AK236" s="1794">
        <v>0</v>
      </c>
      <c r="AL236" s="1794">
        <v>0</v>
      </c>
      <c r="AM236" s="1794">
        <v>0</v>
      </c>
      <c r="AN236" s="1795"/>
      <c r="AO236" s="1795"/>
      <c r="AP236" s="1808">
        <f t="shared" si="105"/>
        <v>0.77594873273723342</v>
      </c>
      <c r="AQ236" s="1812">
        <f>IF(AP236&gt;[11]核心假设及结论!$B$62,[11]核心假设及结论!$D$62,IF(AP236&lt;=[11]核心假设及结论!$B$61,[11]核心假设及结论!$D$60,[11]核心假设及结论!$D$61))</f>
        <v>1.0811176582269599</v>
      </c>
      <c r="AR236" s="1809">
        <f t="shared" si="106"/>
        <v>532.29</v>
      </c>
      <c r="AS236" s="1809">
        <f>AH236*(AS$2&lt;=YEAR($K236))+AR236*$AQ236*(AS$2=YEAR($K236)+1)+INDEX([11]核心假设及结论!$E$17:$E$21,MATCH($D236,[11]核心假设及结论!$B$17:$B$21,0))*(AS$2&gt;YEAR($K236)+1)*AR236</f>
        <v>548.41</v>
      </c>
      <c r="AT236" s="1809">
        <f>AI236*(AT$2&lt;=YEAR($K236))+AS236*$AQ236*(AT$2=YEAR($K236)+1)+INDEX([11]核心假设及结论!$E$17:$E$21,MATCH($D236,[11]核心假设及结论!$B$17:$B$21,0))*(AT$2&gt;YEAR($K236)+1)*AS236</f>
        <v>564.84</v>
      </c>
      <c r="AU236" s="1811">
        <f>AJ236*(AU$2&lt;=YEAR($K236))+AT236*$AQ236*(AU$2=YEAR($K236)+1)+INDEX([11]核心假设及结论!$E$17:$E$21,MATCH($D236,[11]核心假设及结论!$B$17:$B$21,0))*(AU$2&gt;YEAR($K236)+1)*AT236</f>
        <v>610.65849807291613</v>
      </c>
      <c r="AV236" s="1809">
        <f>AK236*(AV$2&lt;=YEAR($K236))+AU236*$AQ236*(AV$2=YEAR($K236)+1)+INDEX([11]核心假设及结论!$E$17:$E$21,MATCH($D236,[11]核心假设及结论!$B$17:$B$21,0))*(AV$2&gt;YEAR($K236)+1)*AU236</f>
        <v>629.35527684745921</v>
      </c>
      <c r="AW236" s="1809">
        <f>AL236*(AW$2&lt;=YEAR($K236))+AV236*$AQ236*(AW$2=YEAR($K236)+1)+INDEX([11]核心假设及结论!$E$17:$E$21,MATCH($D236,[11]核心假设及结论!$B$17:$B$21,0))*(AW$2&gt;YEAR($K236)+1)*AV236</f>
        <v>648.62450247674576</v>
      </c>
      <c r="AX236" s="1809">
        <f>AM236*(AX$2&lt;=YEAR($K236))+AW236*$AQ236*(AX$2=YEAR($K236)+1)+INDEX([11]核心假设及结论!$E$17:$E$21,MATCH($D236,[11]核心假设及结论!$B$17:$B$21,0))*(AX$2&gt;YEAR($K236)+1)*AW236</f>
        <v>668.48370179817687</v>
      </c>
      <c r="AZ236" s="1746">
        <f t="shared" si="96"/>
        <v>46463</v>
      </c>
      <c r="BA236" s="1817">
        <f t="shared" si="97"/>
        <v>45658</v>
      </c>
      <c r="BB236" s="1817">
        <f t="shared" si="98"/>
        <v>45733</v>
      </c>
      <c r="BC236" s="1817">
        <f t="shared" si="99"/>
        <v>46022</v>
      </c>
      <c r="BD236" s="1818">
        <f t="shared" si="100"/>
        <v>76</v>
      </c>
      <c r="BE236" s="1818">
        <f t="shared" si="101"/>
        <v>289</v>
      </c>
      <c r="BG236" s="1777">
        <f t="shared" si="112"/>
        <v>107.2665301479452</v>
      </c>
      <c r="BH236" s="1777">
        <f t="shared" si="91"/>
        <v>110.48725111232878</v>
      </c>
      <c r="BI236" s="1777">
        <f t="shared" si="91"/>
        <v>118.30006334684035</v>
      </c>
      <c r="BJ236" s="1777">
        <f t="shared" si="91"/>
        <v>123.09097059104549</v>
      </c>
      <c r="BK236" s="1777">
        <f t="shared" si="90"/>
        <v>126.85969673429449</v>
      </c>
      <c r="BL236" s="1777">
        <f t="shared" si="90"/>
        <v>130.74381149357771</v>
      </c>
      <c r="BM236" s="1777">
        <f t="shared" si="90"/>
        <v>27.392813783712249</v>
      </c>
      <c r="BO236" s="1739">
        <f t="shared" si="102"/>
        <v>2027</v>
      </c>
      <c r="BP236" s="1742">
        <f>_xlfn.IFNA(INDEX($AR236:$AX236,MATCH(BO236,$AR$2:$AX$2,0))*12/365*[11]核心假设及结论!$C$70*$H236,0)</f>
        <v>91364.804383561641</v>
      </c>
      <c r="BR236" s="1739">
        <f t="shared" si="107"/>
        <v>2030</v>
      </c>
      <c r="BS236" s="1742">
        <f>_xlfn.IFNA(INDEX($AR236:$AX236,MATCH(BR236,$AR$2:$AX$2,0))*12/365*[11]核心假设及结论!$C$70*$H236,0)</f>
        <v>104917.23459240291</v>
      </c>
      <c r="BU236" s="1739">
        <f t="shared" si="108"/>
        <v>2033</v>
      </c>
      <c r="BV236" s="1742">
        <f>_xlfn.IFNA(INDEX($AR236:$AX236,MATCH(BU236,$AR$2:$AX$2,0))*12/365*[11]核心假设及结论!$C$70*$H236,0)</f>
        <v>0</v>
      </c>
      <c r="BX236" s="1739">
        <f t="shared" si="109"/>
        <v>2036</v>
      </c>
      <c r="BY236" s="1742">
        <f>_xlfn.IFNA(INDEX($AR236:$AX236,MATCH(BX236,$AR$2:$AX$2,0))*12/365*[11]核心假设及结论!$C$70*$H236,0)</f>
        <v>0</v>
      </c>
      <c r="CA236" s="1739">
        <f t="shared" si="110"/>
        <v>2039</v>
      </c>
      <c r="CB236" s="1742">
        <f>_xlfn.IFNA(INDEX($AR236:$AX236,MATCH(CA236,$AR$2:$AX$2,0))*12/365*[11]核心假设及结论!$C$70*$H236,0)</f>
        <v>0</v>
      </c>
    </row>
    <row r="237" spans="1:80" ht="30" customHeight="1">
      <c r="A237" s="1756" t="s">
        <v>1662</v>
      </c>
      <c r="B237" s="1757" t="s">
        <v>2165</v>
      </c>
      <c r="C237" s="1756" t="s">
        <v>2166</v>
      </c>
      <c r="D237" s="1756" t="s">
        <v>1685</v>
      </c>
      <c r="E237" s="1758" t="s">
        <v>1871</v>
      </c>
      <c r="F237" s="1762"/>
      <c r="G237" s="1760" t="s">
        <v>1661</v>
      </c>
      <c r="H237" s="1761">
        <v>162</v>
      </c>
      <c r="I237" s="1761" t="s">
        <v>1913</v>
      </c>
      <c r="J237" s="1773">
        <v>45048</v>
      </c>
      <c r="K237" s="1773">
        <v>46143</v>
      </c>
      <c r="L237" s="1764">
        <f t="shared" si="92"/>
        <v>36</v>
      </c>
      <c r="M237" s="1774">
        <f t="shared" si="103"/>
        <v>165495.96</v>
      </c>
      <c r="N237" s="1775">
        <f t="shared" si="104"/>
        <v>908.57999999999993</v>
      </c>
      <c r="O237" s="1760">
        <v>147189.96</v>
      </c>
      <c r="P237" s="1776" t="s">
        <v>1971</v>
      </c>
      <c r="Q237" s="1783">
        <f t="shared" si="93"/>
        <v>95</v>
      </c>
      <c r="R237" s="1784">
        <v>15390</v>
      </c>
      <c r="S237" s="1777">
        <f t="shared" si="94"/>
        <v>18</v>
      </c>
      <c r="T237" s="1784">
        <v>2916</v>
      </c>
      <c r="U237" s="1777"/>
      <c r="V237" s="1785">
        <v>2267740.6916666701</v>
      </c>
      <c r="W237" s="1785">
        <f t="shared" si="95"/>
        <v>13998.399331275741</v>
      </c>
      <c r="X237" s="1786">
        <f>(N237+Q237)*H237/V237</f>
        <v>7.1692482565329049E-2</v>
      </c>
      <c r="Y237" s="1789">
        <f>VLOOKUP(E237,[11]核心假设及结论!$C$25:$E$45,3,0)</f>
        <v>0.2</v>
      </c>
      <c r="Z237" s="1790">
        <f t="shared" si="111"/>
        <v>147189.96000000002</v>
      </c>
      <c r="AA237" s="1790">
        <f t="shared" si="111"/>
        <v>151604.46000000002</v>
      </c>
      <c r="AB237" s="1790">
        <f t="shared" si="111"/>
        <v>0</v>
      </c>
      <c r="AC237" s="1790">
        <f t="shared" si="111"/>
        <v>0</v>
      </c>
      <c r="AD237" s="1790">
        <f t="shared" si="111"/>
        <v>0</v>
      </c>
      <c r="AE237" s="1790">
        <f t="shared" si="111"/>
        <v>0</v>
      </c>
      <c r="AF237" s="1790">
        <f t="shared" si="111"/>
        <v>0</v>
      </c>
      <c r="AG237" s="1794">
        <v>908.58</v>
      </c>
      <c r="AH237" s="1794">
        <v>935.83</v>
      </c>
      <c r="AI237" s="1794">
        <v>0</v>
      </c>
      <c r="AJ237" s="1794">
        <v>0</v>
      </c>
      <c r="AK237" s="1794">
        <v>0</v>
      </c>
      <c r="AL237" s="1794">
        <v>0</v>
      </c>
      <c r="AM237" s="1794">
        <v>0</v>
      </c>
      <c r="AN237" s="1797"/>
      <c r="AO237" s="1797"/>
      <c r="AP237" s="1808">
        <f t="shared" si="105"/>
        <v>0.3584624128266452</v>
      </c>
      <c r="AQ237" s="1810">
        <f>IF(AP237&gt;[11]核心假设及结论!$B$59,[11]核心假设及结论!$D$59,IF(AP237&lt;=[11]核心假设及结论!$B$58,[11]核心假设及结论!$D$57,[11]核心假设及结论!$D$58))</f>
        <v>1.0342640124442799</v>
      </c>
      <c r="AR237" s="1809">
        <f t="shared" si="106"/>
        <v>908.58</v>
      </c>
      <c r="AS237" s="1809">
        <f>AH237*(AS$2&lt;=YEAR($K237))+AR237*$AQ237*(AS$2=YEAR($K237)+1)+INDEX([11]核心假设及结论!$E$17:$E$21,MATCH($D237,[11]核心假设及结论!$B$17:$B$21,0))*(AS$2&gt;YEAR($K237)+1)*AR237</f>
        <v>935.83</v>
      </c>
      <c r="AT237" s="1811">
        <f>AI237*(AT$2&lt;=YEAR($K237))+AS237*$AQ237*(AT$2=YEAR($K237)+1)+INDEX([11]核心假设及结论!$E$17:$E$21,MATCH($D237,[11]核心假设及结论!$B$17:$B$21,0))*(AT$2&gt;YEAR($K237)+1)*AS237</f>
        <v>967.89529076573046</v>
      </c>
      <c r="AU237" s="1809">
        <f>AJ237*(AU$2&lt;=YEAR($K237))+AT237*$AQ237*(AU$2=YEAR($K237)+1)+INDEX([11]核心假设及结论!$E$17:$E$21,MATCH($D237,[11]核心假设及结论!$B$17:$B$21,0))*(AU$2&gt;YEAR($K237)+1)*AT237</f>
        <v>994.10056311150754</v>
      </c>
      <c r="AV237" s="1809">
        <f>AK237*(AV$2&lt;=YEAR($K237))+AU237*$AQ237*(AV$2=YEAR($K237)+1)+INDEX([11]核心假设及结论!$E$17:$E$21,MATCH($D237,[11]核心假设及结论!$B$17:$B$21,0))*(AV$2&gt;YEAR($K237)+1)*AU237</f>
        <v>1021.0153298677524</v>
      </c>
      <c r="AW237" s="1809">
        <f>AL237*(AW$2&lt;=YEAR($K237))+AV237*$AQ237*(AW$2=YEAR($K237)+1)+INDEX([11]核心假设及结论!$E$17:$E$21,MATCH($D237,[11]核心假设及结论!$B$17:$B$21,0))*(AW$2&gt;YEAR($K237)+1)*AV237</f>
        <v>1048.6588002345009</v>
      </c>
      <c r="AX237" s="1809">
        <f>AM237*(AX$2&lt;=YEAR($K237))+AW237*$AQ237*(AX$2=YEAR($K237)+1)+INDEX([11]核心假设及结论!$E$17:$E$21,MATCH($D237,[11]核心假设及结论!$B$17:$B$21,0))*(AX$2&gt;YEAR($K237)+1)*AW237</f>
        <v>1077.0507034911025</v>
      </c>
      <c r="AZ237" s="1746">
        <f t="shared" si="96"/>
        <v>46143</v>
      </c>
      <c r="BA237" s="1817">
        <f t="shared" si="97"/>
        <v>45658</v>
      </c>
      <c r="BB237" s="1817">
        <f t="shared" si="98"/>
        <v>45778</v>
      </c>
      <c r="BC237" s="1817">
        <f t="shared" si="99"/>
        <v>46022</v>
      </c>
      <c r="BD237" s="1818">
        <f t="shared" si="100"/>
        <v>121</v>
      </c>
      <c r="BE237" s="1818">
        <f t="shared" si="101"/>
        <v>244</v>
      </c>
      <c r="BG237" s="1777">
        <f t="shared" si="112"/>
        <v>180.16922761643835</v>
      </c>
      <c r="BH237" s="1777">
        <f t="shared" si="91"/>
        <v>186.09239905771332</v>
      </c>
      <c r="BI237" s="1777">
        <f t="shared" si="91"/>
        <v>191.56435248743514</v>
      </c>
      <c r="BJ237" s="1777">
        <f t="shared" si="91"/>
        <v>196.75085982616204</v>
      </c>
      <c r="BK237" s="1777">
        <f t="shared" si="90"/>
        <v>202.07778921119021</v>
      </c>
      <c r="BL237" s="1777">
        <f t="shared" si="90"/>
        <v>207.54894249794953</v>
      </c>
      <c r="BM237" s="1777">
        <f t="shared" si="90"/>
        <v>69.410458815887964</v>
      </c>
      <c r="BO237" s="1739">
        <f t="shared" si="102"/>
        <v>2026</v>
      </c>
      <c r="BP237" s="1742">
        <f>_xlfn.IFNA(INDEX($AR237:$AX237,MATCH(BO237,$AR$2:$AX$2,0))*12/365*[11]核心假设及结论!$C$70*$H237,0)</f>
        <v>149527.68657534249</v>
      </c>
      <c r="BR237" s="1739">
        <f t="shared" si="107"/>
        <v>2029</v>
      </c>
      <c r="BS237" s="1742">
        <f>_xlfn.IFNA(INDEX($AR237:$AX237,MATCH(BR237,$AR$2:$AX$2,0))*12/365*[11]核心假设及结论!$C$70*$H237,0)</f>
        <v>163138.66859695158</v>
      </c>
      <c r="BU237" s="1739">
        <f t="shared" si="108"/>
        <v>2032</v>
      </c>
      <c r="BV237" s="1742">
        <f>_xlfn.IFNA(INDEX($AR237:$AX237,MATCH(BU237,$AR$2:$AX$2,0))*12/365*[11]核心假设及结论!$C$70*$H237,0)</f>
        <v>0</v>
      </c>
      <c r="BX237" s="1739">
        <f t="shared" si="109"/>
        <v>2035</v>
      </c>
      <c r="BY237" s="1742">
        <f>_xlfn.IFNA(INDEX($AR237:$AX237,MATCH(BX237,$AR$2:$AX$2,0))*12/365*[11]核心假设及结论!$C$70*$H237,0)</f>
        <v>0</v>
      </c>
      <c r="CA237" s="1739">
        <f t="shared" si="110"/>
        <v>2038</v>
      </c>
      <c r="CB237" s="1742">
        <f>_xlfn.IFNA(INDEX($AR237:$AX237,MATCH(CA237,$AR$2:$AX$2,0))*12/365*[11]核心假设及结论!$C$70*$H237,0)</f>
        <v>0</v>
      </c>
    </row>
    <row r="238" spans="1:80" ht="30" customHeight="1">
      <c r="A238" s="1756" t="s">
        <v>1662</v>
      </c>
      <c r="B238" s="1757" t="s">
        <v>2167</v>
      </c>
      <c r="C238" s="1756" t="s">
        <v>2168</v>
      </c>
      <c r="D238" s="1756" t="s">
        <v>1685</v>
      </c>
      <c r="E238" s="1758" t="s">
        <v>1718</v>
      </c>
      <c r="F238" s="1759"/>
      <c r="G238" s="1760" t="s">
        <v>1661</v>
      </c>
      <c r="H238" s="1761">
        <v>160</v>
      </c>
      <c r="I238" s="1761" t="s">
        <v>1913</v>
      </c>
      <c r="J238" s="1773">
        <v>45231</v>
      </c>
      <c r="K238" s="1773">
        <v>46326</v>
      </c>
      <c r="L238" s="1764">
        <f t="shared" si="92"/>
        <v>36</v>
      </c>
      <c r="M238" s="1774">
        <f t="shared" si="103"/>
        <v>138947.20000000001</v>
      </c>
      <c r="N238" s="1775">
        <f t="shared" si="104"/>
        <v>760.42</v>
      </c>
      <c r="O238" s="1760">
        <v>121667.2</v>
      </c>
      <c r="P238" s="1776">
        <v>0.15</v>
      </c>
      <c r="Q238" s="1783">
        <f t="shared" si="93"/>
        <v>90</v>
      </c>
      <c r="R238" s="1784">
        <v>14400</v>
      </c>
      <c r="S238" s="1777">
        <f t="shared" si="94"/>
        <v>18</v>
      </c>
      <c r="T238" s="1784">
        <v>2880</v>
      </c>
      <c r="U238" s="1777"/>
      <c r="V238" s="1785">
        <v>1378781.0977777799</v>
      </c>
      <c r="W238" s="1785">
        <f t="shared" si="95"/>
        <v>8617.3818611111237</v>
      </c>
      <c r="X238" s="1786">
        <f>(N238+Q238+S238)*H238/V238</f>
        <v>0.10077538793064764</v>
      </c>
      <c r="Y238" s="1789">
        <f>VLOOKUP(E238,[11]核心假设及结论!$C$25:$E$45,3,0)</f>
        <v>0.2</v>
      </c>
      <c r="Z238" s="1790">
        <f t="shared" si="111"/>
        <v>126532.8</v>
      </c>
      <c r="AA238" s="1790">
        <f t="shared" si="111"/>
        <v>131400</v>
      </c>
      <c r="AB238" s="1790">
        <f t="shared" si="111"/>
        <v>0</v>
      </c>
      <c r="AC238" s="1790">
        <f t="shared" si="111"/>
        <v>0</v>
      </c>
      <c r="AD238" s="1790">
        <f t="shared" si="111"/>
        <v>0</v>
      </c>
      <c r="AE238" s="1790">
        <f t="shared" si="111"/>
        <v>0</v>
      </c>
      <c r="AF238" s="1790">
        <f t="shared" si="111"/>
        <v>0</v>
      </c>
      <c r="AG238" s="1794">
        <v>790.83</v>
      </c>
      <c r="AH238" s="1794">
        <v>821.25</v>
      </c>
      <c r="AI238" s="1794">
        <v>0</v>
      </c>
      <c r="AJ238" s="1794">
        <v>0</v>
      </c>
      <c r="AK238" s="1794">
        <v>0</v>
      </c>
      <c r="AL238" s="1794">
        <v>0</v>
      </c>
      <c r="AM238" s="1794">
        <v>0</v>
      </c>
      <c r="AN238" s="1797"/>
      <c r="AO238" s="1797"/>
      <c r="AP238" s="1808">
        <f t="shared" si="105"/>
        <v>0.5038769396532381</v>
      </c>
      <c r="AQ238" s="1810">
        <f>IF(AP238&gt;[11]核心假设及结论!$B$59,[11]核心假设及结论!$D$59,IF(AP238&lt;=[11]核心假设及结论!$B$58,[11]核心假设及结论!$D$57,[11]核心假设及结论!$D$58))</f>
        <v>1.0342640124442799</v>
      </c>
      <c r="AR238" s="1809">
        <f t="shared" si="106"/>
        <v>790.83</v>
      </c>
      <c r="AS238" s="1809">
        <f>AH238*(AS$2&lt;=YEAR($K238))+AR238*$AQ238*(AS$2=YEAR($K238)+1)+INDEX([11]核心假设及结论!$E$17:$E$21,MATCH($D238,[11]核心假设及结论!$B$17:$B$21,0))*(AS$2&gt;YEAR($K238)+1)*AR238</f>
        <v>821.25</v>
      </c>
      <c r="AT238" s="1811">
        <f>AI238*(AT$2&lt;=YEAR($K238))+AS238*$AQ238*(AT$2=YEAR($K238)+1)+INDEX([11]核心假设及结论!$E$17:$E$21,MATCH($D238,[11]核心假设及结论!$B$17:$B$21,0))*(AT$2&gt;YEAR($K238)+1)*AS238</f>
        <v>849.38932021986489</v>
      </c>
      <c r="AU238" s="1809">
        <f>AJ238*(AU$2&lt;=YEAR($K238))+AT238*$AQ238*(AU$2=YEAR($K238)+1)+INDEX([11]核心假设及结论!$E$17:$E$21,MATCH($D238,[11]核心假设及结论!$B$17:$B$21,0))*(AU$2&gt;YEAR($K238)+1)*AT238</f>
        <v>872.38610373179483</v>
      </c>
      <c r="AV238" s="1809">
        <f>AK238*(AV$2&lt;=YEAR($K238))+AU238*$AQ238*(AV$2=YEAR($K238)+1)+INDEX([11]核心假设及结论!$E$17:$E$21,MATCH($D238,[11]核心假设及结论!$B$17:$B$21,0))*(AV$2&gt;YEAR($K238)+1)*AU238</f>
        <v>896.00551345211375</v>
      </c>
      <c r="AW238" s="1809">
        <f>AL238*(AW$2&lt;=YEAR($K238))+AV238*$AQ238*(AW$2=YEAR($K238)+1)+INDEX([11]核心假设及结论!$E$17:$E$21,MATCH($D238,[11]核心假设及结论!$B$17:$B$21,0))*(AW$2&gt;YEAR($K238)+1)*AV238</f>
        <v>920.26440666850158</v>
      </c>
      <c r="AX238" s="1809">
        <f>AM238*(AX$2&lt;=YEAR($K238))+AW238*$AQ238*(AX$2=YEAR($K238)+1)+INDEX([11]核心假设及结论!$E$17:$E$21,MATCH($D238,[11]核心假设及结论!$B$17:$B$21,0))*(AX$2&gt;YEAR($K238)+1)*AW238</f>
        <v>945.18009707112185</v>
      </c>
      <c r="AZ238" s="1746">
        <f t="shared" si="96"/>
        <v>46326</v>
      </c>
      <c r="BA238" s="1817">
        <f t="shared" si="97"/>
        <v>45658</v>
      </c>
      <c r="BB238" s="1817">
        <f t="shared" si="98"/>
        <v>45961</v>
      </c>
      <c r="BC238" s="1817">
        <f t="shared" si="99"/>
        <v>46022</v>
      </c>
      <c r="BD238" s="1818">
        <f t="shared" si="100"/>
        <v>304</v>
      </c>
      <c r="BE238" s="1818">
        <f t="shared" si="101"/>
        <v>61</v>
      </c>
      <c r="BG238" s="1777">
        <f t="shared" si="112"/>
        <v>152.81546695890412</v>
      </c>
      <c r="BH238" s="1777">
        <f t="shared" si="91"/>
        <v>158.58292525593166</v>
      </c>
      <c r="BI238" s="1777">
        <f t="shared" si="91"/>
        <v>163.82066271095852</v>
      </c>
      <c r="BJ238" s="1777">
        <f t="shared" si="91"/>
        <v>168.25602377032482</v>
      </c>
      <c r="BK238" s="1777">
        <f t="shared" si="90"/>
        <v>172.81146997280675</v>
      </c>
      <c r="BL238" s="1777">
        <f t="shared" si="90"/>
        <v>177.49025256253171</v>
      </c>
      <c r="BM238" s="1777">
        <f t="shared" si="90"/>
        <v>151.14595042697874</v>
      </c>
      <c r="BO238" s="1739">
        <f t="shared" si="102"/>
        <v>2026</v>
      </c>
      <c r="BP238" s="1742">
        <f>_xlfn.IFNA(INDEX($AR238:$AX238,MATCH(BO238,$AR$2:$AX$2,0))*12/365*[11]核心假设及结论!$C$70*$H238,0)</f>
        <v>129600</v>
      </c>
      <c r="BR238" s="1739">
        <f t="shared" si="107"/>
        <v>2029</v>
      </c>
      <c r="BS238" s="1742">
        <f>_xlfn.IFNA(INDEX($AR238:$AX238,MATCH(BR238,$AR$2:$AX$2,0))*12/365*[11]核心假设及结论!$C$70*$H238,0)</f>
        <v>141397.03445162124</v>
      </c>
      <c r="BU238" s="1739">
        <f t="shared" si="108"/>
        <v>2032</v>
      </c>
      <c r="BV238" s="1742">
        <f>_xlfn.IFNA(INDEX($AR238:$AX238,MATCH(BU238,$AR$2:$AX$2,0))*12/365*[11]核心假设及结论!$C$70*$H238,0)</f>
        <v>0</v>
      </c>
      <c r="BX238" s="1739">
        <f t="shared" si="109"/>
        <v>2035</v>
      </c>
      <c r="BY238" s="1742">
        <f>_xlfn.IFNA(INDEX($AR238:$AX238,MATCH(BX238,$AR$2:$AX$2,0))*12/365*[11]核心假设及结论!$C$70*$H238,0)</f>
        <v>0</v>
      </c>
      <c r="CA238" s="1739">
        <f t="shared" si="110"/>
        <v>2038</v>
      </c>
      <c r="CB238" s="1742">
        <f>_xlfn.IFNA(INDEX($AR238:$AX238,MATCH(CA238,$AR$2:$AX$2,0))*12/365*[11]核心假设及结论!$C$70*$H238,0)</f>
        <v>0</v>
      </c>
    </row>
    <row r="239" spans="1:80" ht="30" customHeight="1">
      <c r="A239" s="1756" t="s">
        <v>1687</v>
      </c>
      <c r="B239" s="1757" t="s">
        <v>2169</v>
      </c>
      <c r="C239" s="1756" t="s">
        <v>2170</v>
      </c>
      <c r="D239" s="1756" t="s">
        <v>1685</v>
      </c>
      <c r="E239" s="1758" t="s">
        <v>1692</v>
      </c>
      <c r="F239" s="1759"/>
      <c r="G239" s="1760" t="s">
        <v>1661</v>
      </c>
      <c r="H239" s="1761">
        <v>159</v>
      </c>
      <c r="I239" s="1761" t="s">
        <v>1913</v>
      </c>
      <c r="J239" s="1773">
        <v>45295</v>
      </c>
      <c r="K239" s="1773">
        <v>46390</v>
      </c>
      <c r="L239" s="1764">
        <f t="shared" si="92"/>
        <v>36</v>
      </c>
      <c r="M239" s="1774">
        <f t="shared" si="103"/>
        <v>163054.5</v>
      </c>
      <c r="N239" s="1775">
        <f t="shared" si="104"/>
        <v>912.5</v>
      </c>
      <c r="O239" s="1760">
        <v>145087.5</v>
      </c>
      <c r="P239" s="1776">
        <v>0.18</v>
      </c>
      <c r="Q239" s="1783">
        <f t="shared" si="93"/>
        <v>95</v>
      </c>
      <c r="R239" s="1784">
        <v>15105</v>
      </c>
      <c r="S239" s="1777">
        <f t="shared" si="94"/>
        <v>18</v>
      </c>
      <c r="T239" s="1784">
        <v>2862</v>
      </c>
      <c r="U239" s="1777"/>
      <c r="V239" s="1785">
        <v>504523.48333333299</v>
      </c>
      <c r="W239" s="1785">
        <f t="shared" si="95"/>
        <v>3173.1036687631004</v>
      </c>
      <c r="X239" s="1786">
        <f>(N239+Q239+S239)*H239/V239</f>
        <v>0.32318515467846265</v>
      </c>
      <c r="Y239" s="1789">
        <f>VLOOKUP(E239,[11]核心假设及结论!$C$25:$E$45,3,0)</f>
        <v>0.2</v>
      </c>
      <c r="Z239" s="1790">
        <f t="shared" si="111"/>
        <v>145087.5</v>
      </c>
      <c r="AA239" s="1790">
        <f t="shared" si="111"/>
        <v>149924.28</v>
      </c>
      <c r="AB239" s="1790">
        <f t="shared" si="111"/>
        <v>154759.47</v>
      </c>
      <c r="AC239" s="1790">
        <f t="shared" si="111"/>
        <v>0</v>
      </c>
      <c r="AD239" s="1790">
        <f t="shared" si="111"/>
        <v>0</v>
      </c>
      <c r="AE239" s="1790">
        <f t="shared" si="111"/>
        <v>0</v>
      </c>
      <c r="AF239" s="1790">
        <f t="shared" si="111"/>
        <v>0</v>
      </c>
      <c r="AG239" s="1794">
        <v>912.5</v>
      </c>
      <c r="AH239" s="1794">
        <v>942.92</v>
      </c>
      <c r="AI239" s="1794">
        <v>973.33</v>
      </c>
      <c r="AJ239" s="1794">
        <v>0</v>
      </c>
      <c r="AK239" s="1794">
        <v>0</v>
      </c>
      <c r="AL239" s="1794">
        <v>0</v>
      </c>
      <c r="AM239" s="1794">
        <v>0</v>
      </c>
      <c r="AN239" s="1797"/>
      <c r="AO239" s="1797"/>
      <c r="AP239" s="1808">
        <f t="shared" si="105"/>
        <v>1.6159257733923131</v>
      </c>
      <c r="AQ239" s="1810">
        <f>IF(AP239&gt;[11]核心假设及结论!$B$59,[11]核心假设及结论!$D$59,IF(AP239&lt;=[11]核心假设及结论!$B$58,[11]核心假设及结论!$D$57,[11]核心假设及结论!$D$58))</f>
        <v>1</v>
      </c>
      <c r="AR239" s="1809">
        <f t="shared" si="106"/>
        <v>912.5</v>
      </c>
      <c r="AS239" s="1809">
        <f>AH239*(AS$2&lt;=YEAR($K239))+AR239*$AQ239*(AS$2=YEAR($K239)+1)+INDEX([11]核心假设及结论!$E$17:$E$21,MATCH($D239,[11]核心假设及结论!$B$17:$B$21,0))*(AS$2&gt;YEAR($K239)+1)*AR239</f>
        <v>942.92</v>
      </c>
      <c r="AT239" s="1809">
        <f>AI239*(AT$2&lt;=YEAR($K239))+AS239*$AQ239*(AT$2=YEAR($K239)+1)+INDEX([11]核心假设及结论!$E$17:$E$21,MATCH($D239,[11]核心假设及结论!$B$17:$B$21,0))*(AT$2&gt;YEAR($K239)+1)*AS239</f>
        <v>973.33</v>
      </c>
      <c r="AU239" s="1811">
        <f>AJ239*(AU$2&lt;=YEAR($K239))+AT239*$AQ239*(AU$2=YEAR($K239)+1)+INDEX([11]核心假设及结论!$E$17:$E$21,MATCH($D239,[11]核心假设及结论!$B$17:$B$21,0))*(AU$2&gt;YEAR($K239)+1)*AT239</f>
        <v>973.33</v>
      </c>
      <c r="AV239" s="1809">
        <f>AK239*(AV$2&lt;=YEAR($K239))+AU239*$AQ239*(AV$2=YEAR($K239)+1)+INDEX([11]核心假设及结论!$E$17:$E$21,MATCH($D239,[11]核心假设及结论!$B$17:$B$21,0))*(AV$2&gt;YEAR($K239)+1)*AU239</f>
        <v>999.6824143320672</v>
      </c>
      <c r="AW239" s="1809">
        <f>AL239*(AW$2&lt;=YEAR($K239))+AV239*$AQ239*(AW$2=YEAR($K239)+1)+INDEX([11]核心假设及结论!$E$17:$E$21,MATCH($D239,[11]核心假设及结论!$B$17:$B$21,0))*(AW$2&gt;YEAR($K239)+1)*AV239</f>
        <v>1026.7483068689867</v>
      </c>
      <c r="AX239" s="1809">
        <f>AM239*(AX$2&lt;=YEAR($K239))+AW239*$AQ239*(AX$2=YEAR($K239)+1)+INDEX([11]核心假设及结论!$E$17:$E$21,MATCH($D239,[11]核心假设及结论!$B$17:$B$21,0))*(AX$2&gt;YEAR($K239)+1)*AW239</f>
        <v>1054.5469946699998</v>
      </c>
      <c r="AZ239" s="1746">
        <f t="shared" si="96"/>
        <v>46390</v>
      </c>
      <c r="BA239" s="1817">
        <f t="shared" si="97"/>
        <v>45658</v>
      </c>
      <c r="BB239" s="1817">
        <f t="shared" si="98"/>
        <v>45660</v>
      </c>
      <c r="BC239" s="1817">
        <f t="shared" si="99"/>
        <v>46022</v>
      </c>
      <c r="BD239" s="1818">
        <f t="shared" si="100"/>
        <v>3</v>
      </c>
      <c r="BE239" s="1818">
        <f t="shared" si="101"/>
        <v>362</v>
      </c>
      <c r="BG239" s="1777">
        <f t="shared" si="112"/>
        <v>179.86143077260272</v>
      </c>
      <c r="BH239" s="1777">
        <f t="shared" si="91"/>
        <v>185.66367445479455</v>
      </c>
      <c r="BI239" s="1777">
        <f t="shared" si="91"/>
        <v>185.711364</v>
      </c>
      <c r="BJ239" s="1777">
        <f t="shared" si="91"/>
        <v>190.69807829301411</v>
      </c>
      <c r="BK239" s="1777">
        <f t="shared" si="90"/>
        <v>195.86113169885431</v>
      </c>
      <c r="BL239" s="1777">
        <f t="shared" si="90"/>
        <v>201.16397214770089</v>
      </c>
      <c r="BM239" s="1777">
        <f t="shared" si="90"/>
        <v>1.6537608212304327</v>
      </c>
      <c r="BO239" s="1739">
        <f t="shared" si="102"/>
        <v>2027</v>
      </c>
      <c r="BP239" s="1742">
        <f>_xlfn.IFNA(INDEX($AR239:$AX239,MATCH(BO239,$AR$2:$AX$2,0))*12/365*[11]核心假设及结论!$C$70*$H239,0)</f>
        <v>152639.477260274</v>
      </c>
      <c r="BR239" s="1739">
        <f t="shared" si="107"/>
        <v>2030</v>
      </c>
      <c r="BS239" s="1742">
        <f>_xlfn.IFNA(INDEX($AR239:$AX239,MATCH(BR239,$AR$2:$AX$2,0))*12/365*[11]核心假设及结论!$C$70*$H239,0)</f>
        <v>161016.63858953645</v>
      </c>
      <c r="BU239" s="1739">
        <f t="shared" si="108"/>
        <v>2033</v>
      </c>
      <c r="BV239" s="1742">
        <f>_xlfn.IFNA(INDEX($AR239:$AX239,MATCH(BU239,$AR$2:$AX$2,0))*12/365*[11]核心假设及结论!$C$70*$H239,0)</f>
        <v>0</v>
      </c>
      <c r="BX239" s="1739">
        <f t="shared" si="109"/>
        <v>2036</v>
      </c>
      <c r="BY239" s="1742">
        <f>_xlfn.IFNA(INDEX($AR239:$AX239,MATCH(BX239,$AR$2:$AX$2,0))*12/365*[11]核心假设及结论!$C$70*$H239,0)</f>
        <v>0</v>
      </c>
      <c r="CA239" s="1739">
        <f t="shared" si="110"/>
        <v>2039</v>
      </c>
      <c r="CB239" s="1742">
        <f>_xlfn.IFNA(INDEX($AR239:$AX239,MATCH(CA239,$AR$2:$AX$2,0))*12/365*[11]核心假设及结论!$C$70*$H239,0)</f>
        <v>0</v>
      </c>
    </row>
    <row r="240" spans="1:80" ht="30" customHeight="1">
      <c r="A240" s="1756" t="s">
        <v>1687</v>
      </c>
      <c r="B240" s="1757" t="s">
        <v>2171</v>
      </c>
      <c r="C240" s="1756" t="s">
        <v>2172</v>
      </c>
      <c r="D240" s="1756" t="s">
        <v>1676</v>
      </c>
      <c r="E240" s="1758" t="s">
        <v>1681</v>
      </c>
      <c r="F240" s="1759"/>
      <c r="G240" s="1760" t="s">
        <v>1661</v>
      </c>
      <c r="H240" s="1761">
        <v>159</v>
      </c>
      <c r="I240" s="1761" t="s">
        <v>1913</v>
      </c>
      <c r="J240" s="1773">
        <v>45245</v>
      </c>
      <c r="K240" s="1773">
        <v>46340</v>
      </c>
      <c r="L240" s="1764">
        <f t="shared" si="92"/>
        <v>36</v>
      </c>
      <c r="M240" s="1774">
        <f t="shared" si="103"/>
        <v>77625.39</v>
      </c>
      <c r="N240" s="1775">
        <f t="shared" si="104"/>
        <v>380.21</v>
      </c>
      <c r="O240" s="1760">
        <v>60453.39</v>
      </c>
      <c r="P240" s="1776">
        <v>0.1</v>
      </c>
      <c r="Q240" s="1783">
        <f t="shared" si="93"/>
        <v>90</v>
      </c>
      <c r="R240" s="1784">
        <v>14310</v>
      </c>
      <c r="S240" s="1777">
        <f t="shared" si="94"/>
        <v>18</v>
      </c>
      <c r="T240" s="1784">
        <v>2862</v>
      </c>
      <c r="U240" s="1777"/>
      <c r="V240" s="1785">
        <v>477920.02444444399</v>
      </c>
      <c r="W240" s="1785">
        <f t="shared" si="95"/>
        <v>3005.786317260654</v>
      </c>
      <c r="X240" s="1786">
        <f>(N240+Q240)*H240/V240</f>
        <v>0.15643493927024374</v>
      </c>
      <c r="Y240" s="1789">
        <f>VLOOKUP(E240,[11]核心假设及结论!$C$25:$E$45,3,0)</f>
        <v>0.25</v>
      </c>
      <c r="Z240" s="1790">
        <f t="shared" si="111"/>
        <v>60453.39</v>
      </c>
      <c r="AA240" s="1790">
        <f t="shared" si="111"/>
        <v>65290.17</v>
      </c>
      <c r="AB240" s="1790">
        <f t="shared" si="111"/>
        <v>0</v>
      </c>
      <c r="AC240" s="1790">
        <f t="shared" ref="AC240:AF302" si="115">AJ240*$H240</f>
        <v>0</v>
      </c>
      <c r="AD240" s="1790">
        <f t="shared" si="115"/>
        <v>0</v>
      </c>
      <c r="AE240" s="1790">
        <f t="shared" si="115"/>
        <v>0</v>
      </c>
      <c r="AF240" s="1790">
        <f t="shared" si="115"/>
        <v>0</v>
      </c>
      <c r="AG240" s="1794">
        <v>380.21</v>
      </c>
      <c r="AH240" s="1794">
        <v>410.63</v>
      </c>
      <c r="AI240" s="1794">
        <v>0</v>
      </c>
      <c r="AJ240" s="1794">
        <v>0</v>
      </c>
      <c r="AK240" s="1794">
        <v>0</v>
      </c>
      <c r="AL240" s="1794">
        <v>0</v>
      </c>
      <c r="AM240" s="1794">
        <v>0</v>
      </c>
      <c r="AN240" s="1797"/>
      <c r="AO240" s="1797"/>
      <c r="AP240" s="1808">
        <f t="shared" si="105"/>
        <v>0.62573975708097496</v>
      </c>
      <c r="AQ240" s="1808">
        <f>IF(AP240&gt;[11]核心假设及结论!$B$65,[11]核心假设及结论!$D$65,IF(AP240&lt;=[11]核心假设及结论!$B$64,[11]核心假设及结论!$D$63,[11]核心假设及结论!$D$64))</f>
        <v>1</v>
      </c>
      <c r="AR240" s="1809">
        <f t="shared" si="106"/>
        <v>380.21</v>
      </c>
      <c r="AS240" s="1809">
        <f>AH240*(AS$2&lt;=YEAR($K240))+AR240*$AQ240*(AS$2=YEAR($K240)+1)+INDEX([11]核心假设及结论!$E$17:$E$21,MATCH($D240,[11]核心假设及结论!$B$17:$B$21,0))*(AS$2&gt;YEAR($K240)+1)*AR240</f>
        <v>410.63</v>
      </c>
      <c r="AT240" s="1811">
        <f>AI240*(AT$2&lt;=YEAR($K240))+AS240*$AQ240*(AT$2=YEAR($K240)+1)+INDEX([11]核心假设及结论!$E$17:$E$21,MATCH($D240,[11]核心假设及结论!$B$17:$B$21,0))*(AT$2&gt;YEAR($K240)+1)*AS240</f>
        <v>410.63</v>
      </c>
      <c r="AU240" s="1809">
        <f>AJ240*(AU$2&lt;=YEAR($K240))+AT240*$AQ240*(AU$2=YEAR($K240)+1)+INDEX([11]核心假设及结论!$E$17:$E$21,MATCH($D240,[11]核心假设及结论!$B$17:$B$21,0))*(AU$2&gt;YEAR($K240)+1)*AT240</f>
        <v>424.82756817909842</v>
      </c>
      <c r="AV240" s="1809">
        <f>AK240*(AV$2&lt;=YEAR($K240))+AU240*$AQ240*(AV$2=YEAR($K240)+1)+INDEX([11]核心假设及结论!$E$17:$E$21,MATCH($D240,[11]核心假设及结论!$B$17:$B$21,0))*(AV$2&gt;YEAR($K240)+1)*AU240</f>
        <v>439.51601852024089</v>
      </c>
      <c r="AW240" s="1809">
        <f>AL240*(AW$2&lt;=YEAR($K240))+AV240*$AQ240*(AW$2=YEAR($K240)+1)+INDEX([11]核心假设及结论!$E$17:$E$21,MATCH($D240,[11]核心假设及结论!$B$17:$B$21,0))*(AW$2&gt;YEAR($K240)+1)*AV240</f>
        <v>454.71232331713099</v>
      </c>
      <c r="AX240" s="1809">
        <f>AM240*(AX$2&lt;=YEAR($K240))+AW240*$AQ240*(AX$2=YEAR($K240)+1)+INDEX([11]核心假设及结论!$E$17:$E$21,MATCH($D240,[11]核心假设及结论!$B$17:$B$21,0))*(AX$2&gt;YEAR($K240)+1)*AW240</f>
        <v>470.43404168201226</v>
      </c>
      <c r="AZ240" s="1746">
        <f t="shared" si="96"/>
        <v>46340</v>
      </c>
      <c r="BA240" s="1817">
        <f t="shared" si="97"/>
        <v>45658</v>
      </c>
      <c r="BB240" s="1817">
        <f t="shared" si="98"/>
        <v>45975</v>
      </c>
      <c r="BC240" s="1817">
        <f t="shared" si="99"/>
        <v>46022</v>
      </c>
      <c r="BD240" s="1818">
        <f t="shared" si="100"/>
        <v>318</v>
      </c>
      <c r="BE240" s="1818">
        <f t="shared" si="101"/>
        <v>47</v>
      </c>
      <c r="BG240" s="1777">
        <f t="shared" si="112"/>
        <v>73.291449895890423</v>
      </c>
      <c r="BH240" s="1777">
        <f t="shared" si="91"/>
        <v>78.348203999999996</v>
      </c>
      <c r="BI240" s="1777">
        <f t="shared" si="91"/>
        <v>78.697020746309249</v>
      </c>
      <c r="BJ240" s="1777">
        <f t="shared" si="91"/>
        <v>81.417977124405468</v>
      </c>
      <c r="BK240" s="1777">
        <f t="shared" si="90"/>
        <v>84.233010807351249</v>
      </c>
      <c r="BL240" s="1777">
        <f t="shared" si="90"/>
        <v>87.14537452619328</v>
      </c>
      <c r="BM240" s="1777">
        <f t="shared" si="90"/>
        <v>78.200830735975572</v>
      </c>
      <c r="BO240" s="1739">
        <f t="shared" si="102"/>
        <v>2026</v>
      </c>
      <c r="BP240" s="1742">
        <f>_xlfn.IFNA(INDEX($AR240:$AX240,MATCH(BO240,$AR$2:$AX$2,0))*12/365*[11]核心假设及结论!$C$70*$H240,0)</f>
        <v>64395.78410958904</v>
      </c>
      <c r="BR240" s="1739">
        <f t="shared" si="107"/>
        <v>2029</v>
      </c>
      <c r="BS240" s="1742">
        <f>_xlfn.IFNA(INDEX($AR240:$AX240,MATCH(BR240,$AR$2:$AX$2,0))*12/365*[11]核心假设及结论!$C$70*$H240,0)</f>
        <v>68925.744931776964</v>
      </c>
      <c r="BU240" s="1739">
        <f t="shared" si="108"/>
        <v>2032</v>
      </c>
      <c r="BV240" s="1742">
        <f>_xlfn.IFNA(INDEX($AR240:$AX240,MATCH(BU240,$AR$2:$AX$2,0))*12/365*[11]核心假设及结论!$C$70*$H240,0)</f>
        <v>0</v>
      </c>
      <c r="BX240" s="1739">
        <f t="shared" si="109"/>
        <v>2035</v>
      </c>
      <c r="BY240" s="1742">
        <f>_xlfn.IFNA(INDEX($AR240:$AX240,MATCH(BX240,$AR$2:$AX$2,0))*12/365*[11]核心假设及结论!$C$70*$H240,0)</f>
        <v>0</v>
      </c>
      <c r="CA240" s="1739">
        <f t="shared" si="110"/>
        <v>2038</v>
      </c>
      <c r="CB240" s="1742">
        <f>_xlfn.IFNA(INDEX($AR240:$AX240,MATCH(CA240,$AR$2:$AX$2,0))*12/365*[11]核心假设及结论!$C$70*$H240,0)</f>
        <v>0</v>
      </c>
    </row>
    <row r="241" spans="1:80" ht="30" customHeight="1">
      <c r="A241" s="1756" t="s">
        <v>1687</v>
      </c>
      <c r="B241" s="1757" t="s">
        <v>2173</v>
      </c>
      <c r="C241" s="1756" t="s">
        <v>2174</v>
      </c>
      <c r="D241" s="1756" t="s">
        <v>1685</v>
      </c>
      <c r="E241" s="1758" t="s">
        <v>1692</v>
      </c>
      <c r="F241" s="1759"/>
      <c r="G241" s="1760" t="s">
        <v>1661</v>
      </c>
      <c r="H241" s="1761">
        <v>158</v>
      </c>
      <c r="I241" s="1761" t="s">
        <v>1913</v>
      </c>
      <c r="J241" s="1773">
        <v>45035</v>
      </c>
      <c r="K241" s="1773">
        <v>46130</v>
      </c>
      <c r="L241" s="1764">
        <f t="shared" si="92"/>
        <v>36</v>
      </c>
      <c r="M241" s="1774">
        <f t="shared" si="103"/>
        <v>150011.51999999999</v>
      </c>
      <c r="N241" s="1775">
        <f t="shared" si="104"/>
        <v>836.43999999999994</v>
      </c>
      <c r="O241" s="1760">
        <v>132157.51999999999</v>
      </c>
      <c r="P241" s="1776">
        <v>0.18</v>
      </c>
      <c r="Q241" s="1783">
        <f t="shared" si="93"/>
        <v>95</v>
      </c>
      <c r="R241" s="1784">
        <v>15010</v>
      </c>
      <c r="S241" s="1777">
        <f t="shared" si="94"/>
        <v>18</v>
      </c>
      <c r="T241" s="1777">
        <v>2844</v>
      </c>
      <c r="U241" s="1777"/>
      <c r="V241" s="1785">
        <v>213278.811666667</v>
      </c>
      <c r="W241" s="1785">
        <f t="shared" si="95"/>
        <v>1349.8658966244745</v>
      </c>
      <c r="X241" s="1786">
        <f>(N241+Q241)*H241/V241</f>
        <v>0.69002409967478529</v>
      </c>
      <c r="Y241" s="1789">
        <f>VLOOKUP(E241,[11]核心假设及结论!$C$25:$E$45,3,0)</f>
        <v>0.2</v>
      </c>
      <c r="Z241" s="1790">
        <f t="shared" ref="Z241:AB302" si="116">AG241*$H241</f>
        <v>132157.52000000002</v>
      </c>
      <c r="AA241" s="1790">
        <f t="shared" si="116"/>
        <v>134579.66</v>
      </c>
      <c r="AB241" s="1790">
        <f t="shared" si="116"/>
        <v>0</v>
      </c>
      <c r="AC241" s="1790">
        <f t="shared" si="115"/>
        <v>0</v>
      </c>
      <c r="AD241" s="1790">
        <f t="shared" si="115"/>
        <v>0</v>
      </c>
      <c r="AE241" s="1790">
        <f t="shared" si="115"/>
        <v>0</v>
      </c>
      <c r="AF241" s="1790">
        <f t="shared" si="115"/>
        <v>0</v>
      </c>
      <c r="AG241" s="1794">
        <v>836.44</v>
      </c>
      <c r="AH241" s="1794">
        <v>851.77</v>
      </c>
      <c r="AI241" s="1794">
        <v>0</v>
      </c>
      <c r="AJ241" s="1794">
        <v>0</v>
      </c>
      <c r="AK241" s="1794">
        <v>0</v>
      </c>
      <c r="AL241" s="1794">
        <v>0</v>
      </c>
      <c r="AM241" s="1794">
        <v>0</v>
      </c>
      <c r="AN241" s="1795"/>
      <c r="AO241" s="1795"/>
      <c r="AP241" s="1808">
        <f t="shared" si="105"/>
        <v>3.4501204983739262</v>
      </c>
      <c r="AQ241" s="1810">
        <f>IF(AP241&gt;[11]核心假设及结论!$B$59,[11]核心假设及结论!$D$59,IF(AP241&lt;=[11]核心假设及结论!$B$58,[11]核心假设及结论!$D$57,[11]核心假设及结论!$D$58))</f>
        <v>1</v>
      </c>
      <c r="AR241" s="1809">
        <f t="shared" si="106"/>
        <v>836.44</v>
      </c>
      <c r="AS241" s="1809">
        <f>AH241*(AS$2&lt;=YEAR($K241))+AR241*$AQ241*(AS$2=YEAR($K241)+1)+INDEX([11]核心假设及结论!$E$17:$E$21,MATCH($D241,[11]核心假设及结论!$B$17:$B$21,0))*(AS$2&gt;YEAR($K241)+1)*AR241</f>
        <v>851.77</v>
      </c>
      <c r="AT241" s="1811">
        <f>AI241*(AT$2&lt;=YEAR($K241))+AS241*$AQ241*(AT$2=YEAR($K241)+1)+INDEX([11]核心假设及结论!$E$17:$E$21,MATCH($D241,[11]核心假设及结论!$B$17:$B$21,0))*(AT$2&gt;YEAR($K241)+1)*AS241</f>
        <v>851.77</v>
      </c>
      <c r="AU241" s="1809">
        <f>AJ241*(AU$2&lt;=YEAR($K241))+AT241*$AQ241*(AU$2=YEAR($K241)+1)+INDEX([11]核心假设及结论!$E$17:$E$21,MATCH($D241,[11]核心假设及结论!$B$17:$B$21,0))*(AU$2&gt;YEAR($K241)+1)*AT241</f>
        <v>874.83123920522826</v>
      </c>
      <c r="AV241" s="1809">
        <f>AK241*(AV$2&lt;=YEAR($K241))+AU241*$AQ241*(AV$2=YEAR($K241)+1)+INDEX([11]核心假设及结论!$E$17:$E$21,MATCH($D241,[11]核心假设及结论!$B$17:$B$21,0))*(AV$2&gt;YEAR($K241)+1)*AU241</f>
        <v>898.51684972393411</v>
      </c>
      <c r="AW241" s="1809">
        <f>AL241*(AW$2&lt;=YEAR($K241))+AV241*$AQ241*(AW$2=YEAR($K241)+1)+INDEX([11]核心假设及结论!$E$17:$E$21,MATCH($D241,[11]核心假设及结论!$B$17:$B$21,0))*(AW$2&gt;YEAR($K241)+1)*AV241</f>
        <v>922.84373609162947</v>
      </c>
      <c r="AX241" s="1809">
        <f>AM241*(AX$2&lt;=YEAR($K241))+AW241*$AQ241*(AX$2=YEAR($K241)+1)+INDEX([11]核心假设及结论!$E$17:$E$21,MATCH($D241,[11]核心假设及结论!$B$17:$B$21,0))*(AX$2&gt;YEAR($K241)+1)*AW241</f>
        <v>947.82926052552079</v>
      </c>
      <c r="AZ241" s="1746">
        <f t="shared" si="96"/>
        <v>46130</v>
      </c>
      <c r="BA241" s="1817">
        <f t="shared" si="97"/>
        <v>45658</v>
      </c>
      <c r="BB241" s="1817">
        <f t="shared" si="98"/>
        <v>45765</v>
      </c>
      <c r="BC241" s="1817">
        <f t="shared" si="99"/>
        <v>46022</v>
      </c>
      <c r="BD241" s="1818">
        <f t="shared" si="100"/>
        <v>108</v>
      </c>
      <c r="BE241" s="1818">
        <f t="shared" si="101"/>
        <v>257</v>
      </c>
      <c r="BG241" s="1777">
        <f t="shared" si="112"/>
        <v>160.63556639999999</v>
      </c>
      <c r="BH241" s="1777">
        <f t="shared" si="91"/>
        <v>161.49559199999999</v>
      </c>
      <c r="BI241" s="1777">
        <f t="shared" si="91"/>
        <v>164.57424847945481</v>
      </c>
      <c r="BJ241" s="1777">
        <f t="shared" si="91"/>
        <v>169.0300124899334</v>
      </c>
      <c r="BK241" s="1777">
        <f t="shared" si="90"/>
        <v>173.60641404304414</v>
      </c>
      <c r="BL241" s="1777">
        <f t="shared" si="90"/>
        <v>178.30671933884994</v>
      </c>
      <c r="BM241" s="1777">
        <f t="shared" si="90"/>
        <v>53.174000553230094</v>
      </c>
      <c r="BO241" s="1739">
        <f t="shared" si="102"/>
        <v>2026</v>
      </c>
      <c r="BP241" s="1742">
        <f>_xlfn.IFNA(INDEX($AR241:$AX241,MATCH(BO241,$AR$2:$AX$2,0))*12/365*[11]核心假设及结论!$C$70*$H241,0)</f>
        <v>132736.10301369862</v>
      </c>
      <c r="BR241" s="1739">
        <f t="shared" si="107"/>
        <v>2029</v>
      </c>
      <c r="BS241" s="1742">
        <f>_xlfn.IFNA(INDEX($AR241:$AX241,MATCH(BR241,$AR$2:$AX$2,0))*12/365*[11]核心假设及结论!$C$70*$H241,0)</f>
        <v>140020.9271569791</v>
      </c>
      <c r="BU241" s="1739">
        <f t="shared" si="108"/>
        <v>2032</v>
      </c>
      <c r="BV241" s="1742">
        <f>_xlfn.IFNA(INDEX($AR241:$AX241,MATCH(BU241,$AR$2:$AX$2,0))*12/365*[11]核心假设及结论!$C$70*$H241,0)</f>
        <v>0</v>
      </c>
      <c r="BX241" s="1739">
        <f t="shared" si="109"/>
        <v>2035</v>
      </c>
      <c r="BY241" s="1742">
        <f>_xlfn.IFNA(INDEX($AR241:$AX241,MATCH(BX241,$AR$2:$AX$2,0))*12/365*[11]核心假设及结论!$C$70*$H241,0)</f>
        <v>0</v>
      </c>
      <c r="CA241" s="1739">
        <f t="shared" si="110"/>
        <v>2038</v>
      </c>
      <c r="CB241" s="1742">
        <f>_xlfn.IFNA(INDEX($AR241:$AX241,MATCH(CA241,$AR$2:$AX$2,0))*12/365*[11]核心假设及结论!$C$70*$H241,0)</f>
        <v>0</v>
      </c>
    </row>
    <row r="242" spans="1:80" ht="30" customHeight="1">
      <c r="A242" s="1756" t="s">
        <v>1666</v>
      </c>
      <c r="B242" s="1757" t="s">
        <v>2175</v>
      </c>
      <c r="C242" s="1756" t="s">
        <v>2176</v>
      </c>
      <c r="D242" s="1756" t="s">
        <v>1685</v>
      </c>
      <c r="E242" s="1758" t="s">
        <v>1692</v>
      </c>
      <c r="F242" s="1759"/>
      <c r="G242" s="1760" t="s">
        <v>1661</v>
      </c>
      <c r="H242" s="1761">
        <v>157</v>
      </c>
      <c r="I242" s="1761" t="s">
        <v>1913</v>
      </c>
      <c r="J242" s="1773">
        <v>44896</v>
      </c>
      <c r="K242" s="1773">
        <v>46356</v>
      </c>
      <c r="L242" s="1764">
        <f t="shared" si="92"/>
        <v>48</v>
      </c>
      <c r="M242" s="1774">
        <f t="shared" si="103"/>
        <v>120890</v>
      </c>
      <c r="N242" s="1775">
        <f t="shared" si="104"/>
        <v>657</v>
      </c>
      <c r="O242" s="1760">
        <v>103149</v>
      </c>
      <c r="P242" s="1776">
        <v>0.18</v>
      </c>
      <c r="Q242" s="1783">
        <f t="shared" si="93"/>
        <v>95</v>
      </c>
      <c r="R242" s="1784">
        <v>14915</v>
      </c>
      <c r="S242" s="1777">
        <f t="shared" si="94"/>
        <v>18</v>
      </c>
      <c r="T242" s="1777">
        <v>2826</v>
      </c>
      <c r="U242" s="1777"/>
      <c r="V242" s="1785">
        <v>306974.70750000002</v>
      </c>
      <c r="W242" s="1785">
        <f t="shared" si="95"/>
        <v>1955.252914012739</v>
      </c>
      <c r="X242" s="1786">
        <f>(N242+Q242+S242)*H242/V242</f>
        <v>0.39381094613470718</v>
      </c>
      <c r="Y242" s="1789">
        <f>VLOOKUP(E242,[11]核心假设及结论!$C$25:$E$45,3,0)</f>
        <v>0.2</v>
      </c>
      <c r="Z242" s="1790">
        <f t="shared" si="116"/>
        <v>105059.68999999999</v>
      </c>
      <c r="AA242" s="1790">
        <f t="shared" si="116"/>
        <v>109834.06000000001</v>
      </c>
      <c r="AB242" s="1790">
        <f t="shared" si="116"/>
        <v>0</v>
      </c>
      <c r="AC242" s="1790">
        <f t="shared" si="115"/>
        <v>0</v>
      </c>
      <c r="AD242" s="1790">
        <f t="shared" si="115"/>
        <v>0</v>
      </c>
      <c r="AE242" s="1790">
        <f t="shared" si="115"/>
        <v>0</v>
      </c>
      <c r="AF242" s="1790">
        <f t="shared" si="115"/>
        <v>0</v>
      </c>
      <c r="AG242" s="1794">
        <v>669.17</v>
      </c>
      <c r="AH242" s="1794">
        <v>699.58</v>
      </c>
      <c r="AI242" s="1794">
        <v>0</v>
      </c>
      <c r="AJ242" s="1794">
        <v>0</v>
      </c>
      <c r="AK242" s="1794">
        <v>0</v>
      </c>
      <c r="AL242" s="1794">
        <v>0</v>
      </c>
      <c r="AM242" s="1794">
        <v>0</v>
      </c>
      <c r="AN242" s="1795"/>
      <c r="AO242" s="1795"/>
      <c r="AP242" s="1808">
        <f t="shared" si="105"/>
        <v>1.9690547306735358</v>
      </c>
      <c r="AQ242" s="1810">
        <f>IF(AP242&gt;[11]核心假设及结论!$B$59,[11]核心假设及结论!$D$59,IF(AP242&lt;=[11]核心假设及结论!$B$58,[11]核心假设及结论!$D$57,[11]核心假设及结论!$D$58))</f>
        <v>1</v>
      </c>
      <c r="AR242" s="1809">
        <f t="shared" si="106"/>
        <v>669.17</v>
      </c>
      <c r="AS242" s="1809">
        <f>AH242*(AS$2&lt;=YEAR($K242))+AR242*$AQ242*(AS$2=YEAR($K242)+1)+INDEX([11]核心假设及结论!$E$17:$E$21,MATCH($D242,[11]核心假设及结论!$B$17:$B$21,0))*(AS$2&gt;YEAR($K242)+1)*AR242</f>
        <v>699.58</v>
      </c>
      <c r="AT242" s="1811">
        <f>AI242*(AT$2&lt;=YEAR($K242))+AS242*$AQ242*(AT$2=YEAR($K242)+1)+INDEX([11]核心假设及结论!$E$17:$E$21,MATCH($D242,[11]核心假设及结论!$B$17:$B$21,0))*(AT$2&gt;YEAR($K242)+1)*AS242</f>
        <v>699.58</v>
      </c>
      <c r="AU242" s="1809">
        <f>AJ242*(AU$2&lt;=YEAR($K242))+AT242*$AQ242*(AU$2=YEAR($K242)+1)+INDEX([11]核心假设及结论!$E$17:$E$21,MATCH($D242,[11]核心假设及结论!$B$17:$B$21,0))*(AU$2&gt;YEAR($K242)+1)*AT242</f>
        <v>718.52077241883808</v>
      </c>
      <c r="AV242" s="1809">
        <f>AK242*(AV$2&lt;=YEAR($K242))+AU242*$AQ242*(AV$2=YEAR($K242)+1)+INDEX([11]核心假设及结论!$E$17:$E$21,MATCH($D242,[11]核心假设及结论!$B$17:$B$21,0))*(AV$2&gt;YEAR($K242)+1)*AU242</f>
        <v>737.97435661019983</v>
      </c>
      <c r="AW242" s="1809">
        <f>AL242*(AW$2&lt;=YEAR($K242))+AV242*$AQ242*(AW$2=YEAR($K242)+1)+INDEX([11]核心假设及结论!$E$17:$E$21,MATCH($D242,[11]核心假设及结论!$B$17:$B$21,0))*(AW$2&gt;YEAR($K242)+1)*AV242</f>
        <v>757.95463669180901</v>
      </c>
      <c r="AX242" s="1809">
        <f>AM242*(AX$2&lt;=YEAR($K242))+AW242*$AQ242*(AX$2=YEAR($K242)+1)+INDEX([11]核心假设及结论!$E$17:$E$21,MATCH($D242,[11]核心假设及结论!$B$17:$B$21,0))*(AX$2&gt;YEAR($K242)+1)*AW242</f>
        <v>778.47587268680968</v>
      </c>
      <c r="AZ242" s="1746">
        <f t="shared" si="96"/>
        <v>46356</v>
      </c>
      <c r="BA242" s="1817">
        <f t="shared" si="97"/>
        <v>45658</v>
      </c>
      <c r="BB242" s="1817">
        <f t="shared" si="98"/>
        <v>45991</v>
      </c>
      <c r="BC242" s="1817">
        <f t="shared" si="99"/>
        <v>46022</v>
      </c>
      <c r="BD242" s="1818">
        <f t="shared" si="100"/>
        <v>334</v>
      </c>
      <c r="BE242" s="1818">
        <f t="shared" si="101"/>
        <v>31</v>
      </c>
      <c r="BG242" s="1777">
        <f t="shared" si="112"/>
        <v>126.55822132602739</v>
      </c>
      <c r="BH242" s="1777">
        <f t="shared" si="91"/>
        <v>131.80087200000003</v>
      </c>
      <c r="BI242" s="1777">
        <f t="shared" si="91"/>
        <v>132.10394511571229</v>
      </c>
      <c r="BJ242" s="1777">
        <f t="shared" si="91"/>
        <v>135.68059218976725</v>
      </c>
      <c r="BK242" s="1777">
        <f t="shared" si="90"/>
        <v>139.35407516286475</v>
      </c>
      <c r="BL242" s="1777">
        <f t="shared" si="90"/>
        <v>143.12701581768258</v>
      </c>
      <c r="BM242" s="1777">
        <f t="shared" si="90"/>
        <v>134.20838732696194</v>
      </c>
      <c r="BO242" s="1739">
        <f t="shared" si="102"/>
        <v>2026</v>
      </c>
      <c r="BP242" s="1742">
        <f>_xlfn.IFNA(INDEX($AR242:$AX242,MATCH(BO242,$AR$2:$AX$2,0))*12/365*[11]核心假设及结论!$C$70*$H242,0)</f>
        <v>108329.48383561645</v>
      </c>
      <c r="BR242" s="1739">
        <f t="shared" si="107"/>
        <v>2030</v>
      </c>
      <c r="BS242" s="1742">
        <f>_xlfn.IFNA(INDEX($AR242:$AX242,MATCH(BR242,$AR$2:$AX$2,0))*12/365*[11]核心假设及结论!$C$70*$H242,0)</f>
        <v>117368.75634471522</v>
      </c>
      <c r="BU242" s="1739">
        <f t="shared" si="108"/>
        <v>2034</v>
      </c>
      <c r="BV242" s="1742">
        <f>_xlfn.IFNA(INDEX($AR242:$AX242,MATCH(BU242,$AR$2:$AX$2,0))*12/365*[11]核心假设及结论!$C$70*$H242,0)</f>
        <v>0</v>
      </c>
      <c r="BX242" s="1739">
        <f t="shared" si="109"/>
        <v>2038</v>
      </c>
      <c r="BY242" s="1742">
        <f>_xlfn.IFNA(INDEX($AR242:$AX242,MATCH(BX242,$AR$2:$AX$2,0))*12/365*[11]核心假设及结论!$C$70*$H242,0)</f>
        <v>0</v>
      </c>
      <c r="CA242" s="1739">
        <f t="shared" si="110"/>
        <v>2042</v>
      </c>
      <c r="CB242" s="1742">
        <f>_xlfn.IFNA(INDEX($AR242:$AX242,MATCH(CA242,$AR$2:$AX$2,0))*12/365*[11]核心假设及结论!$C$70*$H242,0)</f>
        <v>0</v>
      </c>
    </row>
    <row r="243" spans="1:80" ht="30" customHeight="1">
      <c r="A243" s="1756" t="s">
        <v>1662</v>
      </c>
      <c r="B243" s="1757" t="s">
        <v>2177</v>
      </c>
      <c r="C243" s="1756" t="s">
        <v>2178</v>
      </c>
      <c r="D243" s="1756" t="s">
        <v>1685</v>
      </c>
      <c r="E243" s="1758" t="s">
        <v>1721</v>
      </c>
      <c r="F243" s="1759"/>
      <c r="G243" s="1760" t="s">
        <v>1661</v>
      </c>
      <c r="H243" s="1761">
        <v>156</v>
      </c>
      <c r="I243" s="1761" t="s">
        <v>1913</v>
      </c>
      <c r="J243" s="1773">
        <v>44761</v>
      </c>
      <c r="K243" s="1773">
        <v>45856</v>
      </c>
      <c r="L243" s="1764">
        <f t="shared" si="92"/>
        <v>36</v>
      </c>
      <c r="M243" s="1774">
        <f t="shared" si="103"/>
        <v>179193.66269999999</v>
      </c>
      <c r="N243" s="1775">
        <f t="shared" si="104"/>
        <v>1034.1299999999999</v>
      </c>
      <c r="O243" s="1760">
        <v>161324.28</v>
      </c>
      <c r="P243" s="1776">
        <v>0.16</v>
      </c>
      <c r="Q243" s="1783">
        <f t="shared" si="93"/>
        <v>95</v>
      </c>
      <c r="R243" s="1784">
        <v>14820</v>
      </c>
      <c r="S243" s="1777">
        <f t="shared" si="94"/>
        <v>19.547325000000001</v>
      </c>
      <c r="T243" s="1784">
        <v>3049.3827000000001</v>
      </c>
      <c r="U243" s="1777"/>
      <c r="V243" s="1785">
        <v>824893.79166666698</v>
      </c>
      <c r="W243" s="1785">
        <f t="shared" si="95"/>
        <v>5287.7807158119676</v>
      </c>
      <c r="X243" s="1786">
        <f>(N243+Q243)*H243/V243</f>
        <v>0.21353570820809192</v>
      </c>
      <c r="Y243" s="1789">
        <f>VLOOKUP(E243,[11]核心假设及结论!$C$25:$E$45,3,0)</f>
        <v>0.25</v>
      </c>
      <c r="Z243" s="1790">
        <f t="shared" si="116"/>
        <v>166058.88</v>
      </c>
      <c r="AA243" s="1790">
        <f t="shared" si="116"/>
        <v>0</v>
      </c>
      <c r="AB243" s="1790">
        <f t="shared" si="116"/>
        <v>0</v>
      </c>
      <c r="AC243" s="1790">
        <f t="shared" si="115"/>
        <v>0</v>
      </c>
      <c r="AD243" s="1790">
        <f t="shared" si="115"/>
        <v>0</v>
      </c>
      <c r="AE243" s="1790">
        <f t="shared" si="115"/>
        <v>0</v>
      </c>
      <c r="AF243" s="1790">
        <f t="shared" si="115"/>
        <v>0</v>
      </c>
      <c r="AG243" s="1794">
        <v>1064.48</v>
      </c>
      <c r="AH243" s="1794">
        <v>0</v>
      </c>
      <c r="AI243" s="1794">
        <v>0</v>
      </c>
      <c r="AJ243" s="1794">
        <v>0</v>
      </c>
      <c r="AK243" s="1794">
        <v>0</v>
      </c>
      <c r="AL243" s="1794">
        <v>0</v>
      </c>
      <c r="AM243" s="1794">
        <v>0</v>
      </c>
      <c r="AN243" s="1797"/>
      <c r="AO243" s="1797"/>
      <c r="AP243" s="1808">
        <f t="shared" si="105"/>
        <v>0.85414283283236769</v>
      </c>
      <c r="AQ243" s="1810">
        <f>IF(AP243&gt;[11]核心假设及结论!$B$59,[11]核心假设及结论!$D$59,IF(AP243&lt;=[11]核心假设及结论!$B$58,[11]核心假设及结论!$D$57,[11]核心假设及结论!$D$58))</f>
        <v>1.0342640124442799</v>
      </c>
      <c r="AR243" s="1809">
        <f t="shared" si="106"/>
        <v>1064.48</v>
      </c>
      <c r="AS243" s="1811">
        <f>AH243*(AS$2&lt;=YEAR($K243))+AR243*$AQ243*(AS$2=YEAR($K243)+1)+INDEX([11]核心假设及结论!$E$17:$E$21,MATCH($D243,[11]核心假设及结论!$B$17:$B$21,0))*(AS$2&gt;YEAR($K243)+1)*AR243</f>
        <v>1100.953355966687</v>
      </c>
      <c r="AT243" s="1809">
        <f>AI243*(AT$2&lt;=YEAR($K243))+AS243*$AQ243*(AT$2=YEAR($K243)+1)+INDEX([11]核心假设及结论!$E$17:$E$21,MATCH($D243,[11]核心假设及结论!$B$17:$B$21,0))*(AT$2&gt;YEAR($K243)+1)*AS243</f>
        <v>1130.7611077021868</v>
      </c>
      <c r="AU243" s="1809">
        <f>AJ243*(AU$2&lt;=YEAR($K243))+AT243*$AQ243*(AU$2=YEAR($K243)+1)+INDEX([11]核心假设及结论!$E$17:$E$21,MATCH($D243,[11]核心假设及结论!$B$17:$B$21,0))*(AU$2&gt;YEAR($K243)+1)*AT243</f>
        <v>1161.3758891439952</v>
      </c>
      <c r="AV243" s="1809">
        <f>AK243*(AV$2&lt;=YEAR($K243))+AU243*$AQ243*(AV$2=YEAR($K243)+1)+INDEX([11]核心假设及结论!$E$17:$E$21,MATCH($D243,[11]核心假设及结论!$B$17:$B$21,0))*(AV$2&gt;YEAR($K243)+1)*AU243</f>
        <v>1192.819550210638</v>
      </c>
      <c r="AW243" s="1809">
        <f>AL243*(AW$2&lt;=YEAR($K243))+AV243*$AQ243*(AW$2=YEAR($K243)+1)+INDEX([11]核心假设及结论!$E$17:$E$21,MATCH($D243,[11]核心假设及结论!$B$17:$B$21,0))*(AW$2&gt;YEAR($K243)+1)*AV243</f>
        <v>1225.1145323960641</v>
      </c>
      <c r="AX243" s="1809">
        <f>AM243*(AX$2&lt;=YEAR($K243))+AW243*$AQ243*(AX$2=YEAR($K243)+1)+INDEX([11]核心假设及结论!$E$17:$E$21,MATCH($D243,[11]核心假设及结论!$B$17:$B$21,0))*(AX$2&gt;YEAR($K243)+1)*AW243</f>
        <v>1258.2838847862481</v>
      </c>
      <c r="AZ243" s="1746">
        <f t="shared" si="96"/>
        <v>45856</v>
      </c>
      <c r="BA243" s="1817">
        <f t="shared" si="97"/>
        <v>45658</v>
      </c>
      <c r="BB243" s="1817">
        <f t="shared" si="98"/>
        <v>45856</v>
      </c>
      <c r="BC243" s="1817">
        <f t="shared" si="99"/>
        <v>46022</v>
      </c>
      <c r="BD243" s="1818">
        <f t="shared" si="100"/>
        <v>199</v>
      </c>
      <c r="BE243" s="1818">
        <f t="shared" si="101"/>
        <v>166</v>
      </c>
      <c r="BG243" s="1777">
        <f t="shared" si="112"/>
        <v>202.37590759270137</v>
      </c>
      <c r="BH243" s="1777">
        <f t="shared" si="91"/>
        <v>208.63622672115835</v>
      </c>
      <c r="BI243" s="1777">
        <f t="shared" si="91"/>
        <v>214.28494636530274</v>
      </c>
      <c r="BJ243" s="1777">
        <f t="shared" si="91"/>
        <v>220.08660221865495</v>
      </c>
      <c r="BK243" s="1777">
        <f t="shared" si="90"/>
        <v>226.04533495123573</v>
      </c>
      <c r="BL243" s="1777">
        <f t="shared" si="90"/>
        <v>232.1653973395992</v>
      </c>
      <c r="BM243" s="1777">
        <f t="shared" si="90"/>
        <v>128.4235558990826</v>
      </c>
      <c r="BO243" s="1739">
        <f t="shared" si="102"/>
        <v>2025</v>
      </c>
      <c r="BP243" s="1742">
        <f>_xlfn.IFNA(INDEX($AR243:$AX243,MATCH(BO243,$AR$2:$AX$2,0))*12/365*[11]核心假设及结论!$C$70*$H243,0)</f>
        <v>163784.10082191779</v>
      </c>
      <c r="BR243" s="1739">
        <f t="shared" si="107"/>
        <v>2028</v>
      </c>
      <c r="BS243" s="1742">
        <f>_xlfn.IFNA(INDEX($AR243:$AX243,MATCH(BR243,$AR$2:$AX$2,0))*12/365*[11]核心假设及结论!$C$70*$H243,0)</f>
        <v>178692.7943406213</v>
      </c>
      <c r="BU243" s="1739">
        <f t="shared" si="108"/>
        <v>2031</v>
      </c>
      <c r="BV243" s="1742">
        <f>_xlfn.IFNA(INDEX($AR243:$AX243,MATCH(BU243,$AR$2:$AX$2,0))*12/365*[11]核心假设及结论!$C$70*$H243,0)</f>
        <v>193603.35060163203</v>
      </c>
      <c r="BX243" s="1739">
        <f t="shared" si="109"/>
        <v>2034</v>
      </c>
      <c r="BY243" s="1742">
        <f>_xlfn.IFNA(INDEX($AR243:$AX243,MATCH(BX243,$AR$2:$AX$2,0))*12/365*[11]核心假设及结论!$C$70*$H243,0)</f>
        <v>0</v>
      </c>
      <c r="CA243" s="1739">
        <f t="shared" si="110"/>
        <v>2037</v>
      </c>
      <c r="CB243" s="1742">
        <f>_xlfn.IFNA(INDEX($AR243:$AX243,MATCH(CA243,$AR$2:$AX$2,0))*12/365*[11]核心假设及结论!$C$70*$H243,0)</f>
        <v>0</v>
      </c>
    </row>
    <row r="244" spans="1:80" ht="30" customHeight="1">
      <c r="A244" s="1756" t="s">
        <v>1687</v>
      </c>
      <c r="B244" s="1757" t="s">
        <v>2179</v>
      </c>
      <c r="C244" s="1756" t="s">
        <v>2180</v>
      </c>
      <c r="D244" s="1756" t="s">
        <v>1676</v>
      </c>
      <c r="E244" s="1758" t="s">
        <v>1677</v>
      </c>
      <c r="F244" s="1759"/>
      <c r="G244" s="1760" t="s">
        <v>1661</v>
      </c>
      <c r="H244" s="1761">
        <v>156</v>
      </c>
      <c r="I244" s="1761" t="s">
        <v>1913</v>
      </c>
      <c r="J244" s="1773">
        <v>45231</v>
      </c>
      <c r="K244" s="1773">
        <v>46326</v>
      </c>
      <c r="L244" s="1764">
        <f t="shared" si="92"/>
        <v>36</v>
      </c>
      <c r="M244" s="1774">
        <f t="shared" si="103"/>
        <v>59510.879999999997</v>
      </c>
      <c r="N244" s="1775">
        <f t="shared" si="104"/>
        <v>273.75</v>
      </c>
      <c r="O244" s="1760">
        <v>42705</v>
      </c>
      <c r="P244" s="1776">
        <v>0.17</v>
      </c>
      <c r="Q244" s="1783">
        <f t="shared" si="93"/>
        <v>90</v>
      </c>
      <c r="R244" s="1784">
        <v>14040</v>
      </c>
      <c r="S244" s="1777">
        <f t="shared" si="94"/>
        <v>17.73</v>
      </c>
      <c r="T244" s="1777">
        <v>2765.88</v>
      </c>
      <c r="U244" s="1777"/>
      <c r="V244" s="1785">
        <v>338127.27</v>
      </c>
      <c r="W244" s="1785">
        <f t="shared" si="95"/>
        <v>2167.4825000000001</v>
      </c>
      <c r="X244" s="1786">
        <f>(N244+Q244)*H244/V244</f>
        <v>0.16782142416374757</v>
      </c>
      <c r="Y244" s="1789">
        <f>VLOOKUP(E244,[11]核心假设及结论!$C$25:$E$45,3,0)</f>
        <v>0.25</v>
      </c>
      <c r="Z244" s="1790">
        <f t="shared" si="116"/>
        <v>44840.639999999999</v>
      </c>
      <c r="AA244" s="1790">
        <f t="shared" si="116"/>
        <v>47069.880000000005</v>
      </c>
      <c r="AB244" s="1790">
        <f t="shared" si="116"/>
        <v>0</v>
      </c>
      <c r="AC244" s="1790">
        <f t="shared" si="115"/>
        <v>0</v>
      </c>
      <c r="AD244" s="1790">
        <f t="shared" si="115"/>
        <v>0</v>
      </c>
      <c r="AE244" s="1790">
        <f t="shared" si="115"/>
        <v>0</v>
      </c>
      <c r="AF244" s="1790">
        <f t="shared" si="115"/>
        <v>0</v>
      </c>
      <c r="AG244" s="1794">
        <v>287.44</v>
      </c>
      <c r="AH244" s="1794">
        <v>301.73</v>
      </c>
      <c r="AI244" s="1794">
        <v>0</v>
      </c>
      <c r="AJ244" s="1794">
        <v>0</v>
      </c>
      <c r="AK244" s="1794">
        <v>0</v>
      </c>
      <c r="AL244" s="1794">
        <v>0</v>
      </c>
      <c r="AM244" s="1794">
        <v>0</v>
      </c>
      <c r="AN244" s="1795"/>
      <c r="AO244" s="1795"/>
      <c r="AP244" s="1808">
        <f t="shared" si="105"/>
        <v>0.67128569665499027</v>
      </c>
      <c r="AQ244" s="1808">
        <f>IF(AP244&gt;[11]核心假设及结论!$B$65,[11]核心假设及结论!$D$65,IF(AP244&lt;=[11]核心假设及结论!$B$64,[11]核心假设及结论!$D$63,[11]核心假设及结论!$D$64))</f>
        <v>1</v>
      </c>
      <c r="AR244" s="1809">
        <f t="shared" si="106"/>
        <v>287.44</v>
      </c>
      <c r="AS244" s="1809">
        <f>AH244*(AS$2&lt;=YEAR($K244))+AR244*$AQ244*(AS$2=YEAR($K244)+1)+INDEX([11]核心假设及结论!$E$17:$E$21,MATCH($D244,[11]核心假设及结论!$B$17:$B$21,0))*(AS$2&gt;YEAR($K244)+1)*AR244</f>
        <v>301.73</v>
      </c>
      <c r="AT244" s="1811">
        <f>AI244*(AT$2&lt;=YEAR($K244))+AS244*$AQ244*(AT$2=YEAR($K244)+1)+INDEX([11]核心假设及结论!$E$17:$E$21,MATCH($D244,[11]核心假设及结论!$B$17:$B$21,0))*(AT$2&gt;YEAR($K244)+1)*AS244</f>
        <v>301.73</v>
      </c>
      <c r="AU244" s="1809">
        <f>AJ244*(AU$2&lt;=YEAR($K244))+AT244*$AQ244*(AU$2=YEAR($K244)+1)+INDEX([11]核心假设及结论!$E$17:$E$21,MATCH($D244,[11]核心假设及结论!$B$17:$B$21,0))*(AU$2&gt;YEAR($K244)+1)*AT244</f>
        <v>312.16234115062065</v>
      </c>
      <c r="AV244" s="1809">
        <f>AK244*(AV$2&lt;=YEAR($K244))+AU244*$AQ244*(AV$2=YEAR($K244)+1)+INDEX([11]核心假设及结论!$E$17:$E$21,MATCH($D244,[11]核心假设及结论!$B$17:$B$21,0))*(AV$2&gt;YEAR($K244)+1)*AU244</f>
        <v>322.9553814093278</v>
      </c>
      <c r="AW244" s="1809">
        <f>AL244*(AW$2&lt;=YEAR($K244))+AV244*$AQ244*(AW$2=YEAR($K244)+1)+INDEX([11]核心假设及结论!$E$17:$E$21,MATCH($D244,[11]核心假设及结论!$B$17:$B$21,0))*(AW$2&gt;YEAR($K244)+1)*AV244</f>
        <v>334.12159197934375</v>
      </c>
      <c r="AX244" s="1809">
        <f>AM244*(AX$2&lt;=YEAR($K244))+AW244*$AQ244*(AX$2=YEAR($K244)+1)+INDEX([11]核心假设及结论!$E$17:$E$21,MATCH($D244,[11]核心假设及结论!$B$17:$B$21,0))*(AX$2&gt;YEAR($K244)+1)*AW244</f>
        <v>345.67387525683353</v>
      </c>
      <c r="AZ244" s="1746">
        <f t="shared" si="96"/>
        <v>46326</v>
      </c>
      <c r="BA244" s="1817">
        <f t="shared" si="97"/>
        <v>45658</v>
      </c>
      <c r="BB244" s="1817">
        <f t="shared" si="98"/>
        <v>45961</v>
      </c>
      <c r="BC244" s="1817">
        <f t="shared" si="99"/>
        <v>46022</v>
      </c>
      <c r="BD244" s="1818">
        <f t="shared" si="100"/>
        <v>304</v>
      </c>
      <c r="BE244" s="1818">
        <f t="shared" si="101"/>
        <v>61</v>
      </c>
      <c r="BG244" s="1777">
        <f t="shared" si="112"/>
        <v>54.255837501369861</v>
      </c>
      <c r="BH244" s="1777">
        <f t="shared" si="91"/>
        <v>56.483856000000003</v>
      </c>
      <c r="BI244" s="1777">
        <f t="shared" si="91"/>
        <v>56.810236794704572</v>
      </c>
      <c r="BJ244" s="1777">
        <f t="shared" si="91"/>
        <v>58.774455702635166</v>
      </c>
      <c r="BK244" s="1777">
        <f t="shared" si="90"/>
        <v>60.806587651171725</v>
      </c>
      <c r="BL244" s="1777">
        <f t="shared" si="90"/>
        <v>62.908980739635368</v>
      </c>
      <c r="BM244" s="1777">
        <f t="shared" si="90"/>
        <v>53.895576526619415</v>
      </c>
      <c r="BO244" s="1739">
        <f t="shared" si="102"/>
        <v>2026</v>
      </c>
      <c r="BP244" s="1742">
        <f>_xlfn.IFNA(INDEX($AR244:$AX244,MATCH(BO244,$AR$2:$AX$2,0))*12/365*[11]核心假设及结论!$C$70*$H244,0)</f>
        <v>46425.087123287674</v>
      </c>
      <c r="BR244" s="1739">
        <f t="shared" si="107"/>
        <v>2029</v>
      </c>
      <c r="BS244" s="1742">
        <f>_xlfn.IFNA(INDEX($AR244:$AX244,MATCH(BR244,$AR$2:$AX$2,0))*12/365*[11]核心假设及结论!$C$70*$H244,0)</f>
        <v>49690.888273829718</v>
      </c>
      <c r="BU244" s="1739">
        <f t="shared" si="108"/>
        <v>2032</v>
      </c>
      <c r="BV244" s="1742">
        <f>_xlfn.IFNA(INDEX($AR244:$AX244,MATCH(BU244,$AR$2:$AX$2,0))*12/365*[11]核心假设及结论!$C$70*$H244,0)</f>
        <v>0</v>
      </c>
      <c r="BX244" s="1739">
        <f t="shared" si="109"/>
        <v>2035</v>
      </c>
      <c r="BY244" s="1742">
        <f>_xlfn.IFNA(INDEX($AR244:$AX244,MATCH(BX244,$AR$2:$AX$2,0))*12/365*[11]核心假设及结论!$C$70*$H244,0)</f>
        <v>0</v>
      </c>
      <c r="CA244" s="1739">
        <f t="shared" si="110"/>
        <v>2038</v>
      </c>
      <c r="CB244" s="1742">
        <f>_xlfn.IFNA(INDEX($AR244:$AX244,MATCH(CA244,$AR$2:$AX$2,0))*12/365*[11]核心假设及结论!$C$70*$H244,0)</f>
        <v>0</v>
      </c>
    </row>
    <row r="245" spans="1:80" ht="30" customHeight="1">
      <c r="A245" s="1763" t="s">
        <v>1662</v>
      </c>
      <c r="B245" s="1757" t="s">
        <v>2181</v>
      </c>
      <c r="C245" s="1822" t="s">
        <v>2182</v>
      </c>
      <c r="D245" s="1764" t="s">
        <v>1685</v>
      </c>
      <c r="E245" s="1764" t="s">
        <v>1726</v>
      </c>
      <c r="F245" s="1765"/>
      <c r="G245" s="1763" t="s">
        <v>1682</v>
      </c>
      <c r="H245" s="1761">
        <v>156</v>
      </c>
      <c r="I245" s="1763" t="s">
        <v>1913</v>
      </c>
      <c r="J245" s="1773">
        <v>46023</v>
      </c>
      <c r="K245" s="1773">
        <v>49458</v>
      </c>
      <c r="L245" s="1764">
        <f t="shared" si="92"/>
        <v>113</v>
      </c>
      <c r="M245" s="1774">
        <f t="shared" si="103"/>
        <v>0</v>
      </c>
      <c r="N245" s="1775">
        <f t="shared" si="104"/>
        <v>0</v>
      </c>
      <c r="O245" s="1777">
        <v>0</v>
      </c>
      <c r="P245" s="1763">
        <v>0</v>
      </c>
      <c r="Q245" s="1783">
        <f t="shared" si="93"/>
        <v>0</v>
      </c>
      <c r="R245" s="1763">
        <v>0</v>
      </c>
      <c r="S245" s="1777">
        <f t="shared" si="94"/>
        <v>0</v>
      </c>
      <c r="T245" s="1763">
        <v>0</v>
      </c>
      <c r="U245" s="1763"/>
      <c r="V245" s="1785"/>
      <c r="W245" s="1785">
        <f t="shared" si="95"/>
        <v>0</v>
      </c>
      <c r="X245" s="1786" t="e">
        <f>(N245+Q245)*H245/V245</f>
        <v>#DIV/0!</v>
      </c>
      <c r="Y245" s="1789">
        <f>VLOOKUP(E245,[11]核心假设及结论!$C$25:$E$45,3,0)</f>
        <v>0.1</v>
      </c>
      <c r="Z245" s="1790">
        <f t="shared" si="116"/>
        <v>0</v>
      </c>
      <c r="AA245" s="1790">
        <f t="shared" si="116"/>
        <v>54600</v>
      </c>
      <c r="AB245" s="1790">
        <f t="shared" si="116"/>
        <v>55692</v>
      </c>
      <c r="AC245" s="1790">
        <f t="shared" si="115"/>
        <v>56805.84</v>
      </c>
      <c r="AD245" s="1790">
        <f t="shared" si="115"/>
        <v>57941.9568</v>
      </c>
      <c r="AE245" s="1790">
        <f t="shared" si="115"/>
        <v>59100.795935999995</v>
      </c>
      <c r="AF245" s="1790">
        <f t="shared" si="115"/>
        <v>60282.811854719999</v>
      </c>
      <c r="AG245" s="1825">
        <v>0</v>
      </c>
      <c r="AH245" s="1830">
        <v>350</v>
      </c>
      <c r="AI245" s="1830">
        <v>357</v>
      </c>
      <c r="AJ245" s="1830">
        <v>364.14</v>
      </c>
      <c r="AK245" s="1830">
        <v>371.4228</v>
      </c>
      <c r="AL245" s="1830">
        <v>378.85125599999998</v>
      </c>
      <c r="AM245" s="1830">
        <v>386.42828112000001</v>
      </c>
      <c r="AN245" s="1764"/>
      <c r="AO245" s="1764"/>
      <c r="AP245" s="1808">
        <f t="shared" si="105"/>
        <v>1.25</v>
      </c>
      <c r="AQ245" s="1810">
        <f>IF(AP245&gt;[11]核心假设及结论!$B$59,[11]核心假设及结论!$D$59,IF(AP245&lt;=[11]核心假设及结论!$B$58,[11]核心假设及结论!$D$57,[11]核心假设及结论!$D$58))</f>
        <v>1.0069999999999999</v>
      </c>
      <c r="AR245" s="1809">
        <f t="shared" si="106"/>
        <v>0</v>
      </c>
      <c r="AS245" s="1809">
        <f>AH245*(AS$2&lt;=YEAR($K245))+AR245*$AQ245*(AS$2=YEAR($K245)+1)+INDEX([11]核心假设及结论!$E$17:$E$21,MATCH($D245,[11]核心假设及结论!$B$17:$B$21,0))*(AS$2&gt;YEAR($K245)+1)*AR245</f>
        <v>350</v>
      </c>
      <c r="AT245" s="1809">
        <f>AI245*(AT$2&lt;=YEAR($K245))+AS245*$AQ245*(AT$2=YEAR($K245)+1)+INDEX([11]核心假设及结论!$E$17:$E$21,MATCH($D245,[11]核心假设及结论!$B$17:$B$21,0))*(AT$2&gt;YEAR($K245)+1)*AS245</f>
        <v>357</v>
      </c>
      <c r="AU245" s="1809">
        <f>AJ245*(AU$2&lt;=YEAR($K245))+AT245*$AQ245*(AU$2=YEAR($K245)+1)+INDEX([11]核心假设及结论!$E$17:$E$21,MATCH($D245,[11]核心假设及结论!$B$17:$B$21,0))*(AU$2&gt;YEAR($K245)+1)*AT245</f>
        <v>364.14</v>
      </c>
      <c r="AV245" s="1809">
        <f>AK245*(AV$2&lt;=YEAR($K245))+AU245*$AQ245*(AV$2=YEAR($K245)+1)+INDEX([11]核心假设及结论!$E$17:$E$21,MATCH($D245,[11]核心假设及结论!$B$17:$B$21,0))*(AV$2&gt;YEAR($K245)+1)*AU245</f>
        <v>371.4228</v>
      </c>
      <c r="AW245" s="1809">
        <f>AL245*(AW$2&lt;=YEAR($K245))+AV245*$AQ245*(AW$2=YEAR($K245)+1)+INDEX([11]核心假设及结论!$E$17:$E$21,MATCH($D245,[11]核心假设及结论!$B$17:$B$21,0))*(AW$2&gt;YEAR($K245)+1)*AV245</f>
        <v>378.85125599999998</v>
      </c>
      <c r="AX245" s="1809">
        <f>AM245*(AX$2&lt;=YEAR($K245))+AW245*$AQ245*(AX$2=YEAR($K245)+1)+INDEX([11]核心假设及结论!$E$17:$E$21,MATCH($D245,[11]核心假设及结论!$B$17:$B$21,0))*(AX$2&gt;YEAR($K245)+1)*AW245</f>
        <v>386.42828112000001</v>
      </c>
      <c r="AZ245" s="1746">
        <f t="shared" si="96"/>
        <v>49458</v>
      </c>
      <c r="BA245" s="1817">
        <f t="shared" si="97"/>
        <v>45658</v>
      </c>
      <c r="BB245" s="1817">
        <f t="shared" si="98"/>
        <v>45806</v>
      </c>
      <c r="BC245" s="1817">
        <f t="shared" si="99"/>
        <v>46022</v>
      </c>
      <c r="BD245" s="1818">
        <f t="shared" si="100"/>
        <v>149</v>
      </c>
      <c r="BE245" s="1818">
        <f t="shared" si="101"/>
        <v>216</v>
      </c>
      <c r="BG245" s="1777">
        <f t="shared" si="112"/>
        <v>38.773479452054794</v>
      </c>
      <c r="BH245" s="1777">
        <f t="shared" si="91"/>
        <v>66.29546958904109</v>
      </c>
      <c r="BI245" s="1777">
        <f t="shared" si="91"/>
        <v>67.621378980821902</v>
      </c>
      <c r="BJ245" s="1777">
        <f t="shared" si="91"/>
        <v>68.973806560438362</v>
      </c>
      <c r="BK245" s="1777">
        <f t="shared" si="90"/>
        <v>70.353282691647109</v>
      </c>
      <c r="BL245" s="1777">
        <f t="shared" si="90"/>
        <v>71.760348345480068</v>
      </c>
      <c r="BM245" s="1777">
        <f t="shared" si="90"/>
        <v>29.53031988938065</v>
      </c>
      <c r="BO245" s="1739">
        <f t="shared" si="102"/>
        <v>2035</v>
      </c>
      <c r="BP245" s="1742">
        <f>_xlfn.IFNA(INDEX($AR245:$AX245,MATCH(BO245,$AR$2:$AX$2,0))*12/365*[11]核心假设及结论!$C$70*$H245,0)</f>
        <v>0</v>
      </c>
      <c r="BR245" s="1739">
        <f t="shared" si="107"/>
        <v>2044</v>
      </c>
      <c r="BS245" s="1742">
        <f>_xlfn.IFNA(INDEX($AR245:$AX245,MATCH(BR245,$AR$2:$AX$2,0))*12/365*[11]核心假设及结论!$C$70*$H245,0)</f>
        <v>0</v>
      </c>
      <c r="BU245" s="1739">
        <f t="shared" si="108"/>
        <v>2053</v>
      </c>
      <c r="BV245" s="1742">
        <f>_xlfn.IFNA(INDEX($AR245:$AX245,MATCH(BU245,$AR$2:$AX$2,0))*12/365*[11]核心假设及结论!$C$70*$H245,0)</f>
        <v>0</v>
      </c>
      <c r="BX245" s="1739">
        <f t="shared" si="109"/>
        <v>2062</v>
      </c>
      <c r="BY245" s="1742">
        <f>_xlfn.IFNA(INDEX($AR245:$AX245,MATCH(BX245,$AR$2:$AX$2,0))*12/365*[11]核心假设及结论!$C$70*$H245,0)</f>
        <v>0</v>
      </c>
      <c r="CA245" s="1739">
        <f t="shared" si="110"/>
        <v>2071</v>
      </c>
      <c r="CB245" s="1742">
        <f>_xlfn.IFNA(INDEX($AR245:$AX245,MATCH(CA245,$AR$2:$AX$2,0))*12/365*[11]核心假设及结论!$C$70*$H245,0)</f>
        <v>0</v>
      </c>
    </row>
    <row r="246" spans="1:80" ht="30" customHeight="1">
      <c r="A246" s="1756" t="s">
        <v>1662</v>
      </c>
      <c r="B246" s="1757" t="s">
        <v>2183</v>
      </c>
      <c r="C246" s="1756" t="s">
        <v>2184</v>
      </c>
      <c r="D246" s="1756" t="s">
        <v>1685</v>
      </c>
      <c r="E246" s="1758" t="s">
        <v>1871</v>
      </c>
      <c r="F246" s="1759"/>
      <c r="G246" s="1760" t="s">
        <v>1661</v>
      </c>
      <c r="H246" s="1761">
        <v>155</v>
      </c>
      <c r="I246" s="1761" t="s">
        <v>1913</v>
      </c>
      <c r="J246" s="1773">
        <v>44850</v>
      </c>
      <c r="K246" s="1773">
        <v>45945</v>
      </c>
      <c r="L246" s="1764">
        <f t="shared" si="92"/>
        <v>36</v>
      </c>
      <c r="M246" s="1774">
        <f t="shared" si="103"/>
        <v>163649</v>
      </c>
      <c r="N246" s="1775">
        <f t="shared" si="104"/>
        <v>942.8</v>
      </c>
      <c r="O246" s="1760">
        <v>146134</v>
      </c>
      <c r="P246" s="1776" t="s">
        <v>2185</v>
      </c>
      <c r="Q246" s="1783">
        <f t="shared" si="93"/>
        <v>95</v>
      </c>
      <c r="R246" s="1784">
        <v>14725</v>
      </c>
      <c r="S246" s="1777">
        <f t="shared" si="94"/>
        <v>18</v>
      </c>
      <c r="T246" s="1784">
        <v>2790</v>
      </c>
      <c r="U246" s="1777"/>
      <c r="V246" s="1785">
        <v>6647882.75</v>
      </c>
      <c r="W246" s="1785">
        <f t="shared" si="95"/>
        <v>42889.566129032261</v>
      </c>
      <c r="X246" s="1786">
        <f>(N246+Q246)*H246/V246</f>
        <v>2.419702724149279E-2</v>
      </c>
      <c r="Y246" s="1789">
        <f>VLOOKUP(E246,[11]核心假设及结论!$C$25:$E$45,3,0)</f>
        <v>0.2</v>
      </c>
      <c r="Z246" s="1790">
        <f t="shared" si="116"/>
        <v>150886.30000000002</v>
      </c>
      <c r="AA246" s="1790">
        <f t="shared" si="116"/>
        <v>0</v>
      </c>
      <c r="AB246" s="1790">
        <f t="shared" si="116"/>
        <v>0</v>
      </c>
      <c r="AC246" s="1790">
        <f t="shared" si="115"/>
        <v>0</v>
      </c>
      <c r="AD246" s="1790">
        <f t="shared" si="115"/>
        <v>0</v>
      </c>
      <c r="AE246" s="1790">
        <f t="shared" si="115"/>
        <v>0</v>
      </c>
      <c r="AF246" s="1790">
        <f t="shared" si="115"/>
        <v>0</v>
      </c>
      <c r="AG246" s="1794">
        <v>973.46</v>
      </c>
      <c r="AH246" s="1794">
        <v>0</v>
      </c>
      <c r="AI246" s="1794">
        <v>0</v>
      </c>
      <c r="AJ246" s="1794">
        <v>0</v>
      </c>
      <c r="AK246" s="1794">
        <v>0</v>
      </c>
      <c r="AL246" s="1794">
        <v>0</v>
      </c>
      <c r="AM246" s="1794">
        <v>0</v>
      </c>
      <c r="AN246" s="1797"/>
      <c r="AO246" s="1797"/>
      <c r="AP246" s="1808">
        <f t="shared" si="105"/>
        <v>0.12098513620746394</v>
      </c>
      <c r="AQ246" s="1810">
        <f>IF(AP246&gt;[11]核心假设及结论!$B$59,[11]核心假设及结论!$D$59,IF(AP246&lt;=[11]核心假设及结论!$B$58,[11]核心假设及结论!$D$57,[11]核心假设及结论!$D$58))</f>
        <v>1.0342640124442799</v>
      </c>
      <c r="AR246" s="1809">
        <f t="shared" si="106"/>
        <v>973.46</v>
      </c>
      <c r="AS246" s="1811">
        <f>AH246*(AS$2&lt;=YEAR($K246))+AR246*$AQ246*(AS$2=YEAR($K246)+1)+INDEX([11]核心假设及结论!$E$17:$E$21,MATCH($D246,[11]核心假设及结论!$B$17:$B$21,0))*(AS$2&gt;YEAR($K246)+1)*AR246</f>
        <v>1006.8146455540087</v>
      </c>
      <c r="AT246" s="1809">
        <f>AI246*(AT$2&lt;=YEAR($K246))+AS246*$AQ246*(AT$2=YEAR($K246)+1)+INDEX([11]核心假设及结论!$E$17:$E$21,MATCH($D246,[11]核心假设及结论!$B$17:$B$21,0))*(AT$2&gt;YEAR($K246)+1)*AS246</f>
        <v>1034.0736396210082</v>
      </c>
      <c r="AU246" s="1809">
        <f>AJ246*(AU$2&lt;=YEAR($K246))+AT246*$AQ246*(AU$2=YEAR($K246)+1)+INDEX([11]核心假设及结论!$E$17:$E$21,MATCH($D246,[11]核心假设及结论!$B$17:$B$21,0))*(AU$2&gt;YEAR($K246)+1)*AT246</f>
        <v>1062.0706570777409</v>
      </c>
      <c r="AV246" s="1809">
        <f>AK246*(AV$2&lt;=YEAR($K246))+AU246*$AQ246*(AV$2=YEAR($K246)+1)+INDEX([11]核心假设及结论!$E$17:$E$21,MATCH($D246,[11]核心假设及结论!$B$17:$B$21,0))*(AV$2&gt;YEAR($K246)+1)*AU246</f>
        <v>1090.825679531835</v>
      </c>
      <c r="AW246" s="1809">
        <f>AL246*(AW$2&lt;=YEAR($K246))+AV246*$AQ246*(AW$2=YEAR($K246)+1)+INDEX([11]核心假设及结论!$E$17:$E$21,MATCH($D246,[11]核心假设及结论!$B$17:$B$21,0))*(AW$2&gt;YEAR($K246)+1)*AV246</f>
        <v>1120.3592295827752</v>
      </c>
      <c r="AX246" s="1809">
        <f>AM246*(AX$2&lt;=YEAR($K246))+AW246*$AQ246*(AX$2=YEAR($K246)+1)+INDEX([11]核心假设及结论!$E$17:$E$21,MATCH($D246,[11]核心假设及结论!$B$17:$B$21,0))*(AX$2&gt;YEAR($K246)+1)*AW246</f>
        <v>1150.6923854689812</v>
      </c>
      <c r="AZ246" s="1746">
        <f t="shared" si="96"/>
        <v>45945</v>
      </c>
      <c r="BA246" s="1817">
        <f t="shared" si="97"/>
        <v>45658</v>
      </c>
      <c r="BB246" s="1817">
        <f t="shared" si="98"/>
        <v>45945</v>
      </c>
      <c r="BC246" s="1817">
        <f t="shared" si="99"/>
        <v>46022</v>
      </c>
      <c r="BD246" s="1818">
        <f t="shared" si="100"/>
        <v>288</v>
      </c>
      <c r="BE246" s="1818">
        <f t="shared" si="101"/>
        <v>77</v>
      </c>
      <c r="BG246" s="1777">
        <f t="shared" si="112"/>
        <v>182.37234146198494</v>
      </c>
      <c r="BH246" s="1777">
        <f t="shared" si="91"/>
        <v>188.33712219092936</v>
      </c>
      <c r="BI246" s="1777">
        <f t="shared" si="91"/>
        <v>193.43625391201527</v>
      </c>
      <c r="BJ246" s="1777">
        <f t="shared" si="91"/>
        <v>198.67344202902837</v>
      </c>
      <c r="BK246" s="1777">
        <f t="shared" si="90"/>
        <v>204.05242434861879</v>
      </c>
      <c r="BL246" s="1777">
        <f t="shared" si="90"/>
        <v>209.57703987664888</v>
      </c>
      <c r="BM246" s="1777">
        <f t="shared" si="90"/>
        <v>168.87750604055447</v>
      </c>
      <c r="BO246" s="1739">
        <f t="shared" si="102"/>
        <v>2025</v>
      </c>
      <c r="BP246" s="1742">
        <f>_xlfn.IFNA(INDEX($AR246:$AX246,MATCH(BO246,$AR$2:$AX$2,0))*12/365*[11]核心假设及结论!$C$70*$H246,0)</f>
        <v>148819.36438356165</v>
      </c>
      <c r="BR246" s="1739">
        <f t="shared" si="107"/>
        <v>2028</v>
      </c>
      <c r="BS246" s="1742">
        <f>_xlfn.IFNA(INDEX($AR246:$AX246,MATCH(BR246,$AR$2:$AX$2,0))*12/365*[11]核心假设及结论!$C$70*$H246,0)</f>
        <v>162365.87031489844</v>
      </c>
      <c r="BU246" s="1739">
        <f t="shared" si="108"/>
        <v>2031</v>
      </c>
      <c r="BV246" s="1742">
        <f>_xlfn.IFNA(INDEX($AR246:$AX246,MATCH(BU246,$AR$2:$AX$2,0))*12/365*[11]核心假设及结论!$C$70*$H246,0)</f>
        <v>175914.06879224424</v>
      </c>
      <c r="BX246" s="1739">
        <f t="shared" si="109"/>
        <v>2034</v>
      </c>
      <c r="BY246" s="1742">
        <f>_xlfn.IFNA(INDEX($AR246:$AX246,MATCH(BX246,$AR$2:$AX$2,0))*12/365*[11]核心假设及结论!$C$70*$H246,0)</f>
        <v>0</v>
      </c>
      <c r="CA246" s="1739">
        <f t="shared" si="110"/>
        <v>2037</v>
      </c>
      <c r="CB246" s="1742">
        <f>_xlfn.IFNA(INDEX($AR246:$AX246,MATCH(CA246,$AR$2:$AX$2,0))*12/365*[11]核心假设及结论!$C$70*$H246,0)</f>
        <v>0</v>
      </c>
    </row>
    <row r="247" spans="1:80" ht="30" customHeight="1">
      <c r="A247" s="1756" t="s">
        <v>1666</v>
      </c>
      <c r="B247" s="1757" t="s">
        <v>2186</v>
      </c>
      <c r="C247" s="1756" t="s">
        <v>2187</v>
      </c>
      <c r="D247" s="1756" t="s">
        <v>1685</v>
      </c>
      <c r="E247" s="1758" t="s">
        <v>1692</v>
      </c>
      <c r="F247" s="1759"/>
      <c r="G247" s="1760" t="s">
        <v>1661</v>
      </c>
      <c r="H247" s="1761">
        <v>155</v>
      </c>
      <c r="I247" s="1761" t="s">
        <v>1913</v>
      </c>
      <c r="J247" s="1773">
        <v>45190</v>
      </c>
      <c r="K247" s="1773">
        <v>46285</v>
      </c>
      <c r="L247" s="1764">
        <f t="shared" si="92"/>
        <v>36</v>
      </c>
      <c r="M247" s="1774">
        <f t="shared" si="103"/>
        <v>114634.9</v>
      </c>
      <c r="N247" s="1775">
        <f t="shared" si="104"/>
        <v>626.57999999999993</v>
      </c>
      <c r="O247" s="1760">
        <v>97119.9</v>
      </c>
      <c r="P247" s="1776">
        <v>0.18</v>
      </c>
      <c r="Q247" s="1783">
        <f t="shared" si="93"/>
        <v>95</v>
      </c>
      <c r="R247" s="1784">
        <v>14725</v>
      </c>
      <c r="S247" s="1777">
        <f t="shared" si="94"/>
        <v>18</v>
      </c>
      <c r="T247" s="1784">
        <v>2790</v>
      </c>
      <c r="U247" s="1777"/>
      <c r="V247" s="1785">
        <v>284475.33333333302</v>
      </c>
      <c r="W247" s="1785">
        <f t="shared" si="95"/>
        <v>1835.3247311827936</v>
      </c>
      <c r="X247" s="1786">
        <f>(N247+Q247+S247)*H247/V247</f>
        <v>0.40296956033680759</v>
      </c>
      <c r="Y247" s="1789">
        <f>VLOOKUP(E247,[11]核心假设及结论!$C$25:$E$45,3,0)</f>
        <v>0.2</v>
      </c>
      <c r="Z247" s="1790">
        <f t="shared" si="116"/>
        <v>99948.650000000009</v>
      </c>
      <c r="AA247" s="1790">
        <f t="shared" si="116"/>
        <v>103250.15</v>
      </c>
      <c r="AB247" s="1790">
        <f t="shared" si="116"/>
        <v>0</v>
      </c>
      <c r="AC247" s="1790">
        <f t="shared" si="115"/>
        <v>0</v>
      </c>
      <c r="AD247" s="1790">
        <f t="shared" si="115"/>
        <v>0</v>
      </c>
      <c r="AE247" s="1790">
        <f t="shared" si="115"/>
        <v>0</v>
      </c>
      <c r="AF247" s="1790">
        <f t="shared" si="115"/>
        <v>0</v>
      </c>
      <c r="AG247" s="1794">
        <v>644.83000000000004</v>
      </c>
      <c r="AH247" s="1794">
        <v>666.13</v>
      </c>
      <c r="AI247" s="1794">
        <v>0</v>
      </c>
      <c r="AJ247" s="1794">
        <v>0</v>
      </c>
      <c r="AK247" s="1794">
        <v>0</v>
      </c>
      <c r="AL247" s="1794">
        <v>0</v>
      </c>
      <c r="AM247" s="1794">
        <v>0</v>
      </c>
      <c r="AN247" s="1797"/>
      <c r="AO247" s="1797"/>
      <c r="AP247" s="1808">
        <f t="shared" si="105"/>
        <v>2.0148478016840379</v>
      </c>
      <c r="AQ247" s="1810">
        <f>IF(AP247&gt;[11]核心假设及结论!$B$59,[11]核心假设及结论!$D$59,IF(AP247&lt;=[11]核心假设及结论!$B$58,[11]核心假设及结论!$D$57,[11]核心假设及结论!$D$58))</f>
        <v>1</v>
      </c>
      <c r="AR247" s="1809">
        <f t="shared" si="106"/>
        <v>644.83000000000004</v>
      </c>
      <c r="AS247" s="1809">
        <f>AH247*(AS$2&lt;=YEAR($K247))+AR247*$AQ247*(AS$2=YEAR($K247)+1)+INDEX([11]核心假设及结论!$E$17:$E$21,MATCH($D247,[11]核心假设及结论!$B$17:$B$21,0))*(AS$2&gt;YEAR($K247)+1)*AR247</f>
        <v>666.13</v>
      </c>
      <c r="AT247" s="1811">
        <f>AI247*(AT$2&lt;=YEAR($K247))+AS247*$AQ247*(AT$2=YEAR($K247)+1)+INDEX([11]核心假设及结论!$E$17:$E$21,MATCH($D247,[11]核心假设及结论!$B$17:$B$21,0))*(AT$2&gt;YEAR($K247)+1)*AS247</f>
        <v>666.13</v>
      </c>
      <c r="AU247" s="1809">
        <f>AJ247*(AU$2&lt;=YEAR($K247))+AT247*$AQ247*(AU$2=YEAR($K247)+1)+INDEX([11]核心假设及结论!$E$17:$E$21,MATCH($D247,[11]核心假设及结论!$B$17:$B$21,0))*(AU$2&gt;YEAR($K247)+1)*AT247</f>
        <v>684.16513069464611</v>
      </c>
      <c r="AV247" s="1809">
        <f>AK247*(AV$2&lt;=YEAR($K247))+AU247*$AQ247*(AV$2=YEAR($K247)+1)+INDEX([11]核心假设及结论!$E$17:$E$21,MATCH($D247,[11]核心假设及结论!$B$17:$B$21,0))*(AV$2&gt;YEAR($K247)+1)*AU247</f>
        <v>702.68855337309867</v>
      </c>
      <c r="AW247" s="1809">
        <f>AL247*(AW$2&lt;=YEAR($K247))+AV247*$AQ247*(AW$2=YEAR($K247)+1)+INDEX([11]核心假设及结论!$E$17:$E$21,MATCH($D247,[11]核心假设及结论!$B$17:$B$21,0))*(AW$2&gt;YEAR($K247)+1)*AV247</f>
        <v>721.71348829228214</v>
      </c>
      <c r="AX247" s="1809">
        <f>AM247*(AX$2&lt;=YEAR($K247))+AW247*$AQ247*(AX$2=YEAR($K247)+1)+INDEX([11]核心假设及结论!$E$17:$E$21,MATCH($D247,[11]核心假设及结论!$B$17:$B$21,0))*(AX$2&gt;YEAR($K247)+1)*AW247</f>
        <v>741.25351364084815</v>
      </c>
      <c r="AZ247" s="1746">
        <f t="shared" si="96"/>
        <v>46285</v>
      </c>
      <c r="BA247" s="1817">
        <f t="shared" si="97"/>
        <v>45658</v>
      </c>
      <c r="BB247" s="1817">
        <f t="shared" si="98"/>
        <v>45920</v>
      </c>
      <c r="BC247" s="1817">
        <f t="shared" si="99"/>
        <v>46022</v>
      </c>
      <c r="BD247" s="1818">
        <f t="shared" si="100"/>
        <v>263</v>
      </c>
      <c r="BE247" s="1818">
        <f t="shared" si="101"/>
        <v>102</v>
      </c>
      <c r="BG247" s="1777">
        <f t="shared" si="112"/>
        <v>121.04551315068495</v>
      </c>
      <c r="BH247" s="1777">
        <f t="shared" si="91"/>
        <v>123.90017999999998</v>
      </c>
      <c r="BI247" s="1777">
        <f t="shared" si="91"/>
        <v>124.83761150558581</v>
      </c>
      <c r="BJ247" s="1777">
        <f t="shared" si="91"/>
        <v>128.21752629565788</v>
      </c>
      <c r="BK247" s="1777">
        <f t="shared" si="91"/>
        <v>131.68895055831894</v>
      </c>
      <c r="BL247" s="1777">
        <f t="shared" si="91"/>
        <v>135.25436186596173</v>
      </c>
      <c r="BM247" s="1777">
        <f t="shared" si="91"/>
        <v>99.344217480227428</v>
      </c>
      <c r="BO247" s="1739">
        <f t="shared" si="102"/>
        <v>2026</v>
      </c>
      <c r="BP247" s="1742">
        <f>_xlfn.IFNA(INDEX($AR247:$AX247,MATCH(BO247,$AR$2:$AX$2,0))*12/365*[11]核心假设及结论!$C$70*$H247,0)</f>
        <v>101835.76438356163</v>
      </c>
      <c r="BR247" s="1739">
        <f t="shared" si="107"/>
        <v>2029</v>
      </c>
      <c r="BS247" s="1742">
        <f>_xlfn.IFNA(INDEX($AR247:$AX247,MATCH(BR247,$AR$2:$AX$2,0))*12/365*[11]核心假设及结论!$C$70*$H247,0)</f>
        <v>107424.71583073672</v>
      </c>
      <c r="BU247" s="1739">
        <f t="shared" si="108"/>
        <v>2032</v>
      </c>
      <c r="BV247" s="1742">
        <f>_xlfn.IFNA(INDEX($AR247:$AX247,MATCH(BU247,$AR$2:$AX$2,0))*12/365*[11]核心假设及结论!$C$70*$H247,0)</f>
        <v>0</v>
      </c>
      <c r="BX247" s="1739">
        <f t="shared" si="109"/>
        <v>2035</v>
      </c>
      <c r="BY247" s="1742">
        <f>_xlfn.IFNA(INDEX($AR247:$AX247,MATCH(BX247,$AR$2:$AX$2,0))*12/365*[11]核心假设及结论!$C$70*$H247,0)</f>
        <v>0</v>
      </c>
      <c r="CA247" s="1739">
        <f t="shared" si="110"/>
        <v>2038</v>
      </c>
      <c r="CB247" s="1742">
        <f>_xlfn.IFNA(INDEX($AR247:$AX247,MATCH(CA247,$AR$2:$AX$2,0))*12/365*[11]核心假设及结论!$C$70*$H247,0)</f>
        <v>0</v>
      </c>
    </row>
    <row r="248" spans="1:80" ht="30" customHeight="1">
      <c r="A248" s="1756" t="s">
        <v>1687</v>
      </c>
      <c r="B248" s="1757" t="s">
        <v>2188</v>
      </c>
      <c r="C248" s="1756" t="s">
        <v>2189</v>
      </c>
      <c r="D248" s="1756" t="s">
        <v>1676</v>
      </c>
      <c r="E248" s="1758" t="s">
        <v>1758</v>
      </c>
      <c r="F248" s="1759"/>
      <c r="G248" s="1760" t="s">
        <v>1661</v>
      </c>
      <c r="H248" s="1761">
        <v>155</v>
      </c>
      <c r="I248" s="1761" t="s">
        <v>1913</v>
      </c>
      <c r="J248" s="1773">
        <v>44679</v>
      </c>
      <c r="K248" s="1773">
        <v>45774</v>
      </c>
      <c r="L248" s="1764">
        <f t="shared" si="92"/>
        <v>36</v>
      </c>
      <c r="M248" s="1774">
        <f t="shared" si="103"/>
        <v>90382.239874999999</v>
      </c>
      <c r="N248" s="1775">
        <f t="shared" si="104"/>
        <v>469.49</v>
      </c>
      <c r="O248" s="1760">
        <v>72770.95</v>
      </c>
      <c r="P248" s="1776">
        <v>0.14000000000000001</v>
      </c>
      <c r="Q248" s="1783">
        <f t="shared" si="93"/>
        <v>95</v>
      </c>
      <c r="R248" s="1784">
        <v>14725</v>
      </c>
      <c r="S248" s="1777">
        <f t="shared" si="94"/>
        <v>18.621224999999999</v>
      </c>
      <c r="T248" s="1784">
        <v>2886.2898749999999</v>
      </c>
      <c r="U248" s="1777"/>
      <c r="V248" s="1785">
        <v>280447.58333333302</v>
      </c>
      <c r="W248" s="1785">
        <f t="shared" si="95"/>
        <v>1809.3392473118261</v>
      </c>
      <c r="X248" s="1786">
        <f>(N248+Q248)*H248/V248</f>
        <v>0.31198682106668213</v>
      </c>
      <c r="Y248" s="1789">
        <f>VLOOKUP(E248,[11]核心假设及结论!$C$25:$E$45,3,0)</f>
        <v>0.2</v>
      </c>
      <c r="Z248" s="1790">
        <f t="shared" si="116"/>
        <v>72770.95</v>
      </c>
      <c r="AA248" s="1790">
        <f t="shared" si="116"/>
        <v>0</v>
      </c>
      <c r="AB248" s="1790">
        <f t="shared" si="116"/>
        <v>0</v>
      </c>
      <c r="AC248" s="1790">
        <f t="shared" si="115"/>
        <v>0</v>
      </c>
      <c r="AD248" s="1790">
        <f t="shared" si="115"/>
        <v>0</v>
      </c>
      <c r="AE248" s="1790">
        <f t="shared" si="115"/>
        <v>0</v>
      </c>
      <c r="AF248" s="1790">
        <f t="shared" si="115"/>
        <v>0</v>
      </c>
      <c r="AG248" s="1794">
        <v>469.49</v>
      </c>
      <c r="AH248" s="1794">
        <v>0</v>
      </c>
      <c r="AI248" s="1794">
        <v>0</v>
      </c>
      <c r="AJ248" s="1794">
        <v>0</v>
      </c>
      <c r="AK248" s="1794">
        <v>0</v>
      </c>
      <c r="AL248" s="1794">
        <v>0</v>
      </c>
      <c r="AM248" s="1794">
        <v>0</v>
      </c>
      <c r="AN248" s="1796"/>
      <c r="AO248" s="1796"/>
      <c r="AP248" s="1808">
        <f t="shared" si="105"/>
        <v>1.5599341053334106</v>
      </c>
      <c r="AQ248" s="1808">
        <f>IF(AP248&gt;[11]核心假设及结论!$B$65,[11]核心假设及结论!$D$65,IF(AP248&lt;=[11]核心假设及结论!$B$64,[11]核心假设及结论!$D$63,[11]核心假设及结论!$D$64))</f>
        <v>0.72793038402688603</v>
      </c>
      <c r="AR248" s="1809">
        <f t="shared" si="106"/>
        <v>469.49</v>
      </c>
      <c r="AS248" s="1811">
        <f>AH248*(AS$2&lt;=YEAR($K248))+AR248*$AQ248*(AS$2=YEAR($K248)+1)+INDEX([11]核心假设及结论!$E$17:$E$21,MATCH($D248,[11]核心假设及结论!$B$17:$B$21,0))*(AS$2&gt;YEAR($K248)+1)*AR248</f>
        <v>341.75603599678271</v>
      </c>
      <c r="AT248" s="1809">
        <f>AI248*(AT$2&lt;=YEAR($K248))+AS248*$AQ248*(AT$2=YEAR($K248)+1)+INDEX([11]核心假设及结论!$E$17:$E$21,MATCH($D248,[11]核心假设及结论!$B$17:$B$21,0))*(AT$2&gt;YEAR($K248)+1)*AS248</f>
        <v>353.57228084417022</v>
      </c>
      <c r="AU248" s="1809">
        <f>AJ248*(AU$2&lt;=YEAR($K248))+AT248*$AQ248*(AU$2=YEAR($K248)+1)+INDEX([11]核心假设及结论!$E$17:$E$21,MATCH($D248,[11]核心假设及结论!$B$17:$B$21,0))*(AU$2&gt;YEAR($K248)+1)*AT248</f>
        <v>365.797073391048</v>
      </c>
      <c r="AV248" s="1809">
        <f>AK248*(AV$2&lt;=YEAR($K248))+AU248*$AQ248*(AV$2=YEAR($K248)+1)+INDEX([11]核心假设及结论!$E$17:$E$21,MATCH($D248,[11]核心假设及结论!$B$17:$B$21,0))*(AV$2&gt;YEAR($K248)+1)*AU248</f>
        <v>378.44453920987291</v>
      </c>
      <c r="AW248" s="1809">
        <f>AL248*(AW$2&lt;=YEAR($K248))+AV248*$AQ248*(AW$2=YEAR($K248)+1)+INDEX([11]核心假设及结论!$E$17:$E$21,MATCH($D248,[11]核心假设及结论!$B$17:$B$21,0))*(AW$2&gt;YEAR($K248)+1)*AV248</f>
        <v>391.52929226600531</v>
      </c>
      <c r="AX248" s="1809">
        <f>AM248*(AX$2&lt;=YEAR($K248))+AW248*$AQ248*(AX$2=YEAR($K248)+1)+INDEX([11]核心假设及结论!$E$17:$E$21,MATCH($D248,[11]核心假设及结论!$B$17:$B$21,0))*(AX$2&gt;YEAR($K248)+1)*AW248</f>
        <v>405.06645180393667</v>
      </c>
      <c r="AZ248" s="1746">
        <f t="shared" si="96"/>
        <v>45774</v>
      </c>
      <c r="BA248" s="1817">
        <f t="shared" si="97"/>
        <v>45658</v>
      </c>
      <c r="BB248" s="1817">
        <f t="shared" si="98"/>
        <v>45774</v>
      </c>
      <c r="BC248" s="1817">
        <f t="shared" si="99"/>
        <v>46022</v>
      </c>
      <c r="BD248" s="1818">
        <f t="shared" si="100"/>
        <v>117</v>
      </c>
      <c r="BE248" s="1818">
        <f t="shared" si="101"/>
        <v>248</v>
      </c>
      <c r="BG248" s="1777">
        <f t="shared" si="112"/>
        <v>71.182366598519422</v>
      </c>
      <c r="BH248" s="1777">
        <f t="shared" ref="BH248:BM290" si="117">(AS248*$BD248*$H248*12/365+$BE248*AT248*$H248*12/365)/10000</f>
        <v>65.059937057922923</v>
      </c>
      <c r="BI248" s="1777">
        <f t="shared" si="117"/>
        <v>67.309390074282447</v>
      </c>
      <c r="BJ248" s="1777">
        <f t="shared" si="117"/>
        <v>69.636618125504114</v>
      </c>
      <c r="BK248" s="1777">
        <f t="shared" si="117"/>
        <v>72.044310290223422</v>
      </c>
      <c r="BL248" s="1777">
        <f t="shared" si="117"/>
        <v>74.535248622204918</v>
      </c>
      <c r="BM248" s="1777">
        <f t="shared" si="117"/>
        <v>24.150838696321291</v>
      </c>
      <c r="BO248" s="1739">
        <f t="shared" si="102"/>
        <v>2025</v>
      </c>
      <c r="BP248" s="1742">
        <f>_xlfn.IFNA(INDEX($AR248:$AX248,MATCH(BO248,$AR$2:$AX$2,0))*12/365*[11]核心假设及结论!$C$70*$H248,0)</f>
        <v>71774.087671232875</v>
      </c>
      <c r="BR248" s="1739">
        <f t="shared" si="107"/>
        <v>2028</v>
      </c>
      <c r="BS248" s="1742">
        <f>_xlfn.IFNA(INDEX($AR248:$AX248,MATCH(BR248,$AR$2:$AX$2,0))*12/365*[11]核心假设及结论!$C$70*$H248,0)</f>
        <v>55921.85395950816</v>
      </c>
      <c r="BU248" s="1739">
        <f t="shared" si="108"/>
        <v>2031</v>
      </c>
      <c r="BV248" s="1742">
        <f>_xlfn.IFNA(INDEX($AR248:$AX248,MATCH(BU248,$AR$2:$AX$2,0))*12/365*[11]核心假设及结论!$C$70*$H248,0)</f>
        <v>61925.227426464844</v>
      </c>
      <c r="BX248" s="1739">
        <f t="shared" si="109"/>
        <v>2034</v>
      </c>
      <c r="BY248" s="1742">
        <f>_xlfn.IFNA(INDEX($AR248:$AX248,MATCH(BX248,$AR$2:$AX$2,0))*12/365*[11]核心假设及结论!$C$70*$H248,0)</f>
        <v>0</v>
      </c>
      <c r="CA248" s="1739">
        <f t="shared" si="110"/>
        <v>2037</v>
      </c>
      <c r="CB248" s="1742">
        <f>_xlfn.IFNA(INDEX($AR248:$AX248,MATCH(CA248,$AR$2:$AX$2,0))*12/365*[11]核心假设及结论!$C$70*$H248,0)</f>
        <v>0</v>
      </c>
    </row>
    <row r="249" spans="1:80" ht="30" customHeight="1">
      <c r="A249" s="1756" t="s">
        <v>1687</v>
      </c>
      <c r="B249" s="1757" t="s">
        <v>2190</v>
      </c>
      <c r="C249" s="1756" t="s">
        <v>2191</v>
      </c>
      <c r="D249" s="1756" t="s">
        <v>1685</v>
      </c>
      <c r="E249" s="1758" t="s">
        <v>1692</v>
      </c>
      <c r="F249" s="1759"/>
      <c r="G249" s="1760" t="s">
        <v>1661</v>
      </c>
      <c r="H249" s="1761">
        <v>152</v>
      </c>
      <c r="I249" s="1761" t="s">
        <v>1913</v>
      </c>
      <c r="J249" s="1773">
        <v>45255</v>
      </c>
      <c r="K249" s="1773">
        <v>46350</v>
      </c>
      <c r="L249" s="1764">
        <f t="shared" si="92"/>
        <v>36</v>
      </c>
      <c r="M249" s="1774">
        <f t="shared" si="103"/>
        <v>137382.16</v>
      </c>
      <c r="N249" s="1775">
        <f t="shared" si="104"/>
        <v>790.83</v>
      </c>
      <c r="O249" s="1760">
        <v>120206.16</v>
      </c>
      <c r="P249" s="1776">
        <v>0.18</v>
      </c>
      <c r="Q249" s="1783">
        <f t="shared" si="93"/>
        <v>95</v>
      </c>
      <c r="R249" s="1784">
        <v>14440</v>
      </c>
      <c r="S249" s="1777">
        <f t="shared" si="94"/>
        <v>18</v>
      </c>
      <c r="T249" s="1777">
        <v>2736</v>
      </c>
      <c r="U249" s="1777"/>
      <c r="V249" s="1785">
        <v>297653.26666666701</v>
      </c>
      <c r="W249" s="1785">
        <f t="shared" si="95"/>
        <v>1958.2451754385988</v>
      </c>
      <c r="X249" s="1786">
        <f>(N249+Q249+S249)*H249/V249</f>
        <v>0.46155099031333718</v>
      </c>
      <c r="Y249" s="1789">
        <f>VLOOKUP(E249,[11]核心假设及结论!$C$25:$E$45,3,0)</f>
        <v>0.2</v>
      </c>
      <c r="Z249" s="1790">
        <f t="shared" si="116"/>
        <v>122518.07999999999</v>
      </c>
      <c r="AA249" s="1790">
        <f t="shared" si="116"/>
        <v>124830</v>
      </c>
      <c r="AB249" s="1790">
        <f t="shared" si="116"/>
        <v>0</v>
      </c>
      <c r="AC249" s="1790">
        <f t="shared" si="115"/>
        <v>0</v>
      </c>
      <c r="AD249" s="1790">
        <f t="shared" si="115"/>
        <v>0</v>
      </c>
      <c r="AE249" s="1790">
        <f t="shared" si="115"/>
        <v>0</v>
      </c>
      <c r="AF249" s="1790">
        <f t="shared" si="115"/>
        <v>0</v>
      </c>
      <c r="AG249" s="1794">
        <v>806.04</v>
      </c>
      <c r="AH249" s="1794">
        <v>821.25</v>
      </c>
      <c r="AI249" s="1794">
        <v>0</v>
      </c>
      <c r="AJ249" s="1794">
        <v>0</v>
      </c>
      <c r="AK249" s="1794">
        <v>0</v>
      </c>
      <c r="AL249" s="1794">
        <v>0</v>
      </c>
      <c r="AM249" s="1794">
        <v>0</v>
      </c>
      <c r="AN249" s="1795"/>
      <c r="AO249" s="1795"/>
      <c r="AP249" s="1808">
        <f t="shared" si="105"/>
        <v>2.307754951566686</v>
      </c>
      <c r="AQ249" s="1810">
        <f>IF(AP249&gt;[11]核心假设及结论!$B$59,[11]核心假设及结论!$D$59,IF(AP249&lt;=[11]核心假设及结论!$B$58,[11]核心假设及结论!$D$57,[11]核心假设及结论!$D$58))</f>
        <v>1</v>
      </c>
      <c r="AR249" s="1809">
        <f t="shared" si="106"/>
        <v>806.04</v>
      </c>
      <c r="AS249" s="1809">
        <f>AH249*(AS$2&lt;=YEAR($K249))+AR249*$AQ249*(AS$2=YEAR($K249)+1)+INDEX([11]核心假设及结论!$E$17:$E$21,MATCH($D249,[11]核心假设及结论!$B$17:$B$21,0))*(AS$2&gt;YEAR($K249)+1)*AR249</f>
        <v>821.25</v>
      </c>
      <c r="AT249" s="1811">
        <f>AI249*(AT$2&lt;=YEAR($K249))+AS249*$AQ249*(AT$2=YEAR($K249)+1)+INDEX([11]核心假设及结论!$E$17:$E$21,MATCH($D249,[11]核心假设及结论!$B$17:$B$21,0))*(AT$2&gt;YEAR($K249)+1)*AS249</f>
        <v>821.25</v>
      </c>
      <c r="AU249" s="1809">
        <f>AJ249*(AU$2&lt;=YEAR($K249))+AT249*$AQ249*(AU$2=YEAR($K249)+1)+INDEX([11]核心假设及结论!$E$17:$E$21,MATCH($D249,[11]核心假设及结论!$B$17:$B$21,0))*(AU$2&gt;YEAR($K249)+1)*AT249</f>
        <v>843.4849257396877</v>
      </c>
      <c r="AV249" s="1809">
        <f>AK249*(AV$2&lt;=YEAR($K249))+AU249*$AQ249*(AV$2=YEAR($K249)+1)+INDEX([11]核心假设及结论!$E$17:$E$21,MATCH($D249,[11]核心假设及结论!$B$17:$B$21,0))*(AV$2&gt;YEAR($K249)+1)*AU249</f>
        <v>866.32185077636098</v>
      </c>
      <c r="AW249" s="1809">
        <f>AL249*(AW$2&lt;=YEAR($K249))+AV249*$AQ249*(AW$2=YEAR($K249)+1)+INDEX([11]核心假设及结论!$E$17:$E$21,MATCH($D249,[11]核心假设及结论!$B$17:$B$21,0))*(AW$2&gt;YEAR($K249)+1)*AV249</f>
        <v>889.7770739345724</v>
      </c>
      <c r="AX249" s="1809">
        <f>AM249*(AX$2&lt;=YEAR($K249))+AW249*$AQ249*(AX$2=YEAR($K249)+1)+INDEX([11]核心假设及结论!$E$17:$E$21,MATCH($D249,[11]核心假设及结论!$B$17:$B$21,0))*(AX$2&gt;YEAR($K249)+1)*AW249</f>
        <v>913.86733532125345</v>
      </c>
      <c r="AZ249" s="1746">
        <f t="shared" si="96"/>
        <v>46350</v>
      </c>
      <c r="BA249" s="1817">
        <f t="shared" si="97"/>
        <v>45658</v>
      </c>
      <c r="BB249" s="1817">
        <f t="shared" si="98"/>
        <v>45985</v>
      </c>
      <c r="BC249" s="1817">
        <f t="shared" si="99"/>
        <v>46022</v>
      </c>
      <c r="BD249" s="1818">
        <f t="shared" si="100"/>
        <v>328</v>
      </c>
      <c r="BE249" s="1818">
        <f t="shared" si="101"/>
        <v>37</v>
      </c>
      <c r="BG249" s="1777">
        <f t="shared" si="112"/>
        <v>147.30292681643834</v>
      </c>
      <c r="BH249" s="1777">
        <f t="shared" si="117"/>
        <v>149.79599999999999</v>
      </c>
      <c r="BI249" s="1777">
        <f t="shared" si="117"/>
        <v>150.20712073104659</v>
      </c>
      <c r="BJ249" s="1777">
        <f t="shared" si="117"/>
        <v>154.27390207050124</v>
      </c>
      <c r="BK249" s="1777">
        <f t="shared" si="117"/>
        <v>158.45078944475927</v>
      </c>
      <c r="BL249" s="1777">
        <f t="shared" si="117"/>
        <v>162.74076391866993</v>
      </c>
      <c r="BM249" s="1777">
        <f t="shared" si="117"/>
        <v>149.79212011981286</v>
      </c>
      <c r="BO249" s="1739">
        <f t="shared" si="102"/>
        <v>2026</v>
      </c>
      <c r="BP249" s="1742">
        <f>_xlfn.IFNA(INDEX($AR249:$AX249,MATCH(BO249,$AR$2:$AX$2,0))*12/365*[11]核心假设及结论!$C$70*$H249,0)</f>
        <v>123120</v>
      </c>
      <c r="BR249" s="1739">
        <f t="shared" si="107"/>
        <v>2029</v>
      </c>
      <c r="BS249" s="1742">
        <f>_xlfn.IFNA(INDEX($AR249:$AX249,MATCH(BR249,$AR$2:$AX$2,0))*12/365*[11]核心假设及结论!$C$70*$H249,0)</f>
        <v>129877.0730807739</v>
      </c>
      <c r="BU249" s="1739">
        <f t="shared" si="108"/>
        <v>2032</v>
      </c>
      <c r="BV249" s="1742">
        <f>_xlfn.IFNA(INDEX($AR249:$AX249,MATCH(BU249,$AR$2:$AX$2,0))*12/365*[11]核心假设及结论!$C$70*$H249,0)</f>
        <v>0</v>
      </c>
      <c r="BX249" s="1739">
        <f t="shared" si="109"/>
        <v>2035</v>
      </c>
      <c r="BY249" s="1742">
        <f>_xlfn.IFNA(INDEX($AR249:$AX249,MATCH(BX249,$AR$2:$AX$2,0))*12/365*[11]核心假设及结论!$C$70*$H249,0)</f>
        <v>0</v>
      </c>
      <c r="CA249" s="1739">
        <f t="shared" si="110"/>
        <v>2038</v>
      </c>
      <c r="CB249" s="1742">
        <f>_xlfn.IFNA(INDEX($AR249:$AX249,MATCH(CA249,$AR$2:$AX$2,0))*12/365*[11]核心假设及结论!$C$70*$H249,0)</f>
        <v>0</v>
      </c>
    </row>
    <row r="250" spans="1:80" ht="30" customHeight="1">
      <c r="A250" s="1756" t="s">
        <v>1687</v>
      </c>
      <c r="B250" s="1757" t="s">
        <v>2192</v>
      </c>
      <c r="C250" s="1756" t="s">
        <v>2193</v>
      </c>
      <c r="D250" s="1756" t="s">
        <v>1676</v>
      </c>
      <c r="E250" s="1758" t="s">
        <v>1677</v>
      </c>
      <c r="F250" s="1762"/>
      <c r="G250" s="1760" t="s">
        <v>1661</v>
      </c>
      <c r="H250" s="1761">
        <v>152</v>
      </c>
      <c r="I250" s="1761" t="s">
        <v>1913</v>
      </c>
      <c r="J250" s="1773">
        <v>45302</v>
      </c>
      <c r="K250" s="1773">
        <v>46397</v>
      </c>
      <c r="L250" s="1764">
        <f t="shared" si="92"/>
        <v>36</v>
      </c>
      <c r="M250" s="1774">
        <f t="shared" si="103"/>
        <v>76519.839999999997</v>
      </c>
      <c r="N250" s="1775">
        <f t="shared" si="104"/>
        <v>395.41999999999996</v>
      </c>
      <c r="O250" s="1760">
        <v>60103.839999999997</v>
      </c>
      <c r="P250" s="1776">
        <v>0.09</v>
      </c>
      <c r="Q250" s="1783">
        <f t="shared" si="93"/>
        <v>90</v>
      </c>
      <c r="R250" s="1784">
        <v>13680</v>
      </c>
      <c r="S250" s="1777">
        <f t="shared" si="94"/>
        <v>18</v>
      </c>
      <c r="T250" s="1784">
        <v>2736</v>
      </c>
      <c r="U250" s="1777"/>
      <c r="V250" s="1785">
        <v>394190.433333333</v>
      </c>
      <c r="W250" s="1785">
        <f t="shared" si="95"/>
        <v>2593.3581140350857</v>
      </c>
      <c r="X250" s="1786">
        <f>(N250+Q250)*H250/V250</f>
        <v>0.18717815999762566</v>
      </c>
      <c r="Y250" s="1789">
        <f>VLOOKUP(E250,[11]核心假设及结论!$C$25:$E$45,3,0)</f>
        <v>0.25</v>
      </c>
      <c r="Z250" s="1790">
        <f t="shared" si="116"/>
        <v>60103.840000000004</v>
      </c>
      <c r="AA250" s="1790">
        <f t="shared" si="116"/>
        <v>64726.159999999996</v>
      </c>
      <c r="AB250" s="1790">
        <f t="shared" si="116"/>
        <v>69350</v>
      </c>
      <c r="AC250" s="1790">
        <f t="shared" si="115"/>
        <v>0</v>
      </c>
      <c r="AD250" s="1790">
        <f t="shared" si="115"/>
        <v>0</v>
      </c>
      <c r="AE250" s="1790">
        <f t="shared" si="115"/>
        <v>0</v>
      </c>
      <c r="AF250" s="1790">
        <f t="shared" si="115"/>
        <v>0</v>
      </c>
      <c r="AG250" s="1794">
        <v>395.42</v>
      </c>
      <c r="AH250" s="1794">
        <v>425.83</v>
      </c>
      <c r="AI250" s="1794">
        <v>456.25</v>
      </c>
      <c r="AJ250" s="1794">
        <v>0</v>
      </c>
      <c r="AK250" s="1794">
        <v>0</v>
      </c>
      <c r="AL250" s="1794">
        <v>0</v>
      </c>
      <c r="AM250" s="1794">
        <v>0</v>
      </c>
      <c r="AN250" s="1797"/>
      <c r="AO250" s="1797"/>
      <c r="AP250" s="1808">
        <f t="shared" si="105"/>
        <v>0.74871263999050264</v>
      </c>
      <c r="AQ250" s="1808">
        <f>IF(AP250&gt;[11]核心假设及结论!$B$65,[11]核心假设及结论!$D$65,IF(AP250&lt;=[11]核心假设及结论!$B$64,[11]核心假设及结论!$D$63,[11]核心假设及结论!$D$64))</f>
        <v>1</v>
      </c>
      <c r="AR250" s="1809">
        <f t="shared" si="106"/>
        <v>395.42</v>
      </c>
      <c r="AS250" s="1809">
        <f>AH250*(AS$2&lt;=YEAR($K250))+AR250*$AQ250*(AS$2=YEAR($K250)+1)+INDEX([11]核心假设及结论!$E$17:$E$21,MATCH($D250,[11]核心假设及结论!$B$17:$B$21,0))*(AS$2&gt;YEAR($K250)+1)*AR250</f>
        <v>425.83</v>
      </c>
      <c r="AT250" s="1809">
        <f>AI250*(AT$2&lt;=YEAR($K250))+AS250*$AQ250*(AT$2=YEAR($K250)+1)+INDEX([11]核心假设及结论!$E$17:$E$21,MATCH($D250,[11]核心假设及结论!$B$17:$B$21,0))*(AT$2&gt;YEAR($K250)+1)*AS250</f>
        <v>456.25</v>
      </c>
      <c r="AU250" s="1811">
        <f>AJ250*(AU$2&lt;=YEAR($K250))+AT250*$AQ250*(AU$2=YEAR($K250)+1)+INDEX([11]核心假设及结论!$E$17:$E$21,MATCH($D250,[11]核心假设及结论!$B$17:$B$21,0))*(AU$2&gt;YEAR($K250)+1)*AT250</f>
        <v>456.25</v>
      </c>
      <c r="AV250" s="1809">
        <f>AK250*(AV$2&lt;=YEAR($K250))+AU250*$AQ250*(AV$2=YEAR($K250)+1)+INDEX([11]核心假设及结论!$E$17:$E$21,MATCH($D250,[11]核心假设及结论!$B$17:$B$21,0))*(AV$2&gt;YEAR($K250)+1)*AU250</f>
        <v>472.02488367073437</v>
      </c>
      <c r="AW250" s="1809">
        <f>AL250*(AW$2&lt;=YEAR($K250))+AV250*$AQ250*(AW$2=YEAR($K250)+1)+INDEX([11]核心假设及结论!$E$17:$E$21,MATCH($D250,[11]核心假设及结论!$B$17:$B$21,0))*(AW$2&gt;YEAR($K250)+1)*AV250</f>
        <v>488.34518532464722</v>
      </c>
      <c r="AX250" s="1809">
        <f>AM250*(AX$2&lt;=YEAR($K250))+AW250*$AQ250*(AX$2=YEAR($K250)+1)+INDEX([11]核心假设及结论!$E$17:$E$21,MATCH($D250,[11]核心假设及结论!$B$17:$B$21,0))*(AX$2&gt;YEAR($K250)+1)*AW250</f>
        <v>505.22976283622972</v>
      </c>
      <c r="AZ250" s="1746">
        <f t="shared" si="96"/>
        <v>46397</v>
      </c>
      <c r="BA250" s="1817">
        <f t="shared" si="97"/>
        <v>45658</v>
      </c>
      <c r="BB250" s="1817">
        <f t="shared" si="98"/>
        <v>45667</v>
      </c>
      <c r="BC250" s="1817">
        <f t="shared" si="99"/>
        <v>46022</v>
      </c>
      <c r="BD250" s="1818">
        <f t="shared" si="100"/>
        <v>10</v>
      </c>
      <c r="BE250" s="1818">
        <f t="shared" si="101"/>
        <v>355</v>
      </c>
      <c r="BG250" s="1777">
        <f t="shared" si="112"/>
        <v>77.519425315068503</v>
      </c>
      <c r="BH250" s="1777">
        <f t="shared" si="117"/>
        <v>83.067983342465752</v>
      </c>
      <c r="BI250" s="1777">
        <f t="shared" si="117"/>
        <v>83.22</v>
      </c>
      <c r="BJ250" s="1777">
        <f t="shared" si="117"/>
        <v>86.018507582047633</v>
      </c>
      <c r="BK250" s="1777">
        <f t="shared" si="117"/>
        <v>88.992605008101307</v>
      </c>
      <c r="BL250" s="1777">
        <f t="shared" si="117"/>
        <v>92.069532112886847</v>
      </c>
      <c r="BM250" s="1777">
        <f t="shared" si="117"/>
        <v>2.5247646230500904</v>
      </c>
      <c r="BO250" s="1739">
        <f t="shared" si="102"/>
        <v>2027</v>
      </c>
      <c r="BP250" s="1742">
        <f>_xlfn.IFNA(INDEX($AR250:$AX250,MATCH(BO250,$AR$2:$AX$2,0))*12/365*[11]核心假设及结论!$C$70*$H250,0)</f>
        <v>68400</v>
      </c>
      <c r="BR250" s="1739">
        <f t="shared" si="107"/>
        <v>2030</v>
      </c>
      <c r="BS250" s="1742">
        <f>_xlfn.IFNA(INDEX($AR250:$AX250,MATCH(BR250,$AR$2:$AX$2,0))*12/365*[11]核心假设及结论!$C$70*$H250,0)</f>
        <v>73211.639838259434</v>
      </c>
      <c r="BU250" s="1739">
        <f t="shared" si="108"/>
        <v>2033</v>
      </c>
      <c r="BV250" s="1742">
        <f>_xlfn.IFNA(INDEX($AR250:$AX250,MATCH(BU250,$AR$2:$AX$2,0))*12/365*[11]核心假设及结论!$C$70*$H250,0)</f>
        <v>0</v>
      </c>
      <c r="BX250" s="1739">
        <f t="shared" si="109"/>
        <v>2036</v>
      </c>
      <c r="BY250" s="1742">
        <f>_xlfn.IFNA(INDEX($AR250:$AX250,MATCH(BX250,$AR$2:$AX$2,0))*12/365*[11]核心假设及结论!$C$70*$H250,0)</f>
        <v>0</v>
      </c>
      <c r="CA250" s="1739">
        <f t="shared" si="110"/>
        <v>2039</v>
      </c>
      <c r="CB250" s="1742">
        <f>_xlfn.IFNA(INDEX($AR250:$AX250,MATCH(CA250,$AR$2:$AX$2,0))*12/365*[11]核心假设及结论!$C$70*$H250,0)</f>
        <v>0</v>
      </c>
    </row>
    <row r="251" spans="1:80" ht="30" customHeight="1">
      <c r="A251" s="1756" t="s">
        <v>1687</v>
      </c>
      <c r="B251" s="1757" t="s">
        <v>2194</v>
      </c>
      <c r="C251" s="1756" t="s">
        <v>2195</v>
      </c>
      <c r="D251" s="1756" t="s">
        <v>1698</v>
      </c>
      <c r="E251" s="1758" t="s">
        <v>1698</v>
      </c>
      <c r="F251" s="1759"/>
      <c r="G251" s="1760" t="s">
        <v>1661</v>
      </c>
      <c r="H251" s="1761">
        <v>150</v>
      </c>
      <c r="I251" s="1761" t="s">
        <v>1913</v>
      </c>
      <c r="J251" s="1773">
        <v>44866</v>
      </c>
      <c r="K251" s="1773">
        <v>46691</v>
      </c>
      <c r="L251" s="1764">
        <f t="shared" si="92"/>
        <v>60</v>
      </c>
      <c r="M251" s="1774">
        <f t="shared" si="103"/>
        <v>103753.5</v>
      </c>
      <c r="N251" s="1775">
        <f t="shared" si="104"/>
        <v>578.07000000000005</v>
      </c>
      <c r="O251" s="1760">
        <v>86710.5</v>
      </c>
      <c r="P251" s="1776">
        <v>0.15</v>
      </c>
      <c r="Q251" s="1783">
        <f t="shared" si="93"/>
        <v>95</v>
      </c>
      <c r="R251" s="1784">
        <v>14250</v>
      </c>
      <c r="S251" s="1777">
        <f t="shared" si="94"/>
        <v>18.62</v>
      </c>
      <c r="T251" s="1777">
        <v>2793</v>
      </c>
      <c r="U251" s="1777"/>
      <c r="V251" s="1785">
        <v>312452.39333333302</v>
      </c>
      <c r="W251" s="1785">
        <f t="shared" si="95"/>
        <v>2083.0159555555533</v>
      </c>
      <c r="X251" s="1786">
        <f>(N251+Q251)*H251/V251</f>
        <v>0.32312282496198552</v>
      </c>
      <c r="Y251" s="1789">
        <f>VLOOKUP(E251,[11]核心假设及结论!$C$25:$E$45,3,0)</f>
        <v>0.2</v>
      </c>
      <c r="Z251" s="1790">
        <f t="shared" si="116"/>
        <v>100375.5</v>
      </c>
      <c r="AA251" s="1790">
        <f t="shared" si="116"/>
        <v>104937</v>
      </c>
      <c r="AB251" s="1790">
        <f t="shared" si="116"/>
        <v>109500</v>
      </c>
      <c r="AC251" s="1790">
        <f t="shared" si="115"/>
        <v>0</v>
      </c>
      <c r="AD251" s="1790">
        <f t="shared" si="115"/>
        <v>0</v>
      </c>
      <c r="AE251" s="1790">
        <f t="shared" si="115"/>
        <v>0</v>
      </c>
      <c r="AF251" s="1790">
        <f t="shared" si="115"/>
        <v>0</v>
      </c>
      <c r="AG251" s="1794">
        <v>669.17</v>
      </c>
      <c r="AH251" s="1794">
        <v>699.58</v>
      </c>
      <c r="AI251" s="1794">
        <v>730</v>
      </c>
      <c r="AJ251" s="1794">
        <v>0</v>
      </c>
      <c r="AK251" s="1794">
        <v>0</v>
      </c>
      <c r="AL251" s="1794">
        <v>0</v>
      </c>
      <c r="AM251" s="1794">
        <v>0</v>
      </c>
      <c r="AN251" s="1795"/>
      <c r="AO251" s="1795"/>
      <c r="AP251" s="1808">
        <f t="shared" si="105"/>
        <v>1.6156141248099276</v>
      </c>
      <c r="AQ251" s="1812">
        <f>IF(AP251&gt;[11]核心假设及结论!$B$62,[11]核心假设及结论!$D$62,IF(AP251&lt;=[11]核心假设及结论!$B$61,[11]核心假设及结论!$D$60,[11]核心假设及结论!$D$61))</f>
        <v>1</v>
      </c>
      <c r="AR251" s="1809">
        <f t="shared" si="106"/>
        <v>669.17</v>
      </c>
      <c r="AS251" s="1809">
        <f>AH251*(AS$2&lt;=YEAR($K251))+AR251*$AQ251*(AS$2=YEAR($K251)+1)+INDEX([11]核心假设及结论!$E$17:$E$21,MATCH($D251,[11]核心假设及结论!$B$17:$B$21,0))*(AS$2&gt;YEAR($K251)+1)*AR251</f>
        <v>699.58</v>
      </c>
      <c r="AT251" s="1809">
        <f>AI251*(AT$2&lt;=YEAR($K251))+AS251*$AQ251*(AT$2=YEAR($K251)+1)+INDEX([11]核心假设及结论!$E$17:$E$21,MATCH($D251,[11]核心假设及结论!$B$17:$B$21,0))*(AT$2&gt;YEAR($K251)+1)*AS251</f>
        <v>730</v>
      </c>
      <c r="AU251" s="1811">
        <f>AJ251*(AU$2&lt;=YEAR($K251))+AT251*$AQ251*(AU$2=YEAR($K251)+1)+INDEX([11]核心假设及结论!$E$17:$E$21,MATCH($D251,[11]核心假设及结论!$B$17:$B$21,0))*(AU$2&gt;YEAR($K251)+1)*AT251</f>
        <v>730</v>
      </c>
      <c r="AV251" s="1809">
        <f>AK251*(AV$2&lt;=YEAR($K251))+AU251*$AQ251*(AV$2=YEAR($K251)+1)+INDEX([11]核心假设及结论!$E$17:$E$21,MATCH($D251,[11]核心假设及结论!$B$17:$B$21,0))*(AV$2&gt;YEAR($K251)+1)*AU251</f>
        <v>752.35070591580757</v>
      </c>
      <c r="AW251" s="1809">
        <f>AL251*(AW$2&lt;=YEAR($K251))+AV251*$AQ251*(AW$2=YEAR($K251)+1)+INDEX([11]核心假设及结论!$E$17:$E$21,MATCH($D251,[11]核心假设及结论!$B$17:$B$21,0))*(AW$2&gt;YEAR($K251)+1)*AV251</f>
        <v>775.38573245481359</v>
      </c>
      <c r="AX251" s="1809">
        <f>AM251*(AX$2&lt;=YEAR($K251))+AW251*$AQ251*(AX$2=YEAR($K251)+1)+INDEX([11]核心假设及结论!$E$17:$E$21,MATCH($D251,[11]核心假设及结论!$B$17:$B$21,0))*(AX$2&gt;YEAR($K251)+1)*AW251</f>
        <v>799.12603173893763</v>
      </c>
      <c r="AZ251" s="1746">
        <f t="shared" si="96"/>
        <v>46691</v>
      </c>
      <c r="BA251" s="1817">
        <f t="shared" si="97"/>
        <v>45658</v>
      </c>
      <c r="BB251" s="1817">
        <f t="shared" si="98"/>
        <v>45961</v>
      </c>
      <c r="BC251" s="1817">
        <f t="shared" si="99"/>
        <v>46022</v>
      </c>
      <c r="BD251" s="1818">
        <f t="shared" si="100"/>
        <v>304</v>
      </c>
      <c r="BE251" s="1818">
        <f t="shared" si="101"/>
        <v>61</v>
      </c>
      <c r="BG251" s="1777">
        <f t="shared" si="112"/>
        <v>121.3653994520548</v>
      </c>
      <c r="BH251" s="1777">
        <f t="shared" si="117"/>
        <v>126.8395002739726</v>
      </c>
      <c r="BI251" s="1777">
        <f t="shared" si="117"/>
        <v>131.4</v>
      </c>
      <c r="BJ251" s="1777">
        <f t="shared" si="117"/>
        <v>132.07235822179607</v>
      </c>
      <c r="BK251" s="1777">
        <f t="shared" si="117"/>
        <v>136.11607115086807</v>
      </c>
      <c r="BL251" s="1777">
        <f t="shared" si="117"/>
        <v>140.28359207786556</v>
      </c>
      <c r="BM251" s="1777">
        <f t="shared" si="117"/>
        <v>119.80322316919086</v>
      </c>
      <c r="BO251" s="1739">
        <f t="shared" si="102"/>
        <v>2027</v>
      </c>
      <c r="BP251" s="1742">
        <f>_xlfn.IFNA(INDEX($AR251:$AX251,MATCH(BO251,$AR$2:$AX$2,0))*12/365*[11]核心假设及结论!$C$70*$H251,0)</f>
        <v>108000</v>
      </c>
      <c r="BR251" s="1739">
        <f t="shared" si="107"/>
        <v>2032</v>
      </c>
      <c r="BS251" s="1742">
        <f>_xlfn.IFNA(INDEX($AR251:$AX251,MATCH(BR251,$AR$2:$AX$2,0))*12/365*[11]核心假设及结论!$C$70*$H251,0)</f>
        <v>0</v>
      </c>
      <c r="BU251" s="1739">
        <f t="shared" si="108"/>
        <v>2037</v>
      </c>
      <c r="BV251" s="1742">
        <f>_xlfn.IFNA(INDEX($AR251:$AX251,MATCH(BU251,$AR$2:$AX$2,0))*12/365*[11]核心假设及结论!$C$70*$H251,0)</f>
        <v>0</v>
      </c>
      <c r="BX251" s="1739">
        <f t="shared" si="109"/>
        <v>2042</v>
      </c>
      <c r="BY251" s="1742">
        <f>_xlfn.IFNA(INDEX($AR251:$AX251,MATCH(BX251,$AR$2:$AX$2,0))*12/365*[11]核心假设及结论!$C$70*$H251,0)</f>
        <v>0</v>
      </c>
      <c r="CA251" s="1739">
        <f t="shared" si="110"/>
        <v>2047</v>
      </c>
      <c r="CB251" s="1742">
        <f>_xlfn.IFNA(INDEX($AR251:$AX251,MATCH(CA251,$AR$2:$AX$2,0))*12/365*[11]核心假设及结论!$C$70*$H251,0)</f>
        <v>0</v>
      </c>
    </row>
    <row r="252" spans="1:80" ht="30" customHeight="1">
      <c r="A252" s="1756" t="s">
        <v>1687</v>
      </c>
      <c r="B252" s="1757" t="s">
        <v>2196</v>
      </c>
      <c r="C252" s="1756" t="s">
        <v>2197</v>
      </c>
      <c r="D252" s="1756" t="s">
        <v>1685</v>
      </c>
      <c r="E252" s="1758" t="s">
        <v>1726</v>
      </c>
      <c r="F252" s="1759"/>
      <c r="G252" s="1760" t="s">
        <v>1661</v>
      </c>
      <c r="H252" s="1761">
        <v>150</v>
      </c>
      <c r="I252" s="1761" t="s">
        <v>1913</v>
      </c>
      <c r="J252" s="1773">
        <v>45306</v>
      </c>
      <c r="K252" s="1773">
        <v>45718</v>
      </c>
      <c r="L252" s="1764">
        <f t="shared" si="92"/>
        <v>14</v>
      </c>
      <c r="M252" s="1774">
        <f t="shared" si="103"/>
        <v>59307</v>
      </c>
      <c r="N252" s="1775">
        <f t="shared" si="104"/>
        <v>334.58</v>
      </c>
      <c r="O252" s="1760">
        <v>50187</v>
      </c>
      <c r="P252" s="1776">
        <v>0.05</v>
      </c>
      <c r="Q252" s="1783">
        <f t="shared" si="93"/>
        <v>45</v>
      </c>
      <c r="R252" s="1784">
        <v>6750</v>
      </c>
      <c r="S252" s="1777">
        <f t="shared" si="94"/>
        <v>15.8</v>
      </c>
      <c r="T252" s="1784">
        <v>2370</v>
      </c>
      <c r="U252" s="1777"/>
      <c r="V252" s="1785">
        <v>72471.5</v>
      </c>
      <c r="W252" s="1785">
        <f t="shared" si="95"/>
        <v>483.14333333333332</v>
      </c>
      <c r="X252" s="1786">
        <f>(N252+Q252)*H252/V252</f>
        <v>0.78564677148948203</v>
      </c>
      <c r="Y252" s="1789">
        <f>VLOOKUP(E252,[11]核心假设及结论!$C$25:$E$45,3,0)</f>
        <v>0.1</v>
      </c>
      <c r="Z252" s="1790">
        <f t="shared" si="116"/>
        <v>50187</v>
      </c>
      <c r="AA252" s="1790">
        <f t="shared" si="116"/>
        <v>0</v>
      </c>
      <c r="AB252" s="1790">
        <f t="shared" si="116"/>
        <v>0</v>
      </c>
      <c r="AC252" s="1790">
        <f t="shared" si="115"/>
        <v>0</v>
      </c>
      <c r="AD252" s="1790">
        <f t="shared" si="115"/>
        <v>0</v>
      </c>
      <c r="AE252" s="1790">
        <f t="shared" si="115"/>
        <v>0</v>
      </c>
      <c r="AF252" s="1790">
        <f t="shared" si="115"/>
        <v>0</v>
      </c>
      <c r="AG252" s="1794">
        <v>334.58</v>
      </c>
      <c r="AH252" s="1794">
        <v>0</v>
      </c>
      <c r="AI252" s="1794">
        <v>0</v>
      </c>
      <c r="AJ252" s="1794">
        <v>0</v>
      </c>
      <c r="AK252" s="1794">
        <v>0</v>
      </c>
      <c r="AL252" s="1794">
        <v>0</v>
      </c>
      <c r="AM252" s="1794">
        <v>0</v>
      </c>
      <c r="AN252" s="1797"/>
      <c r="AO252" s="1797"/>
      <c r="AP252" s="1808">
        <f t="shared" si="105"/>
        <v>7.8564677148948201</v>
      </c>
      <c r="AQ252" s="1810">
        <f>IF(AP252&gt;[11]核心假设及结论!$B$59,[11]核心假设及结论!$D$59,IF(AP252&lt;=[11]核心假设及结论!$B$58,[11]核心假设及结论!$D$57,[11]核心假设及结论!$D$58))</f>
        <v>1</v>
      </c>
      <c r="AR252" s="1809">
        <f t="shared" si="106"/>
        <v>334.58</v>
      </c>
      <c r="AS252" s="1811">
        <f>AH252*(AS$2&lt;=YEAR($K252))+AR252*$AQ252*(AS$2=YEAR($K252)+1)+INDEX([11]核心假设及结论!$E$17:$E$21,MATCH($D252,[11]核心假设及结论!$B$17:$B$21,0))*(AS$2&gt;YEAR($K252)+1)*AR252</f>
        <v>334.58</v>
      </c>
      <c r="AT252" s="1809">
        <f>AI252*(AT$2&lt;=YEAR($K252))+AS252*$AQ252*(AT$2=YEAR($K252)+1)+INDEX([11]核心假设及结论!$E$17:$E$21,MATCH($D252,[11]核心假设及结论!$B$17:$B$21,0))*(AT$2&gt;YEAR($K252)+1)*AS252</f>
        <v>343.63858320119903</v>
      </c>
      <c r="AU252" s="1809">
        <f>AJ252*(AU$2&lt;=YEAR($K252))+AT252*$AQ252*(AU$2=YEAR($K252)+1)+INDEX([11]核心假设及结论!$E$17:$E$21,MATCH($D252,[11]核心假设及结论!$B$17:$B$21,0))*(AU$2&gt;YEAR($K252)+1)*AT252</f>
        <v>352.94242293181713</v>
      </c>
      <c r="AV252" s="1809">
        <f>AK252*(AV$2&lt;=YEAR($K252))+AU252*$AQ252*(AV$2=YEAR($K252)+1)+INDEX([11]核心假设及结论!$E$17:$E$21,MATCH($D252,[11]核心假设及结论!$B$17:$B$21,0))*(AV$2&gt;YEAR($K252)+1)*AU252</f>
        <v>362.49815938755461</v>
      </c>
      <c r="AW252" s="1809">
        <f>AL252*(AW$2&lt;=YEAR($K252))+AV252*$AQ252*(AW$2=YEAR($K252)+1)+INDEX([11]核心假设及结论!$E$17:$E$21,MATCH($D252,[11]核心假设及结论!$B$17:$B$21,0))*(AW$2&gt;YEAR($K252)+1)*AV252</f>
        <v>372.3126125440304</v>
      </c>
      <c r="AX252" s="1809">
        <f>AM252*(AX$2&lt;=YEAR($K252))+AW252*$AQ252*(AX$2=YEAR($K252)+1)+INDEX([11]核心假设及结论!$E$17:$E$21,MATCH($D252,[11]核心假设及结论!$B$17:$B$21,0))*(AX$2&gt;YEAR($K252)+1)*AW252</f>
        <v>382.39278702423206</v>
      </c>
      <c r="AZ252" s="1746">
        <f t="shared" si="96"/>
        <v>45718</v>
      </c>
      <c r="BA252" s="1817">
        <f t="shared" si="97"/>
        <v>45658</v>
      </c>
      <c r="BB252" s="1817">
        <f t="shared" si="98"/>
        <v>45718</v>
      </c>
      <c r="BC252" s="1817">
        <f t="shared" si="99"/>
        <v>46022</v>
      </c>
      <c r="BD252" s="1818">
        <f t="shared" si="100"/>
        <v>61</v>
      </c>
      <c r="BE252" s="1818">
        <f t="shared" si="101"/>
        <v>304</v>
      </c>
      <c r="BG252" s="1777">
        <f t="shared" si="112"/>
        <v>60.224399999999989</v>
      </c>
      <c r="BH252" s="1777">
        <f t="shared" si="117"/>
        <v>61.582442939094825</v>
      </c>
      <c r="BI252" s="1777">
        <f t="shared" si="117"/>
        <v>63.249756236652601</v>
      </c>
      <c r="BJ252" s="1777">
        <f t="shared" si="117"/>
        <v>64.962211193091335</v>
      </c>
      <c r="BK252" s="1777">
        <f t="shared" si="117"/>
        <v>66.721029995848468</v>
      </c>
      <c r="BL252" s="1777">
        <f t="shared" si="117"/>
        <v>68.527467922464183</v>
      </c>
      <c r="BM252" s="1777">
        <f t="shared" si="117"/>
        <v>11.503213154865939</v>
      </c>
      <c r="BO252" s="1739">
        <f t="shared" si="102"/>
        <v>2025</v>
      </c>
      <c r="BP252" s="1742">
        <f>_xlfn.IFNA(INDEX($AR252:$AX252,MATCH(BO252,$AR$2:$AX$2,0))*12/365*[11]核心假设及结论!$C$70*$H252,0)</f>
        <v>49499.506849315076</v>
      </c>
      <c r="BR252" s="1739">
        <f t="shared" si="107"/>
        <v>2026</v>
      </c>
      <c r="BS252" s="1742">
        <f>_xlfn.IFNA(INDEX($AR252:$AX252,MATCH(BR252,$AR$2:$AX$2,0))*12/365*[11]核心假设及结论!$C$70*$H252,0)</f>
        <v>49499.506849315076</v>
      </c>
      <c r="BU252" s="1739">
        <f t="shared" si="108"/>
        <v>2027</v>
      </c>
      <c r="BV252" s="1742">
        <f>_xlfn.IFNA(INDEX($AR252:$AX252,MATCH(BU252,$AR$2:$AX$2,0))*12/365*[11]核心假设及结论!$C$70*$H252,0)</f>
        <v>50839.68080236917</v>
      </c>
      <c r="BX252" s="1739">
        <f t="shared" si="109"/>
        <v>2028</v>
      </c>
      <c r="BY252" s="1742">
        <f>_xlfn.IFNA(INDEX($AR252:$AX252,MATCH(BX252,$AR$2:$AX$2,0))*12/365*[11]核心假设及结论!$C$70*$H252,0)</f>
        <v>52216.139283063356</v>
      </c>
      <c r="CA252" s="1739">
        <f t="shared" si="110"/>
        <v>2029</v>
      </c>
      <c r="CB252" s="1742">
        <f>_xlfn.IFNA(INDEX($AR252:$AX252,MATCH(CA252,$AR$2:$AX$2,0))*12/365*[11]核心假设及结论!$C$70*$H252,0)</f>
        <v>53629.864676514939</v>
      </c>
    </row>
    <row r="253" spans="1:80" ht="30" customHeight="1">
      <c r="A253" s="1756" t="s">
        <v>1687</v>
      </c>
      <c r="B253" s="1757" t="s">
        <v>2198</v>
      </c>
      <c r="C253" s="1756" t="s">
        <v>2199</v>
      </c>
      <c r="D253" s="1756" t="s">
        <v>1676</v>
      </c>
      <c r="E253" s="1758" t="s">
        <v>1677</v>
      </c>
      <c r="F253" s="1759"/>
      <c r="G253" s="1760" t="s">
        <v>1661</v>
      </c>
      <c r="H253" s="1761">
        <v>149</v>
      </c>
      <c r="I253" s="1761" t="s">
        <v>1913</v>
      </c>
      <c r="J253" s="1773">
        <v>44788</v>
      </c>
      <c r="K253" s="1773">
        <v>45883</v>
      </c>
      <c r="L253" s="1764">
        <f t="shared" si="92"/>
        <v>36</v>
      </c>
      <c r="M253" s="1774">
        <f t="shared" si="103"/>
        <v>59012.939999999995</v>
      </c>
      <c r="N253" s="1775">
        <f t="shared" si="104"/>
        <v>287.44</v>
      </c>
      <c r="O253" s="1760">
        <v>42828.56</v>
      </c>
      <c r="P253" s="1776">
        <v>0.12</v>
      </c>
      <c r="Q253" s="1783">
        <f t="shared" si="93"/>
        <v>90</v>
      </c>
      <c r="R253" s="1784">
        <v>13410</v>
      </c>
      <c r="S253" s="1777">
        <f t="shared" si="94"/>
        <v>18.62</v>
      </c>
      <c r="T253" s="1784">
        <v>2774.38</v>
      </c>
      <c r="U253" s="1777"/>
      <c r="V253" s="1785">
        <v>149505.58333333299</v>
      </c>
      <c r="W253" s="1785">
        <f t="shared" si="95"/>
        <v>1003.3931767337784</v>
      </c>
      <c r="X253" s="1786">
        <f>(N253+Q253)*H253/V253</f>
        <v>0.37616361038913348</v>
      </c>
      <c r="Y253" s="1789">
        <f>VLOOKUP(E253,[11]核心假设及结论!$C$25:$E$45,3,0)</f>
        <v>0.25</v>
      </c>
      <c r="Z253" s="1790">
        <f t="shared" si="116"/>
        <v>44969.69</v>
      </c>
      <c r="AA253" s="1790">
        <f t="shared" si="116"/>
        <v>0</v>
      </c>
      <c r="AB253" s="1790">
        <f t="shared" si="116"/>
        <v>0</v>
      </c>
      <c r="AC253" s="1790">
        <f t="shared" si="115"/>
        <v>0</v>
      </c>
      <c r="AD253" s="1790">
        <f t="shared" si="115"/>
        <v>0</v>
      </c>
      <c r="AE253" s="1790">
        <f t="shared" si="115"/>
        <v>0</v>
      </c>
      <c r="AF253" s="1790">
        <f t="shared" si="115"/>
        <v>0</v>
      </c>
      <c r="AG253" s="1794">
        <v>301.81</v>
      </c>
      <c r="AH253" s="1794">
        <v>0</v>
      </c>
      <c r="AI253" s="1794">
        <v>0</v>
      </c>
      <c r="AJ253" s="1794">
        <v>0</v>
      </c>
      <c r="AK253" s="1794">
        <v>0</v>
      </c>
      <c r="AL253" s="1794">
        <v>0</v>
      </c>
      <c r="AM253" s="1794">
        <v>0</v>
      </c>
      <c r="AN253" s="1797"/>
      <c r="AO253" s="1797"/>
      <c r="AP253" s="1808">
        <f t="shared" si="105"/>
        <v>1.5046544415565339</v>
      </c>
      <c r="AQ253" s="1808">
        <f>IF(AP253&gt;[11]核心假设及结论!$B$65,[11]核心假设及结论!$D$65,IF(AP253&lt;=[11]核心假设及结论!$B$64,[11]核心假设及结论!$D$63,[11]核心假设及结论!$D$64))</f>
        <v>0.72793038402688603</v>
      </c>
      <c r="AR253" s="1809">
        <f t="shared" si="106"/>
        <v>301.81</v>
      </c>
      <c r="AS253" s="1811">
        <f>AH253*(AS$2&lt;=YEAR($K253))+AR253*$AQ253*(AS$2=YEAR($K253)+1)+INDEX([11]核心假设及结论!$E$17:$E$21,MATCH($D253,[11]核心假设及结论!$B$17:$B$21,0))*(AS$2&gt;YEAR($K253)+1)*AR253</f>
        <v>219.69666920315447</v>
      </c>
      <c r="AT253" s="1809">
        <f>AI253*(AT$2&lt;=YEAR($K253))+AS253*$AQ253*(AT$2=YEAR($K253)+1)+INDEX([11]核心假设及结论!$E$17:$E$21,MATCH($D253,[11]核心假设及结论!$B$17:$B$21,0))*(AT$2&gt;YEAR($K253)+1)*AS253</f>
        <v>227.29270076376284</v>
      </c>
      <c r="AU253" s="1809">
        <f>AJ253*(AU$2&lt;=YEAR($K253))+AT253*$AQ253*(AU$2=YEAR($K253)+1)+INDEX([11]核心假设及结论!$E$17:$E$21,MATCH($D253,[11]核心假设及结论!$B$17:$B$21,0))*(AU$2&gt;YEAR($K253)+1)*AT253</f>
        <v>235.15136578021301</v>
      </c>
      <c r="AV253" s="1809">
        <f>AK253*(AV$2&lt;=YEAR($K253))+AU253*$AQ253*(AV$2=YEAR($K253)+1)+INDEX([11]核心假设及结论!$E$17:$E$21,MATCH($D253,[11]核心假设及结论!$B$17:$B$21,0))*(AV$2&gt;YEAR($K253)+1)*AU253</f>
        <v>243.28174482722048</v>
      </c>
      <c r="AW253" s="1809">
        <f>AL253*(AW$2&lt;=YEAR($K253))+AV253*$AQ253*(AW$2=YEAR($K253)+1)+INDEX([11]核心假设及结论!$E$17:$E$21,MATCH($D253,[11]核心假设及结论!$B$17:$B$21,0))*(AW$2&gt;YEAR($K253)+1)*AV253</f>
        <v>251.69323244116609</v>
      </c>
      <c r="AX253" s="1809">
        <f>AM253*(AX$2&lt;=YEAR($K253))+AW253*$AQ253*(AX$2=YEAR($K253)+1)+INDEX([11]核心假设及结论!$E$17:$E$21,MATCH($D253,[11]核心假设及结论!$B$17:$B$21,0))*(AX$2&gt;YEAR($K253)+1)*AW253</f>
        <v>260.39554797534799</v>
      </c>
      <c r="AZ253" s="1746">
        <f t="shared" si="96"/>
        <v>45883</v>
      </c>
      <c r="BA253" s="1817">
        <f t="shared" si="97"/>
        <v>45658</v>
      </c>
      <c r="BB253" s="1817">
        <f t="shared" si="98"/>
        <v>45883</v>
      </c>
      <c r="BC253" s="1817">
        <f t="shared" si="99"/>
        <v>46022</v>
      </c>
      <c r="BD253" s="1818">
        <f t="shared" si="100"/>
        <v>226</v>
      </c>
      <c r="BE253" s="1818">
        <f t="shared" si="101"/>
        <v>139</v>
      </c>
      <c r="BG253" s="1777">
        <f t="shared" si="112"/>
        <v>48.372452567232436</v>
      </c>
      <c r="BH253" s="1777">
        <f t="shared" si="117"/>
        <v>39.798985526351721</v>
      </c>
      <c r="BI253" s="1777">
        <f t="shared" si="117"/>
        <v>41.175038933237069</v>
      </c>
      <c r="BJ253" s="1777">
        <f t="shared" si="117"/>
        <v>42.59866950706671</v>
      </c>
      <c r="BK253" s="1777">
        <f t="shared" si="117"/>
        <v>44.071522232550613</v>
      </c>
      <c r="BL253" s="1777">
        <f t="shared" si="117"/>
        <v>45.595298969889072</v>
      </c>
      <c r="BM253" s="1777">
        <f t="shared" si="117"/>
        <v>28.828141421989706</v>
      </c>
      <c r="BO253" s="1739">
        <f t="shared" si="102"/>
        <v>2025</v>
      </c>
      <c r="BP253" s="1742">
        <f>_xlfn.IFNA(INDEX($AR253:$AX253,MATCH(BO253,$AR$2:$AX$2,0))*12/365*[11]核心假设及结论!$C$70*$H253,0)</f>
        <v>44353.666849315072</v>
      </c>
      <c r="BR253" s="1739">
        <f t="shared" si="107"/>
        <v>2028</v>
      </c>
      <c r="BS253" s="1742">
        <f>_xlfn.IFNA(INDEX($AR253:$AX253,MATCH(BR253,$AR$2:$AX$2,0))*12/365*[11]核心假设及结论!$C$70*$H253,0)</f>
        <v>34557.587014933219</v>
      </c>
      <c r="BU253" s="1739">
        <f t="shared" si="108"/>
        <v>2031</v>
      </c>
      <c r="BV253" s="1742">
        <f>_xlfn.IFNA(INDEX($AR253:$AX253,MATCH(BU253,$AR$2:$AX$2,0))*12/365*[11]核心假设及结论!$C$70*$H253,0)</f>
        <v>38267.444365473064</v>
      </c>
      <c r="BX253" s="1739">
        <f t="shared" si="109"/>
        <v>2034</v>
      </c>
      <c r="BY253" s="1742">
        <f>_xlfn.IFNA(INDEX($AR253:$AX253,MATCH(BX253,$AR$2:$AX$2,0))*12/365*[11]核心假设及结论!$C$70*$H253,0)</f>
        <v>0</v>
      </c>
      <c r="CA253" s="1739">
        <f t="shared" si="110"/>
        <v>2037</v>
      </c>
      <c r="CB253" s="1742">
        <f>_xlfn.IFNA(INDEX($AR253:$AX253,MATCH(CA253,$AR$2:$AX$2,0))*12/365*[11]核心假设及结论!$C$70*$H253,0)</f>
        <v>0</v>
      </c>
    </row>
    <row r="254" spans="1:80" ht="30" customHeight="1">
      <c r="A254" s="1756" t="s">
        <v>1662</v>
      </c>
      <c r="B254" s="1757" t="s">
        <v>2200</v>
      </c>
      <c r="C254" s="1756" t="s">
        <v>2201</v>
      </c>
      <c r="D254" s="1756" t="s">
        <v>1685</v>
      </c>
      <c r="E254" s="1758" t="s">
        <v>1718</v>
      </c>
      <c r="F254" s="1759"/>
      <c r="G254" s="1760" t="s">
        <v>1661</v>
      </c>
      <c r="H254" s="1761">
        <v>148</v>
      </c>
      <c r="I254" s="1761" t="s">
        <v>1913</v>
      </c>
      <c r="J254" s="1773">
        <v>45154</v>
      </c>
      <c r="K254" s="1773">
        <v>46249</v>
      </c>
      <c r="L254" s="1764">
        <f t="shared" si="92"/>
        <v>36</v>
      </c>
      <c r="M254" s="1774">
        <f t="shared" si="103"/>
        <v>173541.84</v>
      </c>
      <c r="N254" s="1775">
        <f t="shared" si="104"/>
        <v>1064.58</v>
      </c>
      <c r="O254" s="1760">
        <v>157557.84</v>
      </c>
      <c r="P254" s="1776">
        <v>0.18</v>
      </c>
      <c r="Q254" s="1783">
        <f t="shared" si="93"/>
        <v>90</v>
      </c>
      <c r="R254" s="1784">
        <v>13320</v>
      </c>
      <c r="S254" s="1777">
        <f t="shared" si="94"/>
        <v>18</v>
      </c>
      <c r="T254" s="1777">
        <v>2664</v>
      </c>
      <c r="U254" s="1777"/>
      <c r="V254" s="1785">
        <v>1146169.7272727301</v>
      </c>
      <c r="W254" s="1785">
        <f t="shared" si="95"/>
        <v>7744.3900491400682</v>
      </c>
      <c r="X254" s="1786">
        <f>(N254+Q254+S254)*H254/V254</f>
        <v>0.15141024568231845</v>
      </c>
      <c r="Y254" s="1789">
        <f>VLOOKUP(E254,[11]核心假设及结论!$C$25:$E$45,3,0)</f>
        <v>0.2</v>
      </c>
      <c r="Z254" s="1790">
        <f t="shared" si="116"/>
        <v>162060</v>
      </c>
      <c r="AA254" s="1790">
        <f t="shared" si="116"/>
        <v>166562.16</v>
      </c>
      <c r="AB254" s="1790">
        <f t="shared" si="116"/>
        <v>0</v>
      </c>
      <c r="AC254" s="1790">
        <f t="shared" si="115"/>
        <v>0</v>
      </c>
      <c r="AD254" s="1790">
        <f t="shared" si="115"/>
        <v>0</v>
      </c>
      <c r="AE254" s="1790">
        <f t="shared" si="115"/>
        <v>0</v>
      </c>
      <c r="AF254" s="1790">
        <f t="shared" si="115"/>
        <v>0</v>
      </c>
      <c r="AG254" s="1794">
        <v>1095</v>
      </c>
      <c r="AH254" s="1794">
        <v>1125.42</v>
      </c>
      <c r="AI254" s="1794">
        <v>0</v>
      </c>
      <c r="AJ254" s="1794">
        <v>0</v>
      </c>
      <c r="AK254" s="1794">
        <v>0</v>
      </c>
      <c r="AL254" s="1794">
        <v>0</v>
      </c>
      <c r="AM254" s="1794">
        <v>0</v>
      </c>
      <c r="AN254" s="1795"/>
      <c r="AO254" s="1795"/>
      <c r="AP254" s="1808">
        <f t="shared" si="105"/>
        <v>0.75705122841159223</v>
      </c>
      <c r="AQ254" s="1810">
        <f>IF(AP254&gt;[11]核心假设及结论!$B$59,[11]核心假设及结论!$D$59,IF(AP254&lt;=[11]核心假设及结论!$B$58,[11]核心假设及结论!$D$57,[11]核心假设及结论!$D$58))</f>
        <v>1.0342640124442799</v>
      </c>
      <c r="AR254" s="1809">
        <f t="shared" si="106"/>
        <v>1095</v>
      </c>
      <c r="AS254" s="1809">
        <f>AH254*(AS$2&lt;=YEAR($K254))+AR254*$AQ254*(AS$2=YEAR($K254)+1)+INDEX([11]核心假设及结论!$E$17:$E$21,MATCH($D254,[11]核心假设及结论!$B$17:$B$21,0))*(AS$2&gt;YEAR($K254)+1)*AR254</f>
        <v>1125.42</v>
      </c>
      <c r="AT254" s="1811">
        <f>AI254*(AT$2&lt;=YEAR($K254))+AS254*$AQ254*(AT$2=YEAR($K254)+1)+INDEX([11]核心假设及结论!$E$17:$E$21,MATCH($D254,[11]核心假设及结论!$B$17:$B$21,0))*(AT$2&gt;YEAR($K254)+1)*AS254</f>
        <v>1163.9814048850415</v>
      </c>
      <c r="AU254" s="1809">
        <f>AJ254*(AU$2&lt;=YEAR($K254))+AT254*$AQ254*(AU$2=YEAR($K254)+1)+INDEX([11]核心假设及结论!$E$17:$E$21,MATCH($D254,[11]核心假设及结论!$B$17:$B$21,0))*(AU$2&gt;YEAR($K254)+1)*AT254</f>
        <v>1195.4956089641844</v>
      </c>
      <c r="AV254" s="1809">
        <f>AK254*(AV$2&lt;=YEAR($K254))+AU254*$AQ254*(AV$2=YEAR($K254)+1)+INDEX([11]核心假设及结论!$E$17:$E$21,MATCH($D254,[11]核心假设及结论!$B$17:$B$21,0))*(AV$2&gt;YEAR($K254)+1)*AU254</f>
        <v>1227.8630440782681</v>
      </c>
      <c r="AW254" s="1809">
        <f>AL254*(AW$2&lt;=YEAR($K254))+AV254*$AQ254*(AW$2=YEAR($K254)+1)+INDEX([11]核心假设及结论!$E$17:$E$21,MATCH($D254,[11]核心假设及结论!$B$17:$B$21,0))*(AW$2&gt;YEAR($K254)+1)*AV254</f>
        <v>1261.1068110232752</v>
      </c>
      <c r="AX254" s="1809">
        <f>AM254*(AX$2&lt;=YEAR($K254))+AW254*$AQ254*(AX$2=YEAR($K254)+1)+INDEX([11]核心假设及结论!$E$17:$E$21,MATCH($D254,[11]核心假设及结论!$B$17:$B$21,0))*(AX$2&gt;YEAR($K254)+1)*AW254</f>
        <v>1295.2506360374814</v>
      </c>
      <c r="AZ254" s="1746">
        <f t="shared" si="96"/>
        <v>46249</v>
      </c>
      <c r="BA254" s="1817">
        <f t="shared" si="97"/>
        <v>45658</v>
      </c>
      <c r="BB254" s="1817">
        <f t="shared" si="98"/>
        <v>45884</v>
      </c>
      <c r="BC254" s="1817">
        <f t="shared" si="99"/>
        <v>46022</v>
      </c>
      <c r="BD254" s="1818">
        <f t="shared" si="100"/>
        <v>227</v>
      </c>
      <c r="BE254" s="1818">
        <f t="shared" si="101"/>
        <v>138</v>
      </c>
      <c r="BG254" s="1777">
        <f t="shared" si="112"/>
        <v>196.51462382465755</v>
      </c>
      <c r="BH254" s="1777">
        <f t="shared" si="117"/>
        <v>202.46388997273016</v>
      </c>
      <c r="BI254" s="1777">
        <f t="shared" si="117"/>
        <v>208.83919428822691</v>
      </c>
      <c r="BJ254" s="1777">
        <f t="shared" si="117"/>
        <v>214.49340917594066</v>
      </c>
      <c r="BK254" s="1777">
        <f t="shared" si="117"/>
        <v>220.3007090537848</v>
      </c>
      <c r="BL254" s="1777">
        <f t="shared" si="117"/>
        <v>226.26523861994787</v>
      </c>
      <c r="BM254" s="1777">
        <f t="shared" si="117"/>
        <v>143.06380395062541</v>
      </c>
      <c r="BO254" s="1739">
        <f t="shared" si="102"/>
        <v>2026</v>
      </c>
      <c r="BP254" s="1742">
        <f>_xlfn.IFNA(INDEX($AR254:$AX254,MATCH(BO254,$AR$2:$AX$2,0))*12/365*[11]核心假设及结论!$C$70*$H254,0)</f>
        <v>164280.48657534245</v>
      </c>
      <c r="BR254" s="1739">
        <f t="shared" si="107"/>
        <v>2029</v>
      </c>
      <c r="BS254" s="1742">
        <f>_xlfn.IFNA(INDEX($AR254:$AX254,MATCH(BR254,$AR$2:$AX$2,0))*12/365*[11]核心假设及结论!$C$70*$H254,0)</f>
        <v>179234.36435202771</v>
      </c>
      <c r="BU254" s="1739">
        <f t="shared" si="108"/>
        <v>2032</v>
      </c>
      <c r="BV254" s="1742">
        <f>_xlfn.IFNA(INDEX($AR254:$AX254,MATCH(BU254,$AR$2:$AX$2,0))*12/365*[11]核心假设及结论!$C$70*$H254,0)</f>
        <v>0</v>
      </c>
      <c r="BX254" s="1739">
        <f t="shared" si="109"/>
        <v>2035</v>
      </c>
      <c r="BY254" s="1742">
        <f>_xlfn.IFNA(INDEX($AR254:$AX254,MATCH(BX254,$AR$2:$AX$2,0))*12/365*[11]核心假设及结论!$C$70*$H254,0)</f>
        <v>0</v>
      </c>
      <c r="CA254" s="1739">
        <f t="shared" si="110"/>
        <v>2038</v>
      </c>
      <c r="CB254" s="1742">
        <f>_xlfn.IFNA(INDEX($AR254:$AX254,MATCH(CA254,$AR$2:$AX$2,0))*12/365*[11]核心假设及结论!$C$70*$H254,0)</f>
        <v>0</v>
      </c>
    </row>
    <row r="255" spans="1:80" ht="30" customHeight="1">
      <c r="A255" s="1756" t="s">
        <v>1687</v>
      </c>
      <c r="B255" s="1757" t="s">
        <v>2202</v>
      </c>
      <c r="C255" s="1756" t="s">
        <v>2203</v>
      </c>
      <c r="D255" s="1756" t="s">
        <v>1685</v>
      </c>
      <c r="E255" s="1758" t="s">
        <v>1692</v>
      </c>
      <c r="F255" s="1759"/>
      <c r="G255" s="1760" t="s">
        <v>1661</v>
      </c>
      <c r="H255" s="1761">
        <v>148</v>
      </c>
      <c r="I255" s="1761" t="s">
        <v>1913</v>
      </c>
      <c r="J255" s="1773">
        <v>44877</v>
      </c>
      <c r="K255" s="1773">
        <v>46702</v>
      </c>
      <c r="L255" s="1764">
        <f t="shared" si="92"/>
        <v>60</v>
      </c>
      <c r="M255" s="1774">
        <f t="shared" si="103"/>
        <v>138340.04</v>
      </c>
      <c r="N255" s="1775">
        <f t="shared" si="104"/>
        <v>821.11</v>
      </c>
      <c r="O255" s="1760">
        <v>121524.28</v>
      </c>
      <c r="P255" s="1776">
        <v>0.18</v>
      </c>
      <c r="Q255" s="1783">
        <f t="shared" si="93"/>
        <v>95</v>
      </c>
      <c r="R255" s="1784">
        <v>14060</v>
      </c>
      <c r="S255" s="1777">
        <f t="shared" si="94"/>
        <v>18.62</v>
      </c>
      <c r="T255" s="1777">
        <v>2755.76</v>
      </c>
      <c r="U255" s="1777"/>
      <c r="V255" s="1785">
        <v>2902584.2</v>
      </c>
      <c r="W255" s="1785">
        <f t="shared" si="95"/>
        <v>19612.055405405408</v>
      </c>
      <c r="X255" s="1786">
        <f>(N255+Q255+S255)*H255/V255</f>
        <v>4.7660991195363087E-2</v>
      </c>
      <c r="Y255" s="1789">
        <f>VLOOKUP(E255,[11]核心假设及结论!$C$25:$E$45,3,0)</f>
        <v>0.2</v>
      </c>
      <c r="Z255" s="1790">
        <f t="shared" si="116"/>
        <v>135050</v>
      </c>
      <c r="AA255" s="1790">
        <f t="shared" si="116"/>
        <v>139552.16</v>
      </c>
      <c r="AB255" s="1790">
        <f t="shared" si="116"/>
        <v>144052.84</v>
      </c>
      <c r="AC255" s="1790">
        <f t="shared" si="115"/>
        <v>0</v>
      </c>
      <c r="AD255" s="1790">
        <f t="shared" si="115"/>
        <v>0</v>
      </c>
      <c r="AE255" s="1790">
        <f t="shared" si="115"/>
        <v>0</v>
      </c>
      <c r="AF255" s="1790">
        <f t="shared" si="115"/>
        <v>0</v>
      </c>
      <c r="AG255" s="1794">
        <v>912.5</v>
      </c>
      <c r="AH255" s="1794">
        <v>942.92</v>
      </c>
      <c r="AI255" s="1794">
        <v>973.33</v>
      </c>
      <c r="AJ255" s="1794">
        <v>0</v>
      </c>
      <c r="AK255" s="1794">
        <v>0</v>
      </c>
      <c r="AL255" s="1794">
        <v>0</v>
      </c>
      <c r="AM255" s="1794">
        <v>0</v>
      </c>
      <c r="AN255" s="1795"/>
      <c r="AO255" s="1795"/>
      <c r="AP255" s="1808">
        <f t="shared" si="105"/>
        <v>0.23830495597681542</v>
      </c>
      <c r="AQ255" s="1810">
        <f>IF(AP255&gt;[11]核心假设及结论!$B$59,[11]核心假设及结论!$D$59,IF(AP255&lt;=[11]核心假设及结论!$B$58,[11]核心假设及结论!$D$57,[11]核心假设及结论!$D$58))</f>
        <v>1.0342640124442799</v>
      </c>
      <c r="AR255" s="1809">
        <f t="shared" si="106"/>
        <v>912.5</v>
      </c>
      <c r="AS255" s="1809">
        <f>AH255*(AS$2&lt;=YEAR($K255))+AR255*$AQ255*(AS$2=YEAR($K255)+1)+INDEX([11]核心假设及结论!$E$17:$E$21,MATCH($D255,[11]核心假设及结论!$B$17:$B$21,0))*(AS$2&gt;YEAR($K255)+1)*AR255</f>
        <v>942.92</v>
      </c>
      <c r="AT255" s="1809">
        <f>AI255*(AT$2&lt;=YEAR($K255))+AS255*$AQ255*(AT$2=YEAR($K255)+1)+INDEX([11]核心假设及结论!$E$17:$E$21,MATCH($D255,[11]核心假设及结论!$B$17:$B$21,0))*(AT$2&gt;YEAR($K255)+1)*AS255</f>
        <v>973.33</v>
      </c>
      <c r="AU255" s="1811">
        <f>AJ255*(AU$2&lt;=YEAR($K255))+AT255*$AQ255*(AU$2=YEAR($K255)+1)+INDEX([11]核心假设及结论!$E$17:$E$21,MATCH($D255,[11]核心假设及结论!$B$17:$B$21,0))*(AU$2&gt;YEAR($K255)+1)*AT255</f>
        <v>1006.6801912323911</v>
      </c>
      <c r="AV255" s="1809">
        <f>AK255*(AV$2&lt;=YEAR($K255))+AU255*$AQ255*(AV$2=YEAR($K255)+1)+INDEX([11]核心假设及结论!$E$17:$E$21,MATCH($D255,[11]核心假设及结论!$B$17:$B$21,0))*(AV$2&gt;YEAR($K255)+1)*AU255</f>
        <v>1033.935545017069</v>
      </c>
      <c r="AW255" s="1809">
        <f>AL255*(AW$2&lt;=YEAR($K255))+AV255*$AQ255*(AW$2=YEAR($K255)+1)+INDEX([11]核心假设及结论!$E$17:$E$21,MATCH($D255,[11]核心假设及结论!$B$17:$B$21,0))*(AW$2&gt;YEAR($K255)+1)*AV255</f>
        <v>1061.928823632689</v>
      </c>
      <c r="AX255" s="1809">
        <f>AM255*(AX$2&lt;=YEAR($K255))+AW255*$AQ255*(AX$2=YEAR($K255)+1)+INDEX([11]核心假设及结论!$E$17:$E$21,MATCH($D255,[11]核心假设及结论!$B$17:$B$21,0))*(AX$2&gt;YEAR($K255)+1)*AW255</f>
        <v>1090.6800060184507</v>
      </c>
      <c r="AZ255" s="1746">
        <f t="shared" si="96"/>
        <v>46702</v>
      </c>
      <c r="BA255" s="1817">
        <f t="shared" si="97"/>
        <v>45658</v>
      </c>
      <c r="BB255" s="1817">
        <f t="shared" si="98"/>
        <v>45972</v>
      </c>
      <c r="BC255" s="1817">
        <f t="shared" si="99"/>
        <v>46022</v>
      </c>
      <c r="BD255" s="1818">
        <f t="shared" si="100"/>
        <v>315</v>
      </c>
      <c r="BE255" s="1818">
        <f t="shared" si="101"/>
        <v>50</v>
      </c>
      <c r="BG255" s="1777">
        <f t="shared" si="112"/>
        <v>162.80008109589042</v>
      </c>
      <c r="BH255" s="1777">
        <f t="shared" si="117"/>
        <v>168.20242980821914</v>
      </c>
      <c r="BI255" s="1777">
        <f t="shared" si="117"/>
        <v>173.67477703600997</v>
      </c>
      <c r="BJ255" s="1777">
        <f t="shared" si="117"/>
        <v>179.44949111796288</v>
      </c>
      <c r="BK255" s="1777">
        <f t="shared" si="117"/>
        <v>184.30799475148817</v>
      </c>
      <c r="BL255" s="1777">
        <f t="shared" si="117"/>
        <v>189.29803989794794</v>
      </c>
      <c r="BM255" s="1777">
        <f t="shared" si="117"/>
        <v>167.16986919642798</v>
      </c>
      <c r="BO255" s="1739">
        <f t="shared" si="102"/>
        <v>2027</v>
      </c>
      <c r="BP255" s="1742">
        <f>_xlfn.IFNA(INDEX($AR255:$AX255,MATCH(BO255,$AR$2:$AX$2,0))*12/365*[11]核心假设及结论!$C$70*$H255,0)</f>
        <v>142079.51342465755</v>
      </c>
      <c r="BR255" s="1739">
        <f t="shared" si="107"/>
        <v>2032</v>
      </c>
      <c r="BS255" s="1742">
        <f>_xlfn.IFNA(INDEX($AR255:$AX255,MATCH(BR255,$AR$2:$AX$2,0))*12/365*[11]核心假设及结论!$C$70*$H255,0)</f>
        <v>0</v>
      </c>
      <c r="BU255" s="1739">
        <f t="shared" si="108"/>
        <v>2037</v>
      </c>
      <c r="BV255" s="1742">
        <f>_xlfn.IFNA(INDEX($AR255:$AX255,MATCH(BU255,$AR$2:$AX$2,0))*12/365*[11]核心假设及结论!$C$70*$H255,0)</f>
        <v>0</v>
      </c>
      <c r="BX255" s="1739">
        <f t="shared" si="109"/>
        <v>2042</v>
      </c>
      <c r="BY255" s="1742">
        <f>_xlfn.IFNA(INDEX($AR255:$AX255,MATCH(BX255,$AR$2:$AX$2,0))*12/365*[11]核心假设及结论!$C$70*$H255,0)</f>
        <v>0</v>
      </c>
      <c r="CA255" s="1739">
        <f t="shared" si="110"/>
        <v>2047</v>
      </c>
      <c r="CB255" s="1742">
        <f>_xlfn.IFNA(INDEX($AR255:$AX255,MATCH(CA255,$AR$2:$AX$2,0))*12/365*[11]核心假设及结论!$C$70*$H255,0)</f>
        <v>0</v>
      </c>
    </row>
    <row r="256" spans="1:80" ht="30" customHeight="1">
      <c r="A256" s="1756" t="s">
        <v>1662</v>
      </c>
      <c r="B256" s="1757" t="s">
        <v>2204</v>
      </c>
      <c r="C256" s="1756" t="s">
        <v>2205</v>
      </c>
      <c r="D256" s="1756" t="s">
        <v>1685</v>
      </c>
      <c r="E256" s="1758" t="s">
        <v>1745</v>
      </c>
      <c r="F256" s="1759"/>
      <c r="G256" s="1760" t="s">
        <v>1682</v>
      </c>
      <c r="H256" s="1761">
        <v>147</v>
      </c>
      <c r="I256" s="1761" t="s">
        <v>1913</v>
      </c>
      <c r="J256" s="1773">
        <v>44518</v>
      </c>
      <c r="K256" s="1773">
        <v>45794</v>
      </c>
      <c r="L256" s="1764">
        <f t="shared" si="92"/>
        <v>42</v>
      </c>
      <c r="M256" s="1774">
        <f t="shared" si="103"/>
        <v>125152.86</v>
      </c>
      <c r="N256" s="1775">
        <f t="shared" si="104"/>
        <v>737.76</v>
      </c>
      <c r="O256" s="1760">
        <v>108450.72</v>
      </c>
      <c r="P256" s="1776">
        <v>0</v>
      </c>
      <c r="Q256" s="1783">
        <f t="shared" si="93"/>
        <v>95</v>
      </c>
      <c r="R256" s="1784">
        <v>13965</v>
      </c>
      <c r="S256" s="1777">
        <f t="shared" si="94"/>
        <v>18.619999999999997</v>
      </c>
      <c r="T256" s="1784">
        <v>2737.14</v>
      </c>
      <c r="U256" s="1777"/>
      <c r="V256" s="1785">
        <v>69698283.333333299</v>
      </c>
      <c r="W256" s="1785">
        <f t="shared" si="95"/>
        <v>474137.98185941018</v>
      </c>
      <c r="X256" s="1786">
        <f>(N256+Q256)*H256/V256</f>
        <v>1.7563663571819211E-3</v>
      </c>
      <c r="Y256" s="1789" t="e">
        <f>VLOOKUP(E256,[11]核心假设及结论!$C$25:$E$45,3,0)</f>
        <v>#N/A</v>
      </c>
      <c r="Z256" s="1790">
        <f t="shared" si="116"/>
        <v>108450.72</v>
      </c>
      <c r="AA256" s="1790">
        <f t="shared" si="116"/>
        <v>0</v>
      </c>
      <c r="AB256" s="1790">
        <f t="shared" si="116"/>
        <v>0</v>
      </c>
      <c r="AC256" s="1790">
        <f t="shared" si="115"/>
        <v>0</v>
      </c>
      <c r="AD256" s="1790">
        <f t="shared" si="115"/>
        <v>0</v>
      </c>
      <c r="AE256" s="1790">
        <f t="shared" si="115"/>
        <v>0</v>
      </c>
      <c r="AF256" s="1790">
        <f t="shared" si="115"/>
        <v>0</v>
      </c>
      <c r="AG256" s="1794">
        <v>737.76</v>
      </c>
      <c r="AH256" s="1794">
        <v>0</v>
      </c>
      <c r="AI256" s="1794">
        <v>0</v>
      </c>
      <c r="AJ256" s="1794">
        <v>0</v>
      </c>
      <c r="AK256" s="1794">
        <v>0</v>
      </c>
      <c r="AL256" s="1794">
        <v>0</v>
      </c>
      <c r="AM256" s="1794">
        <v>0</v>
      </c>
      <c r="AN256" s="1797"/>
      <c r="AO256" s="1797"/>
      <c r="AP256" s="1808">
        <f t="shared" si="105"/>
        <v>1.25</v>
      </c>
      <c r="AQ256" s="1810">
        <f>IF(AP256&gt;[11]核心假设及结论!$B$59,[11]核心假设及结论!$D$59,IF(AP256&lt;=[11]核心假设及结论!$B$58,[11]核心假设及结论!$D$57,[11]核心假设及结论!$D$58))</f>
        <v>1.0069999999999999</v>
      </c>
      <c r="AR256" s="1809">
        <f t="shared" si="106"/>
        <v>737.76</v>
      </c>
      <c r="AS256" s="1811">
        <f>AH256*(AS$2&lt;=YEAR($K256))+AR256*$AQ256*(AS$2=YEAR($K256)+1)+INDEX([11]核心假设及结论!$E$17:$E$21,MATCH($D256,[11]核心假设及结论!$B$17:$B$21,0))*(AS$2&gt;YEAR($K256)+1)*AR256</f>
        <v>742.92431999999997</v>
      </c>
      <c r="AT256" s="1809">
        <f>AI256*(AT$2&lt;=YEAR($K256))+AS256*$AQ256*(AT$2=YEAR($K256)+1)+INDEX([11]核心假设及结论!$E$17:$E$21,MATCH($D256,[11]核心假设及结论!$B$17:$B$21,0))*(AT$2&gt;YEAR($K256)+1)*AS256</f>
        <v>763.03861782089245</v>
      </c>
      <c r="AU256" s="1809">
        <f>AJ256*(AU$2&lt;=YEAR($K256))+AT256*$AQ256*(AU$2=YEAR($K256)+1)+INDEX([11]核心假设及结论!$E$17:$E$21,MATCH($D256,[11]核心假设及结论!$B$17:$B$21,0))*(AU$2&gt;YEAR($K256)+1)*AT256</f>
        <v>783.69750001725345</v>
      </c>
      <c r="AV256" s="1809">
        <f>AK256*(AV$2&lt;=YEAR($K256))+AU256*$AQ256*(AV$2=YEAR($K256)+1)+INDEX([11]核心假设及结论!$E$17:$E$21,MATCH($D256,[11]核心假设及结论!$B$17:$B$21,0))*(AV$2&gt;YEAR($K256)+1)*AU256</f>
        <v>804.91571093385926</v>
      </c>
      <c r="AW256" s="1809">
        <f>AL256*(AW$2&lt;=YEAR($K256))+AV256*$AQ256*(AW$2=YEAR($K256)+1)+INDEX([11]核心假设及结论!$E$17:$E$21,MATCH($D256,[11]核心假设及结论!$B$17:$B$21,0))*(AW$2&gt;YEAR($K256)+1)*AV256</f>
        <v>826.70839411111615</v>
      </c>
      <c r="AX256" s="1809">
        <f>AM256*(AX$2&lt;=YEAR($K256))+AW256*$AQ256*(AX$2=YEAR($K256)+1)+INDEX([11]核心假设及结论!$E$17:$E$21,MATCH($D256,[11]核心假设及结论!$B$17:$B$21,0))*(AX$2&gt;YEAR($K256)+1)*AW256</f>
        <v>849.09110309307914</v>
      </c>
      <c r="AZ256" s="1746">
        <f t="shared" si="96"/>
        <v>45794</v>
      </c>
      <c r="BA256" s="1817">
        <f t="shared" si="97"/>
        <v>45658</v>
      </c>
      <c r="BB256" s="1817">
        <f t="shared" si="98"/>
        <v>45794</v>
      </c>
      <c r="BC256" s="1817">
        <f t="shared" si="99"/>
        <v>46022</v>
      </c>
      <c r="BD256" s="1818">
        <f t="shared" si="100"/>
        <v>137</v>
      </c>
      <c r="BE256" s="1818">
        <f t="shared" si="101"/>
        <v>228</v>
      </c>
      <c r="BG256" s="1777">
        <f t="shared" si="112"/>
        <v>130.70991829847671</v>
      </c>
      <c r="BH256" s="1777">
        <f t="shared" si="117"/>
        <v>133.26823625873433</v>
      </c>
      <c r="BI256" s="1777">
        <f t="shared" si="117"/>
        <v>136.87640592287084</v>
      </c>
      <c r="BJ256" s="1777">
        <f t="shared" si="117"/>
        <v>140.58226494413157</v>
      </c>
      <c r="BK256" s="1777">
        <f t="shared" si="117"/>
        <v>144.38845821213752</v>
      </c>
      <c r="BL256" s="1777">
        <f t="shared" si="117"/>
        <v>148.29770222554984</v>
      </c>
      <c r="BM256" s="1777">
        <f t="shared" si="117"/>
        <v>56.218670877341999</v>
      </c>
      <c r="BO256" s="1826">
        <f t="shared" si="102"/>
        <v>2025</v>
      </c>
      <c r="BP256" s="1742">
        <f>_xlfn.IFNA(INDEX($AR256:$AX256,MATCH(BO256,$AR$2:$AX$2,0))*12/365*[11]核心假设及结论!$C$70*$H256,0)</f>
        <v>106965.09369863012</v>
      </c>
      <c r="BR256" s="1739">
        <f t="shared" si="107"/>
        <v>2029</v>
      </c>
      <c r="BS256" s="1742">
        <f>_xlfn.IFNA(INDEX($AR256:$AX256,MATCH(BR256,$AR$2:$AX$2,0))*12/365*[11]核心假设及结论!$C$70*$H256,0)</f>
        <v>116701.75184279407</v>
      </c>
      <c r="BU256" s="1739">
        <f t="shared" si="108"/>
        <v>2033</v>
      </c>
      <c r="BV256" s="1742">
        <f>_xlfn.IFNA(INDEX($AR256:$AX256,MATCH(BU256,$AR$2:$AX$2,0))*12/365*[11]核心假设及结论!$C$70*$H256,0)</f>
        <v>0</v>
      </c>
      <c r="BX256" s="1739">
        <f t="shared" si="109"/>
        <v>2037</v>
      </c>
      <c r="BY256" s="1742">
        <f>_xlfn.IFNA(INDEX($AR256:$AX256,MATCH(BX256,$AR$2:$AX$2,0))*12/365*[11]核心假设及结论!$C$70*$H256,0)</f>
        <v>0</v>
      </c>
      <c r="CA256" s="1739">
        <f t="shared" si="110"/>
        <v>2041</v>
      </c>
      <c r="CB256" s="1742">
        <f>_xlfn.IFNA(INDEX($AR256:$AX256,MATCH(CA256,$AR$2:$AX$2,0))*12/365*[11]核心假设及结论!$C$70*$H256,0)</f>
        <v>0</v>
      </c>
    </row>
    <row r="257" spans="1:80" ht="30" customHeight="1">
      <c r="A257" s="1756" t="s">
        <v>1666</v>
      </c>
      <c r="B257" s="1757" t="s">
        <v>2206</v>
      </c>
      <c r="C257" s="1756" t="s">
        <v>2207</v>
      </c>
      <c r="D257" s="1756" t="s">
        <v>1685</v>
      </c>
      <c r="E257" s="1758" t="s">
        <v>1920</v>
      </c>
      <c r="F257" s="1759"/>
      <c r="G257" s="1760" t="s">
        <v>1661</v>
      </c>
      <c r="H257" s="1761">
        <v>147</v>
      </c>
      <c r="I257" s="1761" t="s">
        <v>1913</v>
      </c>
      <c r="J257" s="1773">
        <v>45231</v>
      </c>
      <c r="K257" s="1773">
        <v>46326</v>
      </c>
      <c r="L257" s="1764">
        <f t="shared" si="92"/>
        <v>36</v>
      </c>
      <c r="M257" s="1774">
        <f t="shared" si="103"/>
        <v>78473.010000000009</v>
      </c>
      <c r="N257" s="1775">
        <f t="shared" si="104"/>
        <v>425.83000000000004</v>
      </c>
      <c r="O257" s="1760">
        <v>62597.01</v>
      </c>
      <c r="P257" s="1776">
        <v>0.12</v>
      </c>
      <c r="Q257" s="1783">
        <f t="shared" si="93"/>
        <v>90</v>
      </c>
      <c r="R257" s="1784">
        <v>13230</v>
      </c>
      <c r="S257" s="1777">
        <f t="shared" si="94"/>
        <v>18</v>
      </c>
      <c r="T257" s="1784">
        <v>2646</v>
      </c>
      <c r="U257" s="1777"/>
      <c r="V257" s="1785">
        <v>407251.00777777802</v>
      </c>
      <c r="W257" s="1785">
        <f t="shared" si="95"/>
        <v>2770.4150188964491</v>
      </c>
      <c r="X257" s="1786">
        <f>(N257+Q257+S257)*H257/V257</f>
        <v>0.19268954158812018</v>
      </c>
      <c r="Y257" s="1789">
        <f>VLOOKUP(E257,[11]核心假设及结论!$C$25:$E$45,3,0)</f>
        <v>0.25</v>
      </c>
      <c r="Z257" s="1790">
        <f t="shared" si="116"/>
        <v>66352.86</v>
      </c>
      <c r="AA257" s="1790">
        <f t="shared" si="116"/>
        <v>70332.149999999994</v>
      </c>
      <c r="AB257" s="1790">
        <f t="shared" si="116"/>
        <v>0</v>
      </c>
      <c r="AC257" s="1790">
        <f t="shared" si="115"/>
        <v>0</v>
      </c>
      <c r="AD257" s="1790">
        <f t="shared" si="115"/>
        <v>0</v>
      </c>
      <c r="AE257" s="1790">
        <f t="shared" si="115"/>
        <v>0</v>
      </c>
      <c r="AF257" s="1790">
        <f t="shared" si="115"/>
        <v>0</v>
      </c>
      <c r="AG257" s="1794">
        <v>451.38</v>
      </c>
      <c r="AH257" s="1794">
        <v>478.45</v>
      </c>
      <c r="AI257" s="1794">
        <v>0</v>
      </c>
      <c r="AJ257" s="1794">
        <v>0</v>
      </c>
      <c r="AK257" s="1794">
        <v>0</v>
      </c>
      <c r="AL257" s="1794">
        <v>0</v>
      </c>
      <c r="AM257" s="1794">
        <v>0</v>
      </c>
      <c r="AN257" s="1797"/>
      <c r="AO257" s="1797"/>
      <c r="AP257" s="1808">
        <f t="shared" si="105"/>
        <v>0.77075816635248073</v>
      </c>
      <c r="AQ257" s="1810">
        <f>IF(AP257&gt;[11]核心假设及结论!$B$59,[11]核心假设及结论!$D$59,IF(AP257&lt;=[11]核心假设及结论!$B$58,[11]核心假设及结论!$D$57,[11]核心假设及结论!$D$58))</f>
        <v>1.0342640124442799</v>
      </c>
      <c r="AR257" s="1809">
        <f t="shared" si="106"/>
        <v>451.38</v>
      </c>
      <c r="AS257" s="1809">
        <f>AH257*(AS$2&lt;=YEAR($K257))+AR257*$AQ257*(AS$2=YEAR($K257)+1)+INDEX([11]核心假设及结论!$E$17:$E$21,MATCH($D257,[11]核心假设及结论!$B$17:$B$21,0))*(AS$2&gt;YEAR($K257)+1)*AR257</f>
        <v>478.45</v>
      </c>
      <c r="AT257" s="1811">
        <f>AI257*(AT$2&lt;=YEAR($K257))+AS257*$AQ257*(AT$2=YEAR($K257)+1)+INDEX([11]核心假设及结论!$E$17:$E$21,MATCH($D257,[11]核心假设及结论!$B$17:$B$21,0))*(AT$2&gt;YEAR($K257)+1)*AS257</f>
        <v>494.8436167539657</v>
      </c>
      <c r="AU257" s="1809">
        <f>AJ257*(AU$2&lt;=YEAR($K257))+AT257*$AQ257*(AU$2=YEAR($K257)+1)+INDEX([11]核心假设及结论!$E$17:$E$21,MATCH($D257,[11]核心假设及结论!$B$17:$B$21,0))*(AU$2&gt;YEAR($K257)+1)*AT257</f>
        <v>508.24125580575611</v>
      </c>
      <c r="AV257" s="1809">
        <f>AK257*(AV$2&lt;=YEAR($K257))+AU257*$AQ257*(AV$2=YEAR($K257)+1)+INDEX([11]核心假设及结论!$E$17:$E$21,MATCH($D257,[11]核心假设及结论!$B$17:$B$21,0))*(AV$2&gt;YEAR($K257)+1)*AU257</f>
        <v>522.00162911557231</v>
      </c>
      <c r="AW257" s="1809">
        <f>AL257*(AW$2&lt;=YEAR($K257))+AV257*$AQ257*(AW$2=YEAR($K257)+1)+INDEX([11]核心假设及结论!$E$17:$E$21,MATCH($D257,[11]核心假设及结论!$B$17:$B$21,0))*(AW$2&gt;YEAR($K257)+1)*AV257</f>
        <v>536.13455752882135</v>
      </c>
      <c r="AX257" s="1809">
        <f>AM257*(AX$2&lt;=YEAR($K257))+AW257*$AQ257*(AX$2=YEAR($K257)+1)+INDEX([11]核心假设及结论!$E$17:$E$21,MATCH($D257,[11]核心假设及结论!$B$17:$B$21,0))*(AX$2&gt;YEAR($K257)+1)*AW257</f>
        <v>550.6501277853007</v>
      </c>
      <c r="AZ257" s="1746">
        <f t="shared" si="96"/>
        <v>46326</v>
      </c>
      <c r="BA257" s="1817">
        <f t="shared" si="97"/>
        <v>45658</v>
      </c>
      <c r="BB257" s="1817">
        <f t="shared" si="98"/>
        <v>45961</v>
      </c>
      <c r="BC257" s="1817">
        <f t="shared" si="99"/>
        <v>46022</v>
      </c>
      <c r="BD257" s="1818">
        <f t="shared" si="100"/>
        <v>304</v>
      </c>
      <c r="BE257" s="1818">
        <f t="shared" si="101"/>
        <v>61</v>
      </c>
      <c r="BG257" s="1777">
        <f t="shared" si="112"/>
        <v>80.421470432876703</v>
      </c>
      <c r="BH257" s="1777">
        <f t="shared" si="117"/>
        <v>84.881872804710611</v>
      </c>
      <c r="BI257" s="1777">
        <f t="shared" si="117"/>
        <v>87.685383735818405</v>
      </c>
      <c r="BJ257" s="1777">
        <f t="shared" si="117"/>
        <v>90.059420869239332</v>
      </c>
      <c r="BK257" s="1777">
        <f t="shared" si="117"/>
        <v>92.497733849679918</v>
      </c>
      <c r="BL257" s="1777">
        <f t="shared" si="117"/>
        <v>95.002062912982211</v>
      </c>
      <c r="BM257" s="1777">
        <f t="shared" si="117"/>
        <v>80.901215048118971</v>
      </c>
      <c r="BO257" s="1739">
        <f t="shared" si="102"/>
        <v>2026</v>
      </c>
      <c r="BP257" s="1742">
        <f>_xlfn.IFNA(INDEX($AR257:$AX257,MATCH(BO257,$AR$2:$AX$2,0))*12/365*[11]核心假设及结论!$C$70*$H257,0)</f>
        <v>69368.695890410949</v>
      </c>
      <c r="BR257" s="1739">
        <f t="shared" si="107"/>
        <v>2029</v>
      </c>
      <c r="BS257" s="1742">
        <f>_xlfn.IFNA(INDEX($AR257:$AX257,MATCH(BR257,$AR$2:$AX$2,0))*12/365*[11]核心假设及结论!$C$70*$H257,0)</f>
        <v>75683.085514509832</v>
      </c>
      <c r="BU257" s="1739">
        <f t="shared" si="108"/>
        <v>2032</v>
      </c>
      <c r="BV257" s="1742">
        <f>_xlfn.IFNA(INDEX($AR257:$AX257,MATCH(BU257,$AR$2:$AX$2,0))*12/365*[11]核心假设及结论!$C$70*$H257,0)</f>
        <v>0</v>
      </c>
      <c r="BX257" s="1739">
        <f t="shared" si="109"/>
        <v>2035</v>
      </c>
      <c r="BY257" s="1742">
        <f>_xlfn.IFNA(INDEX($AR257:$AX257,MATCH(BX257,$AR$2:$AX$2,0))*12/365*[11]核心假设及结论!$C$70*$H257,0)</f>
        <v>0</v>
      </c>
      <c r="CA257" s="1739">
        <f t="shared" si="110"/>
        <v>2038</v>
      </c>
      <c r="CB257" s="1742">
        <f>_xlfn.IFNA(INDEX($AR257:$AX257,MATCH(CA257,$AR$2:$AX$2,0))*12/365*[11]核心假设及结论!$C$70*$H257,0)</f>
        <v>0</v>
      </c>
    </row>
    <row r="258" spans="1:80" ht="30" customHeight="1">
      <c r="A258" s="1756" t="s">
        <v>1662</v>
      </c>
      <c r="B258" s="1757" t="s">
        <v>2208</v>
      </c>
      <c r="C258" s="1756" t="s">
        <v>2209</v>
      </c>
      <c r="D258" s="1756" t="s">
        <v>1685</v>
      </c>
      <c r="E258" s="1758" t="s">
        <v>1871</v>
      </c>
      <c r="F258" s="1759"/>
      <c r="G258" s="1760" t="s">
        <v>1661</v>
      </c>
      <c r="H258" s="1761">
        <v>146</v>
      </c>
      <c r="I258" s="1761" t="s">
        <v>1913</v>
      </c>
      <c r="J258" s="1773">
        <v>45230</v>
      </c>
      <c r="K258" s="1773">
        <v>46325</v>
      </c>
      <c r="L258" s="1764">
        <f t="shared" si="92"/>
        <v>36</v>
      </c>
      <c r="M258" s="1774">
        <f t="shared" si="103"/>
        <v>163045.5</v>
      </c>
      <c r="N258" s="1775">
        <f t="shared" si="104"/>
        <v>1003.75</v>
      </c>
      <c r="O258" s="1760">
        <v>146547.5</v>
      </c>
      <c r="P258" s="1776" t="s">
        <v>2210</v>
      </c>
      <c r="Q258" s="1783">
        <f t="shared" si="93"/>
        <v>95</v>
      </c>
      <c r="R258" s="1784">
        <v>13870</v>
      </c>
      <c r="S258" s="1777">
        <f t="shared" si="94"/>
        <v>18</v>
      </c>
      <c r="T258" s="1784">
        <v>2628</v>
      </c>
      <c r="U258" s="1777"/>
      <c r="V258" s="1785">
        <v>2920958.9474999998</v>
      </c>
      <c r="W258" s="1785">
        <f t="shared" si="95"/>
        <v>20006.568133561643</v>
      </c>
      <c r="X258" s="1786">
        <f>(N258+Q258+S258)*H258/V258</f>
        <v>5.5819168612262743E-2</v>
      </c>
      <c r="Y258" s="1789">
        <f>VLOOKUP(E258,[11]核心假设及结论!$C$25:$E$45,3,0)</f>
        <v>0.2</v>
      </c>
      <c r="Z258" s="1790">
        <f t="shared" si="116"/>
        <v>150988.82</v>
      </c>
      <c r="AA258" s="1790">
        <f t="shared" si="116"/>
        <v>155428.68</v>
      </c>
      <c r="AB258" s="1790">
        <f t="shared" si="116"/>
        <v>0</v>
      </c>
      <c r="AC258" s="1790">
        <f t="shared" si="115"/>
        <v>0</v>
      </c>
      <c r="AD258" s="1790">
        <f t="shared" si="115"/>
        <v>0</v>
      </c>
      <c r="AE258" s="1790">
        <f t="shared" si="115"/>
        <v>0</v>
      </c>
      <c r="AF258" s="1790">
        <f t="shared" si="115"/>
        <v>0</v>
      </c>
      <c r="AG258" s="1794">
        <v>1034.17</v>
      </c>
      <c r="AH258" s="1794">
        <v>1064.58</v>
      </c>
      <c r="AI258" s="1794">
        <v>0</v>
      </c>
      <c r="AJ258" s="1794">
        <v>0</v>
      </c>
      <c r="AK258" s="1794">
        <v>0</v>
      </c>
      <c r="AL258" s="1794">
        <v>0</v>
      </c>
      <c r="AM258" s="1794">
        <v>0</v>
      </c>
      <c r="AN258" s="1796"/>
      <c r="AO258" s="1796"/>
      <c r="AP258" s="1808">
        <f t="shared" si="105"/>
        <v>0.27909584306131369</v>
      </c>
      <c r="AQ258" s="1810">
        <f>IF(AP258&gt;[11]核心假设及结论!$B$59,[11]核心假设及结论!$D$59,IF(AP258&lt;=[11]核心假设及结论!$B$58,[11]核心假设及结论!$D$57,[11]核心假设及结论!$D$58))</f>
        <v>1.0342640124442799</v>
      </c>
      <c r="AR258" s="1809">
        <f t="shared" si="106"/>
        <v>1034.17</v>
      </c>
      <c r="AS258" s="1809">
        <f>AH258*(AS$2&lt;=YEAR($K258))+AR258*$AQ258*(AS$2=YEAR($K258)+1)+INDEX([11]核心假设及结论!$E$17:$E$21,MATCH($D258,[11]核心假设及结论!$B$17:$B$21,0))*(AS$2&gt;YEAR($K258)+1)*AR258</f>
        <v>1064.58</v>
      </c>
      <c r="AT258" s="1811">
        <f>AI258*(AT$2&lt;=YEAR($K258))+AS258*$AQ258*(AT$2=YEAR($K258)+1)+INDEX([11]核心假设及结论!$E$17:$E$21,MATCH($D258,[11]核心假设及结论!$B$17:$B$21,0))*(AT$2&gt;YEAR($K258)+1)*AS258</f>
        <v>1101.0567823679314</v>
      </c>
      <c r="AU258" s="1809">
        <f>AJ258*(AU$2&lt;=YEAR($K258))+AT258*$AQ258*(AU$2=YEAR($K258)+1)+INDEX([11]核心假设及结论!$E$17:$E$21,MATCH($D258,[11]核心假设及结论!$B$17:$B$21,0))*(AU$2&gt;YEAR($K258)+1)*AT258</f>
        <v>1130.8673343206017</v>
      </c>
      <c r="AV258" s="1809">
        <f>AK258*(AV$2&lt;=YEAR($K258))+AU258*$AQ258*(AV$2=YEAR($K258)+1)+INDEX([11]核心假设及结论!$E$17:$E$21,MATCH($D258,[11]核心假设及结论!$B$17:$B$21,0))*(AV$2&gt;YEAR($K258)+1)*AU258</f>
        <v>1161.4849917940351</v>
      </c>
      <c r="AW258" s="1809">
        <f>AL258*(AW$2&lt;=YEAR($K258))+AV258*$AQ258*(AW$2=YEAR($K258)+1)+INDEX([11]核心假设及结论!$E$17:$E$21,MATCH($D258,[11]核心假设及结论!$B$17:$B$21,0))*(AW$2&gt;YEAR($K258)+1)*AV258</f>
        <v>1192.9316067593952</v>
      </c>
      <c r="AX258" s="1809">
        <f>AM258*(AX$2&lt;=YEAR($K258))+AW258*$AQ258*(AX$2=YEAR($K258)+1)+INDEX([11]核心假设及结论!$E$17:$E$21,MATCH($D258,[11]核心假设及结论!$B$17:$B$21,0))*(AX$2&gt;YEAR($K258)+1)*AW258</f>
        <v>1225.2296228188429</v>
      </c>
      <c r="AZ258" s="1746">
        <f t="shared" si="96"/>
        <v>46325</v>
      </c>
      <c r="BA258" s="1817">
        <f t="shared" si="97"/>
        <v>45658</v>
      </c>
      <c r="BB258" s="1817">
        <f t="shared" si="98"/>
        <v>45960</v>
      </c>
      <c r="BC258" s="1817">
        <f t="shared" si="99"/>
        <v>46022</v>
      </c>
      <c r="BD258" s="1818">
        <f t="shared" si="100"/>
        <v>303</v>
      </c>
      <c r="BE258" s="1818">
        <f t="shared" si="101"/>
        <v>62</v>
      </c>
      <c r="BG258" s="1777">
        <f t="shared" si="112"/>
        <v>182.0915856</v>
      </c>
      <c r="BH258" s="1777">
        <f t="shared" si="117"/>
        <v>187.59996504326963</v>
      </c>
      <c r="BI258" s="1777">
        <f t="shared" si="117"/>
        <v>193.79231029697306</v>
      </c>
      <c r="BJ258" s="1777">
        <f t="shared" si="117"/>
        <v>199.03913845937879</v>
      </c>
      <c r="BK258" s="1777">
        <f t="shared" si="117"/>
        <v>204.42802182368402</v>
      </c>
      <c r="BL258" s="1777">
        <f t="shared" si="117"/>
        <v>209.96280646217522</v>
      </c>
      <c r="BM258" s="1777">
        <f t="shared" si="117"/>
        <v>178.19739634277252</v>
      </c>
      <c r="BO258" s="1739">
        <f t="shared" si="102"/>
        <v>2026</v>
      </c>
      <c r="BP258" s="1742">
        <f>_xlfn.IFNA(INDEX($AR258:$AX258,MATCH(BO258,$AR$2:$AX$2,0))*12/365*[11]核心假设及结论!$C$70*$H258,0)</f>
        <v>153299.52000000002</v>
      </c>
      <c r="BR258" s="1739">
        <f t="shared" si="107"/>
        <v>2029</v>
      </c>
      <c r="BS258" s="1742">
        <f>_xlfn.IFNA(INDEX($AR258:$AX258,MATCH(BR258,$AR$2:$AX$2,0))*12/365*[11]核心假设及结论!$C$70*$H258,0)</f>
        <v>167253.83881834103</v>
      </c>
      <c r="BU258" s="1739">
        <f t="shared" si="108"/>
        <v>2032</v>
      </c>
      <c r="BV258" s="1742">
        <f>_xlfn.IFNA(INDEX($AR258:$AX258,MATCH(BU258,$AR$2:$AX$2,0))*12/365*[11]核心假设及结论!$C$70*$H258,0)</f>
        <v>0</v>
      </c>
      <c r="BX258" s="1739">
        <f t="shared" si="109"/>
        <v>2035</v>
      </c>
      <c r="BY258" s="1742">
        <f>_xlfn.IFNA(INDEX($AR258:$AX258,MATCH(BX258,$AR$2:$AX$2,0))*12/365*[11]核心假设及结论!$C$70*$H258,0)</f>
        <v>0</v>
      </c>
      <c r="CA258" s="1739">
        <f t="shared" si="110"/>
        <v>2038</v>
      </c>
      <c r="CB258" s="1742">
        <f>_xlfn.IFNA(INDEX($AR258:$AX258,MATCH(CA258,$AR$2:$AX$2,0))*12/365*[11]核心假设及结论!$C$70*$H258,0)</f>
        <v>0</v>
      </c>
    </row>
    <row r="259" spans="1:80" ht="30" customHeight="1">
      <c r="A259" s="1756" t="s">
        <v>1687</v>
      </c>
      <c r="B259" s="1757" t="s">
        <v>2211</v>
      </c>
      <c r="C259" s="1756" t="s">
        <v>2212</v>
      </c>
      <c r="D259" s="1756" t="s">
        <v>1685</v>
      </c>
      <c r="E259" s="1758" t="s">
        <v>1726</v>
      </c>
      <c r="F259" s="1759"/>
      <c r="G259" s="1760" t="s">
        <v>1661</v>
      </c>
      <c r="H259" s="1761">
        <v>146</v>
      </c>
      <c r="I259" s="1761" t="s">
        <v>1913</v>
      </c>
      <c r="J259" s="1773">
        <v>45261</v>
      </c>
      <c r="K259" s="1773">
        <v>46356</v>
      </c>
      <c r="L259" s="1764">
        <f t="shared" si="92"/>
        <v>36</v>
      </c>
      <c r="M259" s="1774">
        <f t="shared" si="103"/>
        <v>127519.32</v>
      </c>
      <c r="N259" s="1775">
        <f t="shared" si="104"/>
        <v>760.42000000000007</v>
      </c>
      <c r="O259" s="1760">
        <v>111021.32</v>
      </c>
      <c r="P259" s="1776">
        <v>0.04</v>
      </c>
      <c r="Q259" s="1783">
        <f t="shared" si="93"/>
        <v>95</v>
      </c>
      <c r="R259" s="1784">
        <v>13870</v>
      </c>
      <c r="S259" s="1777">
        <f t="shared" si="94"/>
        <v>18</v>
      </c>
      <c r="T259" s="1784">
        <v>2628</v>
      </c>
      <c r="U259" s="1777"/>
      <c r="V259" s="1785">
        <v>1052219.105</v>
      </c>
      <c r="W259" s="1785">
        <f t="shared" si="95"/>
        <v>7206.9801712328763</v>
      </c>
      <c r="X259" s="1786">
        <f>(N259+Q259+S259)*H259/V259</f>
        <v>0.12119084266199483</v>
      </c>
      <c r="Y259" s="1789">
        <f>VLOOKUP(E259,[11]核心假设及结论!$C$25:$E$45,3,0)</f>
        <v>0.1</v>
      </c>
      <c r="Z259" s="1790">
        <f t="shared" si="116"/>
        <v>113241.98</v>
      </c>
      <c r="AA259" s="1790">
        <f t="shared" si="116"/>
        <v>115461.18000000001</v>
      </c>
      <c r="AB259" s="1790">
        <f t="shared" si="116"/>
        <v>0</v>
      </c>
      <c r="AC259" s="1790">
        <f t="shared" si="115"/>
        <v>0</v>
      </c>
      <c r="AD259" s="1790">
        <f t="shared" si="115"/>
        <v>0</v>
      </c>
      <c r="AE259" s="1790">
        <f t="shared" si="115"/>
        <v>0</v>
      </c>
      <c r="AF259" s="1790">
        <f t="shared" si="115"/>
        <v>0</v>
      </c>
      <c r="AG259" s="1794">
        <v>775.63</v>
      </c>
      <c r="AH259" s="1794">
        <v>790.83</v>
      </c>
      <c r="AI259" s="1794">
        <v>0</v>
      </c>
      <c r="AJ259" s="1794">
        <v>0</v>
      </c>
      <c r="AK259" s="1794">
        <v>0</v>
      </c>
      <c r="AL259" s="1794">
        <v>0</v>
      </c>
      <c r="AM259" s="1794">
        <v>0</v>
      </c>
      <c r="AN259" s="1797"/>
      <c r="AO259" s="1797"/>
      <c r="AP259" s="1808">
        <f t="shared" si="105"/>
        <v>1.2119084266199482</v>
      </c>
      <c r="AQ259" s="1810">
        <f>IF(AP259&gt;[11]核心假设及结论!$B$59,[11]核心假设及结论!$D$59,IF(AP259&lt;=[11]核心假设及结论!$B$58,[11]核心假设及结论!$D$57,[11]核心假设及结论!$D$58))</f>
        <v>1.0069999999999999</v>
      </c>
      <c r="AR259" s="1809">
        <f t="shared" si="106"/>
        <v>775.63</v>
      </c>
      <c r="AS259" s="1809">
        <f>AH259*(AS$2&lt;=YEAR($K259))+AR259*$AQ259*(AS$2=YEAR($K259)+1)+INDEX([11]核心假设及结论!$E$17:$E$21,MATCH($D259,[11]核心假设及结论!$B$17:$B$21,0))*(AS$2&gt;YEAR($K259)+1)*AR259</f>
        <v>790.83</v>
      </c>
      <c r="AT259" s="1811">
        <f>AI259*(AT$2&lt;=YEAR($K259))+AS259*$AQ259*(AT$2=YEAR($K259)+1)+INDEX([11]核心假设及结论!$E$17:$E$21,MATCH($D259,[11]核心假设及结论!$B$17:$B$21,0))*(AT$2&gt;YEAR($K259)+1)*AS259</f>
        <v>796.36581000000001</v>
      </c>
      <c r="AU259" s="1809">
        <f>AJ259*(AU$2&lt;=YEAR($K259))+AT259*$AQ259*(AU$2=YEAR($K259)+1)+INDEX([11]核心假设及结论!$E$17:$E$21,MATCH($D259,[11]核心假设及结论!$B$17:$B$21,0))*(AU$2&gt;YEAR($K259)+1)*AT259</f>
        <v>817.92700896131043</v>
      </c>
      <c r="AV259" s="1809">
        <f>AK259*(AV$2&lt;=YEAR($K259))+AU259*$AQ259*(AV$2=YEAR($K259)+1)+INDEX([11]核心假设及结论!$E$17:$E$21,MATCH($D259,[11]核心假设及结论!$B$17:$B$21,0))*(AV$2&gt;YEAR($K259)+1)*AU259</f>
        <v>840.07196641000394</v>
      </c>
      <c r="AW259" s="1809">
        <f>AL259*(AW$2&lt;=YEAR($K259))+AV259*$AQ259*(AW$2=YEAR($K259)+1)+INDEX([11]核心假设及结论!$E$17:$E$21,MATCH($D259,[11]核心假设及结论!$B$17:$B$21,0))*(AW$2&gt;YEAR($K259)+1)*AV259</f>
        <v>862.81648730999768</v>
      </c>
      <c r="AX259" s="1809">
        <f>AM259*(AX$2&lt;=YEAR($K259))+AW259*$AQ259*(AX$2=YEAR($K259)+1)+INDEX([11]核心假设及结论!$E$17:$E$21,MATCH($D259,[11]核心假设及结论!$B$17:$B$21,0))*(AX$2&gt;YEAR($K259)+1)*AW259</f>
        <v>886.17680453656203</v>
      </c>
      <c r="AZ259" s="1746">
        <f t="shared" si="96"/>
        <v>46356</v>
      </c>
      <c r="BA259" s="1817">
        <f t="shared" si="97"/>
        <v>45658</v>
      </c>
      <c r="BB259" s="1817">
        <f t="shared" si="98"/>
        <v>45991</v>
      </c>
      <c r="BC259" s="1817">
        <f t="shared" si="99"/>
        <v>46022</v>
      </c>
      <c r="BD259" s="1818">
        <f t="shared" si="100"/>
        <v>334</v>
      </c>
      <c r="BE259" s="1818">
        <f t="shared" si="101"/>
        <v>31</v>
      </c>
      <c r="BG259" s="1777">
        <f t="shared" si="112"/>
        <v>136.11655200000001</v>
      </c>
      <c r="BH259" s="1777">
        <f t="shared" si="117"/>
        <v>138.6357888528</v>
      </c>
      <c r="BI259" s="1777">
        <f t="shared" si="117"/>
        <v>139.8441205525443</v>
      </c>
      <c r="BJ259" s="1777">
        <f t="shared" si="117"/>
        <v>143.63032893685815</v>
      </c>
      <c r="BK259" s="1777">
        <f t="shared" si="117"/>
        <v>147.51904698602459</v>
      </c>
      <c r="BL259" s="1777">
        <f t="shared" si="117"/>
        <v>151.51305009704288</v>
      </c>
      <c r="BM259" s="1777">
        <f t="shared" si="117"/>
        <v>142.07186530330162</v>
      </c>
      <c r="BO259" s="1739">
        <f t="shared" si="102"/>
        <v>2026</v>
      </c>
      <c r="BP259" s="1742">
        <f>_xlfn.IFNA(INDEX($AR259:$AX259,MATCH(BO259,$AR$2:$AX$2,0))*12/365*[11]核心假设及结论!$C$70*$H259,0)</f>
        <v>113879.52000000002</v>
      </c>
      <c r="BR259" s="1739">
        <f t="shared" si="107"/>
        <v>2029</v>
      </c>
      <c r="BS259" s="1742">
        <f>_xlfn.IFNA(INDEX($AR259:$AX259,MATCH(BR259,$AR$2:$AX$2,0))*12/365*[11]核心假设及结论!$C$70*$H259,0)</f>
        <v>120970.36316304056</v>
      </c>
      <c r="BU259" s="1739">
        <f t="shared" si="108"/>
        <v>2032</v>
      </c>
      <c r="BV259" s="1742">
        <f>_xlfn.IFNA(INDEX($AR259:$AX259,MATCH(BU259,$AR$2:$AX$2,0))*12/365*[11]核心假设及结论!$C$70*$H259,0)</f>
        <v>0</v>
      </c>
      <c r="BX259" s="1739">
        <f t="shared" si="109"/>
        <v>2035</v>
      </c>
      <c r="BY259" s="1742">
        <f>_xlfn.IFNA(INDEX($AR259:$AX259,MATCH(BX259,$AR$2:$AX$2,0))*12/365*[11]核心假设及结论!$C$70*$H259,0)</f>
        <v>0</v>
      </c>
      <c r="CA259" s="1739">
        <f t="shared" si="110"/>
        <v>2038</v>
      </c>
      <c r="CB259" s="1742">
        <f>_xlfn.IFNA(INDEX($AR259:$AX259,MATCH(CA259,$AR$2:$AX$2,0))*12/365*[11]核心假设及结论!$C$70*$H259,0)</f>
        <v>0</v>
      </c>
    </row>
    <row r="260" spans="1:80" ht="30" customHeight="1">
      <c r="A260" s="1756" t="s">
        <v>1687</v>
      </c>
      <c r="B260" s="1757" t="s">
        <v>2213</v>
      </c>
      <c r="C260" s="1756" t="s">
        <v>2214</v>
      </c>
      <c r="D260" s="1756" t="s">
        <v>1685</v>
      </c>
      <c r="E260" s="1758" t="s">
        <v>1692</v>
      </c>
      <c r="F260" s="1759"/>
      <c r="G260" s="1760" t="s">
        <v>1661</v>
      </c>
      <c r="H260" s="1761">
        <v>145</v>
      </c>
      <c r="I260" s="1761" t="s">
        <v>1913</v>
      </c>
      <c r="J260" s="1773">
        <v>45505</v>
      </c>
      <c r="K260" s="1773">
        <v>46477</v>
      </c>
      <c r="L260" s="1764">
        <f t="shared" ref="L260:L323" si="118">DATEDIF(J260,K260,"M")+1</f>
        <v>32</v>
      </c>
      <c r="M260" s="1774">
        <f t="shared" si="103"/>
        <v>117824.1</v>
      </c>
      <c r="N260" s="1775">
        <f t="shared" si="104"/>
        <v>699.58</v>
      </c>
      <c r="O260" s="1760">
        <v>101439.1</v>
      </c>
      <c r="P260" s="1776">
        <v>0.18</v>
      </c>
      <c r="Q260" s="1783">
        <f t="shared" ref="Q260:Q323" si="119">R260/H260</f>
        <v>95</v>
      </c>
      <c r="R260" s="1784">
        <v>13775</v>
      </c>
      <c r="S260" s="1777">
        <f t="shared" ref="S260:S323" si="120">T260/H260</f>
        <v>18</v>
      </c>
      <c r="T260" s="1784">
        <v>2610</v>
      </c>
      <c r="U260" s="1777"/>
      <c r="V260" s="1785">
        <v>298287.41749999998</v>
      </c>
      <c r="W260" s="1785">
        <f t="shared" ref="W260:W323" si="121">V260/H260</f>
        <v>2057.1546034482758</v>
      </c>
      <c r="X260" s="1786">
        <f>(N260+Q260+S260)*H260/V260</f>
        <v>0.3950019112019702</v>
      </c>
      <c r="Y260" s="1789">
        <f>VLOOKUP(E260,[11]核心假设及结论!$C$25:$E$45,3,0)</f>
        <v>0.2</v>
      </c>
      <c r="Z260" s="1790">
        <f t="shared" si="116"/>
        <v>101439.1</v>
      </c>
      <c r="AA260" s="1790">
        <f t="shared" si="116"/>
        <v>103644.54999999999</v>
      </c>
      <c r="AB260" s="1790">
        <f t="shared" si="116"/>
        <v>105850</v>
      </c>
      <c r="AC260" s="1790">
        <f t="shared" si="115"/>
        <v>0</v>
      </c>
      <c r="AD260" s="1790">
        <f t="shared" si="115"/>
        <v>0</v>
      </c>
      <c r="AE260" s="1790">
        <f t="shared" si="115"/>
        <v>0</v>
      </c>
      <c r="AF260" s="1790">
        <f t="shared" si="115"/>
        <v>0</v>
      </c>
      <c r="AG260" s="1794">
        <v>699.58</v>
      </c>
      <c r="AH260" s="1794">
        <v>714.79</v>
      </c>
      <c r="AI260" s="1794">
        <v>730</v>
      </c>
      <c r="AJ260" s="1794">
        <v>0</v>
      </c>
      <c r="AK260" s="1794">
        <v>0</v>
      </c>
      <c r="AL260" s="1794">
        <v>0</v>
      </c>
      <c r="AM260" s="1794">
        <v>0</v>
      </c>
      <c r="AN260" s="1797"/>
      <c r="AO260" s="1797"/>
      <c r="AP260" s="1808">
        <f t="shared" si="105"/>
        <v>1.9750095560098508</v>
      </c>
      <c r="AQ260" s="1810">
        <f>IF(AP260&gt;[11]核心假设及结论!$B$59,[11]核心假设及结论!$D$59,IF(AP260&lt;=[11]核心假设及结论!$B$58,[11]核心假设及结论!$D$57,[11]核心假设及结论!$D$58))</f>
        <v>1</v>
      </c>
      <c r="AR260" s="1809">
        <f t="shared" si="106"/>
        <v>699.58</v>
      </c>
      <c r="AS260" s="1809">
        <f>AH260*(AS$2&lt;=YEAR($K260))+AR260*$AQ260*(AS$2=YEAR($K260)+1)+INDEX([11]核心假设及结论!$E$17:$E$21,MATCH($D260,[11]核心假设及结论!$B$17:$B$21,0))*(AS$2&gt;YEAR($K260)+1)*AR260</f>
        <v>714.79</v>
      </c>
      <c r="AT260" s="1809">
        <f>AI260*(AT$2&lt;=YEAR($K260))+AS260*$AQ260*(AT$2=YEAR($K260)+1)+INDEX([11]核心假设及结论!$E$17:$E$21,MATCH($D260,[11]核心假设及结论!$B$17:$B$21,0))*(AT$2&gt;YEAR($K260)+1)*AS260</f>
        <v>730</v>
      </c>
      <c r="AU260" s="1811">
        <f>AJ260*(AU$2&lt;=YEAR($K260))+AT260*$AQ260*(AU$2=YEAR($K260)+1)+INDEX([11]核心假设及结论!$E$17:$E$21,MATCH($D260,[11]核心假设及结论!$B$17:$B$21,0))*(AU$2&gt;YEAR($K260)+1)*AT260</f>
        <v>730</v>
      </c>
      <c r="AV260" s="1809">
        <f>AK260*(AV$2&lt;=YEAR($K260))+AU260*$AQ260*(AV$2=YEAR($K260)+1)+INDEX([11]核心假设及结论!$E$17:$E$21,MATCH($D260,[11]核心假设及结论!$B$17:$B$21,0))*(AV$2&gt;YEAR($K260)+1)*AU260</f>
        <v>749.76437843527788</v>
      </c>
      <c r="AW260" s="1809">
        <f>AL260*(AW$2&lt;=YEAR($K260))+AV260*$AQ260*(AW$2=YEAR($K260)+1)+INDEX([11]核心假设及结论!$E$17:$E$21,MATCH($D260,[11]核心假设及结论!$B$17:$B$21,0))*(AW$2&gt;YEAR($K260)+1)*AV260</f>
        <v>770.06386735676517</v>
      </c>
      <c r="AX260" s="1809">
        <f>AM260*(AX$2&lt;=YEAR($K260))+AW260*$AQ260*(AX$2=YEAR($K260)+1)+INDEX([11]核心假设及结论!$E$17:$E$21,MATCH($D260,[11]核心假设及结论!$B$17:$B$21,0))*(AX$2&gt;YEAR($K260)+1)*AW260</f>
        <v>790.9129546085087</v>
      </c>
      <c r="AZ260" s="1746">
        <f t="shared" ref="AZ260:AZ323" si="122">K260</f>
        <v>46477</v>
      </c>
      <c r="BA260" s="1817">
        <f t="shared" ref="BA260:BA323" si="123">$BA$2</f>
        <v>45658</v>
      </c>
      <c r="BB260" s="1817">
        <f t="shared" ref="BB260:BB323" si="124">DATE(YEAR(BA260),MONTH(AZ260),DAY(AZ260))</f>
        <v>45747</v>
      </c>
      <c r="BC260" s="1817">
        <f t="shared" ref="BC260:BC323" si="125">$BB$2</f>
        <v>46022</v>
      </c>
      <c r="BD260" s="1818">
        <f t="shared" ref="BD260:BD323" si="126">BB260-BA260+1</f>
        <v>90</v>
      </c>
      <c r="BE260" s="1818">
        <f t="shared" ref="BE260:BE323" si="127">365-BD260</f>
        <v>275</v>
      </c>
      <c r="BG260" s="1777">
        <f t="shared" si="112"/>
        <v>123.72088849315068</v>
      </c>
      <c r="BH260" s="1777">
        <f t="shared" si="117"/>
        <v>126.3674284931507</v>
      </c>
      <c r="BI260" s="1777">
        <f t="shared" si="117"/>
        <v>127.02</v>
      </c>
      <c r="BJ260" s="1777">
        <f t="shared" si="117"/>
        <v>129.6110287893919</v>
      </c>
      <c r="BK260" s="1777">
        <f t="shared" si="117"/>
        <v>133.12018142278811</v>
      </c>
      <c r="BL260" s="1777">
        <f t="shared" si="117"/>
        <v>136.72434257760023</v>
      </c>
      <c r="BM260" s="1777">
        <f t="shared" si="117"/>
        <v>33.933416079915737</v>
      </c>
      <c r="BO260" s="1739">
        <f t="shared" ref="BO260:BO323" si="128">YEAR(K260)</f>
        <v>2027</v>
      </c>
      <c r="BP260" s="1742">
        <f>_xlfn.IFNA(INDEX($AR260:$AX260,MATCH(BO260,$AR$2:$AX$2,0))*12/365*[11]核心假设及结论!$C$70*$H260,0)</f>
        <v>104400</v>
      </c>
      <c r="BR260" s="1739">
        <f t="shared" si="107"/>
        <v>2030</v>
      </c>
      <c r="BS260" s="1742">
        <f>_xlfn.IFNA(INDEX($AR260:$AX260,MATCH(BR260,$AR$2:$AX$2,0))*12/365*[11]核心假设及结论!$C$70*$H260,0)</f>
        <v>110129.6818521182</v>
      </c>
      <c r="BU260" s="1739">
        <f t="shared" si="108"/>
        <v>2033</v>
      </c>
      <c r="BV260" s="1742">
        <f>_xlfn.IFNA(INDEX($AR260:$AX260,MATCH(BU260,$AR$2:$AX$2,0))*12/365*[11]核心假设及结论!$C$70*$H260,0)</f>
        <v>0</v>
      </c>
      <c r="BX260" s="1739">
        <f t="shared" si="109"/>
        <v>2036</v>
      </c>
      <c r="BY260" s="1742">
        <f>_xlfn.IFNA(INDEX($AR260:$AX260,MATCH(BX260,$AR$2:$AX$2,0))*12/365*[11]核心假设及结论!$C$70*$H260,0)</f>
        <v>0</v>
      </c>
      <c r="CA260" s="1739">
        <f t="shared" si="110"/>
        <v>2039</v>
      </c>
      <c r="CB260" s="1742">
        <f>_xlfn.IFNA(INDEX($AR260:$AX260,MATCH(CA260,$AR$2:$AX$2,0))*12/365*[11]核心假设及结论!$C$70*$H260,0)</f>
        <v>0</v>
      </c>
    </row>
    <row r="261" spans="1:80" ht="30" customHeight="1">
      <c r="A261" s="1756" t="s">
        <v>1662</v>
      </c>
      <c r="B261" s="1757" t="s">
        <v>2215</v>
      </c>
      <c r="C261" s="1756" t="s">
        <v>2216</v>
      </c>
      <c r="D261" s="1756" t="s">
        <v>1685</v>
      </c>
      <c r="E261" s="1758" t="s">
        <v>1871</v>
      </c>
      <c r="F261" s="1759"/>
      <c r="G261" s="1760" t="s">
        <v>1661</v>
      </c>
      <c r="H261" s="1761">
        <v>143</v>
      </c>
      <c r="I261" s="1761" t="s">
        <v>1913</v>
      </c>
      <c r="J261" s="1773">
        <v>44743</v>
      </c>
      <c r="K261" s="1773">
        <v>45838</v>
      </c>
      <c r="L261" s="1764">
        <f t="shared" si="118"/>
        <v>36</v>
      </c>
      <c r="M261" s="1774">
        <f t="shared" ref="M261:M324" si="129">O261+R261+T261</f>
        <v>129462.18999999999</v>
      </c>
      <c r="N261" s="1775">
        <f t="shared" ref="N261:N324" si="130">O261/H261</f>
        <v>790.78</v>
      </c>
      <c r="O261" s="1760">
        <v>113081.54</v>
      </c>
      <c r="P261" s="1776" t="s">
        <v>1960</v>
      </c>
      <c r="Q261" s="1783">
        <f t="shared" si="119"/>
        <v>95</v>
      </c>
      <c r="R261" s="1784">
        <v>13585</v>
      </c>
      <c r="S261" s="1777">
        <f t="shared" si="120"/>
        <v>19.55</v>
      </c>
      <c r="T261" s="1784">
        <v>2795.65</v>
      </c>
      <c r="U261" s="1777"/>
      <c r="V261" s="1785">
        <v>13936027.410833299</v>
      </c>
      <c r="W261" s="1785">
        <f t="shared" si="121"/>
        <v>97454.7371386944</v>
      </c>
      <c r="X261" s="1786">
        <f>(N261+Q261)*H261/V261</f>
        <v>9.0891425702517344E-3</v>
      </c>
      <c r="Y261" s="1789">
        <f>VLOOKUP(E261,[11]核心假设及结论!$C$25:$E$45,3,0)</f>
        <v>0.2</v>
      </c>
      <c r="Z261" s="1790">
        <f t="shared" si="116"/>
        <v>113081.54</v>
      </c>
      <c r="AA261" s="1790">
        <f t="shared" si="116"/>
        <v>0</v>
      </c>
      <c r="AB261" s="1790">
        <f t="shared" si="116"/>
        <v>0</v>
      </c>
      <c r="AC261" s="1790">
        <f t="shared" si="115"/>
        <v>0</v>
      </c>
      <c r="AD261" s="1790">
        <f t="shared" si="115"/>
        <v>0</v>
      </c>
      <c r="AE261" s="1790">
        <f t="shared" si="115"/>
        <v>0</v>
      </c>
      <c r="AF261" s="1790">
        <f t="shared" si="115"/>
        <v>0</v>
      </c>
      <c r="AG261" s="1794">
        <v>790.78</v>
      </c>
      <c r="AH261" s="1794">
        <v>0</v>
      </c>
      <c r="AI261" s="1794">
        <v>0</v>
      </c>
      <c r="AJ261" s="1794">
        <v>0</v>
      </c>
      <c r="AK261" s="1794">
        <v>0</v>
      </c>
      <c r="AL261" s="1794">
        <v>0</v>
      </c>
      <c r="AM261" s="1794">
        <v>0</v>
      </c>
      <c r="AN261" s="1797"/>
      <c r="AO261" s="1797"/>
      <c r="AP261" s="1808">
        <f t="shared" ref="AP261:AP324" si="131">IFERROR(X261/Y261,1.25)</f>
        <v>4.5445712851258667E-2</v>
      </c>
      <c r="AQ261" s="1810">
        <f>IF(AP261&gt;[11]核心假设及结论!$B$59,[11]核心假设及结论!$D$59,IF(AP261&lt;=[11]核心假设及结论!$B$58,[11]核心假设及结论!$D$57,[11]核心假设及结论!$D$58))</f>
        <v>1.0342640124442799</v>
      </c>
      <c r="AR261" s="1809">
        <f t="shared" ref="AR261:AR324" si="132">IF(K261&lt;=BA261,AQ261*AG261,AG261)</f>
        <v>790.78</v>
      </c>
      <c r="AS261" s="1811">
        <f>AH261*(AS$2&lt;=YEAR($K261))+AR261*$AQ261*(AS$2=YEAR($K261)+1)+INDEX([11]核心假设及结论!$E$17:$E$21,MATCH($D261,[11]核心假设及结论!$B$17:$B$21,0))*(AS$2&gt;YEAR($K261)+1)*AR261</f>
        <v>817.87529576068766</v>
      </c>
      <c r="AT261" s="1809">
        <f>AI261*(AT$2&lt;=YEAR($K261))+AS261*$AQ261*(AT$2=YEAR($K261)+1)+INDEX([11]核心假设及结论!$E$17:$E$21,MATCH($D261,[11]核心假设及结论!$B$17:$B$21,0))*(AT$2&gt;YEAR($K261)+1)*AS261</f>
        <v>840.01885310079604</v>
      </c>
      <c r="AU261" s="1809">
        <f>AJ261*(AU$2&lt;=YEAR($K261))+AT261*$AQ261*(AU$2=YEAR($K261)+1)+INDEX([11]核心假设及结论!$E$17:$E$21,MATCH($D261,[11]核心假设及结论!$B$17:$B$21,0))*(AU$2&gt;YEAR($K261)+1)*AT261</f>
        <v>862.76193598497719</v>
      </c>
      <c r="AV261" s="1809">
        <f>AK261*(AV$2&lt;=YEAR($K261))+AU261*$AQ261*(AV$2=YEAR($K261)+1)+INDEX([11]核心假设及结论!$E$17:$E$21,MATCH($D261,[11]核心假设及结论!$B$17:$B$21,0))*(AV$2&gt;YEAR($K261)+1)*AU261</f>
        <v>886.12077626218286</v>
      </c>
      <c r="AW261" s="1809">
        <f>AL261*(AW$2&lt;=YEAR($K261))+AV261*$AQ261*(AW$2=YEAR($K261)+1)+INDEX([11]核心假设及结论!$E$17:$E$21,MATCH($D261,[11]核心假设及结论!$B$17:$B$21,0))*(AW$2&gt;YEAR($K261)+1)*AV261</f>
        <v>910.11204525041308</v>
      </c>
      <c r="AX261" s="1809">
        <f>AM261*(AX$2&lt;=YEAR($K261))+AW261*$AQ261*(AX$2=YEAR($K261)+1)+INDEX([11]核心假设及结论!$E$17:$E$21,MATCH($D261,[11]核心假设及结论!$B$17:$B$21,0))*(AX$2&gt;YEAR($K261)+1)*AW261</f>
        <v>934.75286563511713</v>
      </c>
      <c r="AZ261" s="1746">
        <f t="shared" si="122"/>
        <v>45838</v>
      </c>
      <c r="BA261" s="1817">
        <f t="shared" si="123"/>
        <v>45658</v>
      </c>
      <c r="BB261" s="1817">
        <f t="shared" si="124"/>
        <v>45838</v>
      </c>
      <c r="BC261" s="1817">
        <f t="shared" si="125"/>
        <v>46022</v>
      </c>
      <c r="BD261" s="1818">
        <f t="shared" si="126"/>
        <v>181</v>
      </c>
      <c r="BE261" s="1818">
        <f t="shared" si="127"/>
        <v>184</v>
      </c>
      <c r="BG261" s="1777">
        <f t="shared" si="112"/>
        <v>138.04173212730478</v>
      </c>
      <c r="BH261" s="1777">
        <f t="shared" si="117"/>
        <v>142.26293373028608</v>
      </c>
      <c r="BI261" s="1777">
        <f t="shared" si="117"/>
        <v>146.11463025022891</v>
      </c>
      <c r="BJ261" s="1777">
        <f t="shared" si="117"/>
        <v>150.07060949296346</v>
      </c>
      <c r="BK261" s="1777">
        <f t="shared" si="117"/>
        <v>154.13369486013022</v>
      </c>
      <c r="BL261" s="1777">
        <f t="shared" si="117"/>
        <v>158.30678619553194</v>
      </c>
      <c r="BM261" s="1777">
        <f t="shared" si="117"/>
        <v>79.542603028713643</v>
      </c>
      <c r="BO261" s="1739">
        <f t="shared" si="128"/>
        <v>2025</v>
      </c>
      <c r="BP261" s="1742">
        <f>_xlfn.IFNA(INDEX($AR261:$AX261,MATCH(BO261,$AR$2:$AX$2,0))*12/365*[11]核心假设及结论!$C$70*$H261,0)</f>
        <v>111532.47780821918</v>
      </c>
      <c r="BR261" s="1739">
        <f t="shared" ref="BR261:BR324" si="133">BO261+ROUND($L261/12,0)</f>
        <v>2028</v>
      </c>
      <c r="BS261" s="1742">
        <f>_xlfn.IFNA(INDEX($AR261:$AX261,MATCH(BR261,$AR$2:$AX$2,0))*12/365*[11]核心假设及结论!$C$70*$H261,0)</f>
        <v>121684.88894385377</v>
      </c>
      <c r="BU261" s="1739">
        <f t="shared" ref="BU261:BU324" si="134">BR261+ROUND($L261/12,0)</f>
        <v>2031</v>
      </c>
      <c r="BV261" s="1742">
        <f>_xlfn.IFNA(INDEX($AR261:$AX261,MATCH(BU261,$AR$2:$AX$2,0))*12/365*[11]核心假设及结论!$C$70*$H261,0)</f>
        <v>131838.568555879</v>
      </c>
      <c r="BX261" s="1739">
        <f t="shared" ref="BX261:BX324" si="135">BU261+ROUND($L261/12,0)</f>
        <v>2034</v>
      </c>
      <c r="BY261" s="1742">
        <f>_xlfn.IFNA(INDEX($AR261:$AX261,MATCH(BX261,$AR$2:$AX$2,0))*12/365*[11]核心假设及结论!$C$70*$H261,0)</f>
        <v>0</v>
      </c>
      <c r="CA261" s="1739">
        <f t="shared" ref="CA261:CA324" si="136">BX261+ROUND($L261/12,0)</f>
        <v>2037</v>
      </c>
      <c r="CB261" s="1742">
        <f>_xlfn.IFNA(INDEX($AR261:$AX261,MATCH(CA261,$AR$2:$AX$2,0))*12/365*[11]核心假设及结论!$C$70*$H261,0)</f>
        <v>0</v>
      </c>
    </row>
    <row r="262" spans="1:80" ht="30" customHeight="1">
      <c r="A262" s="1756" t="s">
        <v>1687</v>
      </c>
      <c r="B262" s="1757" t="s">
        <v>2217</v>
      </c>
      <c r="C262" s="1756" t="s">
        <v>2218</v>
      </c>
      <c r="D262" s="1756" t="s">
        <v>1676</v>
      </c>
      <c r="E262" s="1758" t="s">
        <v>1758</v>
      </c>
      <c r="F262" s="1759"/>
      <c r="G262" s="1760" t="s">
        <v>1661</v>
      </c>
      <c r="H262" s="1761">
        <v>143</v>
      </c>
      <c r="I262" s="1761" t="s">
        <v>1913</v>
      </c>
      <c r="J262" s="1773">
        <v>45767</v>
      </c>
      <c r="K262" s="1773">
        <v>46811</v>
      </c>
      <c r="L262" s="1764">
        <f t="shared" si="118"/>
        <v>35</v>
      </c>
      <c r="M262" s="1774">
        <f t="shared" si="129"/>
        <v>51172.55</v>
      </c>
      <c r="N262" s="1775">
        <f t="shared" si="130"/>
        <v>244.85000000000002</v>
      </c>
      <c r="O262" s="1760">
        <v>35013.550000000003</v>
      </c>
      <c r="P262" s="1776">
        <v>0.12</v>
      </c>
      <c r="Q262" s="1783">
        <f t="shared" si="119"/>
        <v>95</v>
      </c>
      <c r="R262" s="1784">
        <v>13585</v>
      </c>
      <c r="S262" s="1777">
        <f t="shared" si="120"/>
        <v>18</v>
      </c>
      <c r="T262" s="1777">
        <v>2574</v>
      </c>
      <c r="U262" s="1777"/>
      <c r="V262" s="1785">
        <v>125467.66666666701</v>
      </c>
      <c r="W262" s="1785">
        <f t="shared" si="121"/>
        <v>877.39627039627283</v>
      </c>
      <c r="X262" s="1786">
        <f>(N262+Q262)*H262/V262</f>
        <v>0.38733923480949839</v>
      </c>
      <c r="Y262" s="1789">
        <f>VLOOKUP(E262,[11]核心假设及结论!$C$25:$E$45,3,0)</f>
        <v>0.2</v>
      </c>
      <c r="Z262" s="1790">
        <f t="shared" si="116"/>
        <v>35013.549999999996</v>
      </c>
      <c r="AA262" s="1790">
        <f t="shared" si="116"/>
        <v>104390</v>
      </c>
      <c r="AB262" s="1790">
        <f t="shared" si="116"/>
        <v>108740.06</v>
      </c>
      <c r="AC262" s="1790">
        <f t="shared" si="115"/>
        <v>113088.69</v>
      </c>
      <c r="AD262" s="1790">
        <f t="shared" si="115"/>
        <v>0</v>
      </c>
      <c r="AE262" s="1790">
        <f t="shared" si="115"/>
        <v>0</v>
      </c>
      <c r="AF262" s="1790">
        <f t="shared" si="115"/>
        <v>0</v>
      </c>
      <c r="AG262" s="1794">
        <v>244.85</v>
      </c>
      <c r="AH262" s="1794">
        <v>730</v>
      </c>
      <c r="AI262" s="1824">
        <v>760.42</v>
      </c>
      <c r="AJ262" s="1794">
        <v>790.83</v>
      </c>
      <c r="AK262" s="1794">
        <v>0</v>
      </c>
      <c r="AL262" s="1794">
        <v>0</v>
      </c>
      <c r="AM262" s="1794">
        <v>0</v>
      </c>
      <c r="AN262" s="1795"/>
      <c r="AO262" s="1795"/>
      <c r="AP262" s="1808">
        <f t="shared" si="131"/>
        <v>1.9366961740474919</v>
      </c>
      <c r="AQ262" s="1808">
        <f>IF(AP262&gt;[11]核心假设及结论!$B$65,[11]核心假设及结论!$D$65,IF(AP262&lt;=[11]核心假设及结论!$B$64,[11]核心假设及结论!$D$63,[11]核心假设及结论!$D$64))</f>
        <v>0.72793038402688603</v>
      </c>
      <c r="AR262" s="1809">
        <f t="shared" si="132"/>
        <v>244.85</v>
      </c>
      <c r="AS262" s="1809">
        <f>AH262*(AS$2&lt;=YEAR($K262))+AR262*$AQ262*(AS$2=YEAR($K262)+1)+INDEX([11]核心假设及结论!$E$17:$E$21,MATCH($D262,[11]核心假设及结论!$B$17:$B$21,0))*(AS$2&gt;YEAR($K262)+1)*AR262</f>
        <v>730</v>
      </c>
      <c r="AT262" s="1809">
        <f>AI262*(AT$2&lt;=YEAR($K262))+AS262*$AQ262*(AT$2=YEAR($K262)+1)+INDEX([11]核心假设及结论!$E$17:$E$21,MATCH($D262,[11]核心假设及结论!$B$17:$B$21,0))*(AT$2&gt;YEAR($K262)+1)*AS262</f>
        <v>760.42</v>
      </c>
      <c r="AU262" s="1809">
        <f>AJ262*(AU$2&lt;=YEAR($K262))+AT262*$AQ262*(AU$2=YEAR($K262)+1)+INDEX([11]核心假设及结论!$E$17:$E$21,MATCH($D262,[11]核心假设及结论!$B$17:$B$21,0))*(AU$2&gt;YEAR($K262)+1)*AT262</f>
        <v>790.83</v>
      </c>
      <c r="AV262" s="1811">
        <f>AK262*(AV$2&lt;=YEAR($K262))+AU262*$AQ262*(AV$2=YEAR($K262)+1)+INDEX([11]核心假设及结论!$E$17:$E$21,MATCH($D262,[11]核心假设及结论!$B$17:$B$21,0))*(AV$2&gt;YEAR($K262)+1)*AU262</f>
        <v>575.66918559998226</v>
      </c>
      <c r="AW262" s="1809">
        <f>AL262*(AW$2&lt;=YEAR($K262))+AV262*$AQ262*(AW$2=YEAR($K262)+1)+INDEX([11]核心假设及结论!$E$17:$E$21,MATCH($D262,[11]核心假设及结论!$B$17:$B$21,0))*(AW$2&gt;YEAR($K262)+1)*AV262</f>
        <v>595.57299806171613</v>
      </c>
      <c r="AX262" s="1809">
        <f>AM262*(AX$2&lt;=YEAR($K262))+AW262*$AQ262*(AX$2=YEAR($K262)+1)+INDEX([11]核心假设及结论!$E$17:$E$21,MATCH($D262,[11]核心假设及结论!$B$17:$B$21,0))*(AX$2&gt;YEAR($K262)+1)*AW262</f>
        <v>616.16498658084834</v>
      </c>
      <c r="AZ262" s="1746">
        <f t="shared" si="122"/>
        <v>46811</v>
      </c>
      <c r="BA262" s="1817">
        <f t="shared" si="123"/>
        <v>45658</v>
      </c>
      <c r="BB262" s="1817">
        <f t="shared" si="124"/>
        <v>45716</v>
      </c>
      <c r="BC262" s="1817">
        <f t="shared" si="125"/>
        <v>46022</v>
      </c>
      <c r="BD262" s="1818">
        <f t="shared" si="126"/>
        <v>59</v>
      </c>
      <c r="BE262" s="1818">
        <f t="shared" si="127"/>
        <v>306</v>
      </c>
      <c r="BG262" s="1777">
        <f t="shared" si="112"/>
        <v>111.81086942465753</v>
      </c>
      <c r="BH262" s="1777">
        <f t="shared" si="117"/>
        <v>129.64427953972603</v>
      </c>
      <c r="BI262" s="1777">
        <f t="shared" si="117"/>
        <v>134.86291292054796</v>
      </c>
      <c r="BJ262" s="1777">
        <f t="shared" si="117"/>
        <v>104.75298060323514</v>
      </c>
      <c r="BK262" s="1777">
        <f t="shared" si="117"/>
        <v>101.64823288139712</v>
      </c>
      <c r="BL262" s="1777">
        <f t="shared" si="117"/>
        <v>105.16272942723766</v>
      </c>
      <c r="BM262" s="1777">
        <f t="shared" si="117"/>
        <v>17.091235041477098</v>
      </c>
      <c r="BO262" s="1739">
        <f t="shared" si="128"/>
        <v>2028</v>
      </c>
      <c r="BP262" s="1742">
        <f>_xlfn.IFNA(INDEX($AR262:$AX262,MATCH(BO262,$AR$2:$AX$2,0))*12/365*[11]核心假设及结论!$C$70*$H262,0)</f>
        <v>111539.52986301371</v>
      </c>
      <c r="BR262" s="1739">
        <f t="shared" si="133"/>
        <v>2031</v>
      </c>
      <c r="BS262" s="1742">
        <f>_xlfn.IFNA(INDEX($AR262:$AX262,MATCH(BR262,$AR$2:$AX$2,0))*12/365*[11]核心假设及结论!$C$70*$H262,0)</f>
        <v>86904.58495666321</v>
      </c>
      <c r="BU262" s="1739">
        <f t="shared" si="134"/>
        <v>2034</v>
      </c>
      <c r="BV262" s="1742">
        <f>_xlfn.IFNA(INDEX($AR262:$AX262,MATCH(BU262,$AR$2:$AX$2,0))*12/365*[11]核心假设及结论!$C$70*$H262,0)</f>
        <v>0</v>
      </c>
      <c r="BX262" s="1739">
        <f t="shared" si="135"/>
        <v>2037</v>
      </c>
      <c r="BY262" s="1742">
        <f>_xlfn.IFNA(INDEX($AR262:$AX262,MATCH(BX262,$AR$2:$AX$2,0))*12/365*[11]核心假设及结论!$C$70*$H262,0)</f>
        <v>0</v>
      </c>
      <c r="CA262" s="1739">
        <f t="shared" si="136"/>
        <v>2040</v>
      </c>
      <c r="CB262" s="1742">
        <f>_xlfn.IFNA(INDEX($AR262:$AX262,MATCH(CA262,$AR$2:$AX$2,0))*12/365*[11]核心假设及结论!$C$70*$H262,0)</f>
        <v>0</v>
      </c>
    </row>
    <row r="263" spans="1:80" ht="30" customHeight="1">
      <c r="A263" s="1756" t="s">
        <v>1666</v>
      </c>
      <c r="B263" s="1757" t="s">
        <v>2219</v>
      </c>
      <c r="C263" s="1756" t="s">
        <v>2220</v>
      </c>
      <c r="D263" s="1756" t="s">
        <v>1698</v>
      </c>
      <c r="E263" s="1758" t="s">
        <v>1698</v>
      </c>
      <c r="F263" s="1759"/>
      <c r="G263" s="1760" t="s">
        <v>1661</v>
      </c>
      <c r="H263" s="1761">
        <v>142</v>
      </c>
      <c r="I263" s="1761" t="s">
        <v>1913</v>
      </c>
      <c r="J263" s="1773">
        <v>44819</v>
      </c>
      <c r="K263" s="1773">
        <v>45914</v>
      </c>
      <c r="L263" s="1764">
        <f t="shared" si="118"/>
        <v>36</v>
      </c>
      <c r="M263" s="1774">
        <f t="shared" si="129"/>
        <v>91734.84</v>
      </c>
      <c r="N263" s="1775">
        <f t="shared" si="130"/>
        <v>532.4</v>
      </c>
      <c r="O263" s="1760">
        <v>75600.800000000003</v>
      </c>
      <c r="P263" s="1776">
        <v>0.12</v>
      </c>
      <c r="Q263" s="1783">
        <f t="shared" si="119"/>
        <v>95</v>
      </c>
      <c r="R263" s="1784">
        <v>13490</v>
      </c>
      <c r="S263" s="1777">
        <f t="shared" si="120"/>
        <v>18.62</v>
      </c>
      <c r="T263" s="1784">
        <v>2644.04</v>
      </c>
      <c r="U263" s="1777"/>
      <c r="V263" s="1785">
        <v>840284.48750000005</v>
      </c>
      <c r="W263" s="1785">
        <f t="shared" si="121"/>
        <v>5917.4963908450709</v>
      </c>
      <c r="X263" s="1786">
        <f>(N263+Q263)*H263/V263</f>
        <v>0.10602456825671198</v>
      </c>
      <c r="Y263" s="1789">
        <f>VLOOKUP(E263,[11]核心假设及结论!$C$25:$E$45,3,0)</f>
        <v>0.2</v>
      </c>
      <c r="Z263" s="1790">
        <f t="shared" si="116"/>
        <v>77732.22</v>
      </c>
      <c r="AA263" s="1790">
        <f t="shared" si="116"/>
        <v>0</v>
      </c>
      <c r="AB263" s="1790">
        <f t="shared" si="116"/>
        <v>0</v>
      </c>
      <c r="AC263" s="1790">
        <f t="shared" si="115"/>
        <v>0</v>
      </c>
      <c r="AD263" s="1790">
        <f t="shared" si="115"/>
        <v>0</v>
      </c>
      <c r="AE263" s="1790">
        <f t="shared" si="115"/>
        <v>0</v>
      </c>
      <c r="AF263" s="1790">
        <f t="shared" si="115"/>
        <v>0</v>
      </c>
      <c r="AG263" s="1794">
        <v>547.41</v>
      </c>
      <c r="AH263" s="1794">
        <v>0</v>
      </c>
      <c r="AI263" s="1794">
        <v>0</v>
      </c>
      <c r="AJ263" s="1794">
        <v>0</v>
      </c>
      <c r="AK263" s="1794">
        <v>0</v>
      </c>
      <c r="AL263" s="1794">
        <v>0</v>
      </c>
      <c r="AM263" s="1794">
        <v>0</v>
      </c>
      <c r="AN263" s="1797"/>
      <c r="AO263" s="1797"/>
      <c r="AP263" s="1808">
        <f t="shared" si="131"/>
        <v>0.53012284128355991</v>
      </c>
      <c r="AQ263" s="1812">
        <f>IF(AP263&gt;[11]核心假设及结论!$B$62,[11]核心假设及结论!$D$62,IF(AP263&lt;=[11]核心假设及结论!$B$61,[11]核心假设及结论!$D$60,[11]核心假设及结论!$D$61))</f>
        <v>1.0811176582269599</v>
      </c>
      <c r="AR263" s="1809">
        <f t="shared" si="132"/>
        <v>547.41</v>
      </c>
      <c r="AS263" s="1811">
        <f>AH263*(AS$2&lt;=YEAR($K263))+AR263*$AQ263*(AS$2=YEAR($K263)+1)+INDEX([11]核心假设及结论!$E$17:$E$21,MATCH($D263,[11]核心假设及结论!$B$17:$B$21,0))*(AS$2&gt;YEAR($K263)+1)*AR263</f>
        <v>591.81461729002012</v>
      </c>
      <c r="AT263" s="1809">
        <f>AI263*(AT$2&lt;=YEAR($K263))+AS263*$AQ263*(AT$2=YEAR($K263)+1)+INDEX([11]核心假设及结论!$E$17:$E$21,MATCH($D263,[11]核心假设及结论!$B$17:$B$21,0))*(AT$2&gt;YEAR($K263)+1)*AS263</f>
        <v>609.93444532800015</v>
      </c>
      <c r="AU263" s="1809">
        <f>AJ263*(AU$2&lt;=YEAR($K263))+AT263*$AQ263*(AU$2=YEAR($K263)+1)+INDEX([11]核心假设及结论!$E$17:$E$21,MATCH($D263,[11]核心假设及结论!$B$17:$B$21,0))*(AU$2&gt;YEAR($K263)+1)*AT263</f>
        <v>628.60905548614721</v>
      </c>
      <c r="AV263" s="1809">
        <f>AK263*(AV$2&lt;=YEAR($K263))+AU263*$AQ263*(AV$2=YEAR($K263)+1)+INDEX([11]核心假设及结论!$E$17:$E$21,MATCH($D263,[11]核心假设及结论!$B$17:$B$21,0))*(AV$2&gt;YEAR($K263)+1)*AU263</f>
        <v>647.85543375352313</v>
      </c>
      <c r="AW263" s="1809">
        <f>AL263*(AW$2&lt;=YEAR($K263))+AV263*$AQ263*(AW$2=YEAR($K263)+1)+INDEX([11]核心假设及结论!$E$17:$E$21,MATCH($D263,[11]核心假设及结论!$B$17:$B$21,0))*(AW$2&gt;YEAR($K263)+1)*AV263</f>
        <v>667.69108618610255</v>
      </c>
      <c r="AX263" s="1809">
        <f>AM263*(AX$2&lt;=YEAR($K263))+AW263*$AQ263*(AX$2=YEAR($K263)+1)+INDEX([11]核心假设及结论!$E$17:$E$21,MATCH($D263,[11]核心假设及结论!$B$17:$B$21,0))*(AX$2&gt;YEAR($K263)+1)*AW263</f>
        <v>688.13405482987196</v>
      </c>
      <c r="AZ263" s="1746">
        <f t="shared" si="122"/>
        <v>45914</v>
      </c>
      <c r="BA263" s="1817">
        <f t="shared" si="123"/>
        <v>45658</v>
      </c>
      <c r="BB263" s="1817">
        <f t="shared" si="124"/>
        <v>45914</v>
      </c>
      <c r="BC263" s="1817">
        <f t="shared" si="125"/>
        <v>46022</v>
      </c>
      <c r="BD263" s="1818">
        <f t="shared" si="126"/>
        <v>257</v>
      </c>
      <c r="BE263" s="1818">
        <f t="shared" si="127"/>
        <v>108</v>
      </c>
      <c r="BG263" s="1777">
        <f t="shared" si="112"/>
        <v>95.517532638114233</v>
      </c>
      <c r="BH263" s="1777">
        <f t="shared" si="117"/>
        <v>101.75880755155794</v>
      </c>
      <c r="BI263" s="1777">
        <f t="shared" si="117"/>
        <v>104.87439821173344</v>
      </c>
      <c r="BJ263" s="1777">
        <f t="shared" si="117"/>
        <v>108.08538017410024</v>
      </c>
      <c r="BK263" s="1777">
        <f t="shared" si="117"/>
        <v>111.39467407282568</v>
      </c>
      <c r="BL263" s="1777">
        <f t="shared" si="117"/>
        <v>114.8052899643174</v>
      </c>
      <c r="BM263" s="1777">
        <f t="shared" si="117"/>
        <v>82.562512428366077</v>
      </c>
      <c r="BO263" s="1739">
        <f t="shared" si="128"/>
        <v>2025</v>
      </c>
      <c r="BP263" s="1742">
        <f>_xlfn.IFNA(INDEX($AR263:$AX263,MATCH(BO263,$AR$2:$AX$2,0))*12/365*[11]核心假设及结论!$C$70*$H263,0)</f>
        <v>76667.395068493148</v>
      </c>
      <c r="BR263" s="1739">
        <f t="shared" si="133"/>
        <v>2028</v>
      </c>
      <c r="BS263" s="1742">
        <f>_xlfn.IFNA(INDEX($AR263:$AX263,MATCH(BR263,$AR$2:$AX$2,0))*12/365*[11]核心假设及结论!$C$70*$H263,0)</f>
        <v>88039.712099868091</v>
      </c>
      <c r="BU263" s="1739">
        <f t="shared" si="134"/>
        <v>2031</v>
      </c>
      <c r="BV263" s="1742">
        <f>_xlfn.IFNA(INDEX($AR263:$AX263,MATCH(BU263,$AR$2:$AX$2,0))*12/365*[11]核心假设及结论!$C$70*$H263,0)</f>
        <v>96376.473651789172</v>
      </c>
      <c r="BX263" s="1739">
        <f t="shared" si="135"/>
        <v>2034</v>
      </c>
      <c r="BY263" s="1742">
        <f>_xlfn.IFNA(INDEX($AR263:$AX263,MATCH(BX263,$AR$2:$AX$2,0))*12/365*[11]核心假设及结论!$C$70*$H263,0)</f>
        <v>0</v>
      </c>
      <c r="CA263" s="1739">
        <f t="shared" si="136"/>
        <v>2037</v>
      </c>
      <c r="CB263" s="1742">
        <f>_xlfn.IFNA(INDEX($AR263:$AX263,MATCH(CA263,$AR$2:$AX$2,0))*12/365*[11]核心假设及结论!$C$70*$H263,0)</f>
        <v>0</v>
      </c>
    </row>
    <row r="264" spans="1:80" ht="30" customHeight="1">
      <c r="A264" s="1756" t="s">
        <v>1687</v>
      </c>
      <c r="B264" s="1757" t="s">
        <v>2221</v>
      </c>
      <c r="C264" s="1756" t="s">
        <v>2222</v>
      </c>
      <c r="D264" s="1756" t="s">
        <v>1676</v>
      </c>
      <c r="E264" s="1758" t="s">
        <v>1677</v>
      </c>
      <c r="F264" s="1759"/>
      <c r="G264" s="1760" t="s">
        <v>1661</v>
      </c>
      <c r="H264" s="1761">
        <v>141</v>
      </c>
      <c r="I264" s="1761" t="s">
        <v>1913</v>
      </c>
      <c r="J264" s="1773">
        <v>45327</v>
      </c>
      <c r="K264" s="1773">
        <v>45691</v>
      </c>
      <c r="L264" s="1764">
        <f t="shared" si="118"/>
        <v>12</v>
      </c>
      <c r="M264" s="1774">
        <f t="shared" si="129"/>
        <v>51666.63</v>
      </c>
      <c r="N264" s="1775">
        <f t="shared" si="130"/>
        <v>258.7</v>
      </c>
      <c r="O264" s="1760">
        <v>36476.699999999997</v>
      </c>
      <c r="P264" s="1776">
        <v>0.15</v>
      </c>
      <c r="Q264" s="1783">
        <f t="shared" si="119"/>
        <v>90</v>
      </c>
      <c r="R264" s="1784">
        <v>12690</v>
      </c>
      <c r="S264" s="1777">
        <f t="shared" si="120"/>
        <v>17.73</v>
      </c>
      <c r="T264" s="1777">
        <v>2499.9299999999998</v>
      </c>
      <c r="U264" s="1777"/>
      <c r="V264" s="1785">
        <v>75548.583333333299</v>
      </c>
      <c r="W264" s="1785">
        <f t="shared" si="121"/>
        <v>535.80555555555532</v>
      </c>
      <c r="X264" s="1786">
        <f>(N264+Q264)*H264/V264</f>
        <v>0.65079579034683011</v>
      </c>
      <c r="Y264" s="1789">
        <f>VLOOKUP(E264,[11]核心假设及结论!$C$25:$E$45,3,0)</f>
        <v>0.25</v>
      </c>
      <c r="Z264" s="1790">
        <f t="shared" si="116"/>
        <v>36476.699999999997</v>
      </c>
      <c r="AA264" s="1790">
        <f t="shared" si="116"/>
        <v>0</v>
      </c>
      <c r="AB264" s="1790">
        <f t="shared" si="116"/>
        <v>0</v>
      </c>
      <c r="AC264" s="1790">
        <f t="shared" si="115"/>
        <v>0</v>
      </c>
      <c r="AD264" s="1790">
        <f t="shared" si="115"/>
        <v>0</v>
      </c>
      <c r="AE264" s="1790">
        <f t="shared" si="115"/>
        <v>0</v>
      </c>
      <c r="AF264" s="1790">
        <f t="shared" si="115"/>
        <v>0</v>
      </c>
      <c r="AG264" s="1794">
        <v>258.7</v>
      </c>
      <c r="AH264" s="1794">
        <v>0</v>
      </c>
      <c r="AI264" s="1794">
        <v>0</v>
      </c>
      <c r="AJ264" s="1794">
        <v>0</v>
      </c>
      <c r="AK264" s="1794">
        <v>0</v>
      </c>
      <c r="AL264" s="1794">
        <v>0</v>
      </c>
      <c r="AM264" s="1794">
        <v>0</v>
      </c>
      <c r="AN264" s="1795"/>
      <c r="AO264" s="1795"/>
      <c r="AP264" s="1808">
        <f t="shared" si="131"/>
        <v>2.6031831613873204</v>
      </c>
      <c r="AQ264" s="1808">
        <f>IF(AP264&gt;[11]核心假设及结论!$B$65,[11]核心假设及结论!$D$65,IF(AP264&lt;=[11]核心假设及结论!$B$64,[11]核心假设及结论!$D$63,[11]核心假设及结论!$D$64))</f>
        <v>0.72793038402688603</v>
      </c>
      <c r="AR264" s="1809">
        <f t="shared" si="132"/>
        <v>258.7</v>
      </c>
      <c r="AS264" s="1811">
        <f>AH264*(AS$2&lt;=YEAR($K264))+AR264*$AQ264*(AS$2=YEAR($K264)+1)+INDEX([11]核心假设及结论!$E$17:$E$21,MATCH($D264,[11]核心假设及结论!$B$17:$B$21,0))*(AS$2&gt;YEAR($K264)+1)*AR264</f>
        <v>188.3155903477554</v>
      </c>
      <c r="AT264" s="1809">
        <f>AI264*(AT$2&lt;=YEAR($K264))+AS264*$AQ264*(AT$2=YEAR($K264)+1)+INDEX([11]核心假设及结论!$E$17:$E$21,MATCH($D264,[11]核心假设及结论!$B$17:$B$21,0))*(AT$2&gt;YEAR($K264)+1)*AS264</f>
        <v>194.82661836117239</v>
      </c>
      <c r="AU264" s="1809">
        <f>AJ264*(AU$2&lt;=YEAR($K264))+AT264*$AQ264*(AU$2=YEAR($K264)+1)+INDEX([11]核心假设及结论!$E$17:$E$21,MATCH($D264,[11]核心假设及结论!$B$17:$B$21,0))*(AU$2&gt;YEAR($K264)+1)*AT264</f>
        <v>201.56276573785195</v>
      </c>
      <c r="AV264" s="1809">
        <f>AK264*(AV$2&lt;=YEAR($K264))+AU264*$AQ264*(AV$2=YEAR($K264)+1)+INDEX([11]核心假设及结论!$E$17:$E$21,MATCH($D264,[11]核心假设及结论!$B$17:$B$21,0))*(AV$2&gt;YEAR($K264)+1)*AU264</f>
        <v>208.53181599947627</v>
      </c>
      <c r="AW264" s="1809">
        <f>AL264*(AW$2&lt;=YEAR($K264))+AV264*$AQ264*(AW$2=YEAR($K264)+1)+INDEX([11]核心假设及结论!$E$17:$E$21,MATCH($D264,[11]核心假设及结论!$B$17:$B$21,0))*(AW$2&gt;YEAR($K264)+1)*AV264</f>
        <v>215.7418217836707</v>
      </c>
      <c r="AX264" s="1809">
        <f>AM264*(AX$2&lt;=YEAR($K264))+AW264*$AQ264*(AX$2=YEAR($K264)+1)+INDEX([11]核心假设及结论!$E$17:$E$21,MATCH($D264,[11]核心假设及结论!$B$17:$B$21,0))*(AX$2&gt;YEAR($K264)+1)*AW264</f>
        <v>223.20111414871116</v>
      </c>
      <c r="AZ264" s="1746">
        <f t="shared" si="122"/>
        <v>45691</v>
      </c>
      <c r="BA264" s="1817">
        <f t="shared" si="123"/>
        <v>45658</v>
      </c>
      <c r="BB264" s="1817">
        <f t="shared" si="124"/>
        <v>45691</v>
      </c>
      <c r="BC264" s="1817">
        <f t="shared" si="125"/>
        <v>46022</v>
      </c>
      <c r="BD264" s="1818">
        <f t="shared" si="126"/>
        <v>34</v>
      </c>
      <c r="BE264" s="1818">
        <f t="shared" si="127"/>
        <v>331</v>
      </c>
      <c r="BG264" s="1777">
        <f t="shared" si="112"/>
        <v>32.972333316559208</v>
      </c>
      <c r="BH264" s="1777">
        <f t="shared" si="117"/>
        <v>32.862042889845753</v>
      </c>
      <c r="BI264" s="1777">
        <f t="shared" si="117"/>
        <v>33.998250898108758</v>
      </c>
      <c r="BJ264" s="1777">
        <f t="shared" si="117"/>
        <v>35.173743397672837</v>
      </c>
      <c r="BK264" s="1777">
        <f t="shared" si="117"/>
        <v>36.389878653261988</v>
      </c>
      <c r="BL264" s="1777">
        <f t="shared" si="117"/>
        <v>37.648061891721916</v>
      </c>
      <c r="BM264" s="1777">
        <f t="shared" si="117"/>
        <v>3.5178941629443985</v>
      </c>
      <c r="BO264" s="1739">
        <f t="shared" si="128"/>
        <v>2025</v>
      </c>
      <c r="BP264" s="1742">
        <f>_xlfn.IFNA(INDEX($AR264:$AX264,MATCH(BO264,$AR$2:$AX$2,0))*12/365*[11]核心假设及结论!$C$70*$H264,0)</f>
        <v>35977.019178082184</v>
      </c>
      <c r="BR264" s="1739">
        <f t="shared" si="133"/>
        <v>2026</v>
      </c>
      <c r="BS264" s="1742">
        <f>_xlfn.IFNA(INDEX($AR264:$AX264,MATCH(BR264,$AR$2:$AX$2,0))*12/365*[11]核心假设及结论!$C$70*$H264,0)</f>
        <v>26188.765386444011</v>
      </c>
      <c r="BU264" s="1739">
        <f t="shared" si="134"/>
        <v>2027</v>
      </c>
      <c r="BV264" s="1742">
        <f>_xlfn.IFNA(INDEX($AR264:$AX264,MATCH(BU264,$AR$2:$AX$2,0))*12/365*[11]核心假设及结论!$C$70*$H264,0)</f>
        <v>27094.244241131808</v>
      </c>
      <c r="BX264" s="1739">
        <f t="shared" si="135"/>
        <v>2028</v>
      </c>
      <c r="BY264" s="1742">
        <f>_xlfn.IFNA(INDEX($AR264:$AX264,MATCH(BX264,$AR$2:$AX$2,0))*12/365*[11]核心假设及结论!$C$70*$H264,0)</f>
        <v>28031.030106447575</v>
      </c>
      <c r="CA264" s="1739">
        <f t="shared" si="136"/>
        <v>2029</v>
      </c>
      <c r="CB264" s="1742">
        <f>_xlfn.IFNA(INDEX($AR264:$AX264,MATCH(CA264,$AR$2:$AX$2,0))*12/365*[11]核心假设及结论!$C$70*$H264,0)</f>
        <v>29000.205425023054</v>
      </c>
    </row>
    <row r="265" spans="1:80" ht="30" customHeight="1">
      <c r="A265" s="1756" t="s">
        <v>1666</v>
      </c>
      <c r="B265" s="1757" t="s">
        <v>2223</v>
      </c>
      <c r="C265" s="1756" t="s">
        <v>2224</v>
      </c>
      <c r="D265" s="1756" t="s">
        <v>1685</v>
      </c>
      <c r="E265" s="1758" t="s">
        <v>1692</v>
      </c>
      <c r="F265" s="1759"/>
      <c r="G265" s="1760" t="s">
        <v>1661</v>
      </c>
      <c r="H265" s="1761">
        <v>139</v>
      </c>
      <c r="I265" s="1761" t="s">
        <v>1913</v>
      </c>
      <c r="J265" s="1773">
        <v>45496</v>
      </c>
      <c r="K265" s="1773">
        <v>46590</v>
      </c>
      <c r="L265" s="1764">
        <f t="shared" si="118"/>
        <v>36</v>
      </c>
      <c r="M265" s="1774">
        <f t="shared" si="129"/>
        <v>121405.38</v>
      </c>
      <c r="N265" s="1775">
        <f t="shared" si="130"/>
        <v>760.42000000000007</v>
      </c>
      <c r="O265" s="1760">
        <v>105698.38</v>
      </c>
      <c r="P265" s="1776">
        <v>0.18</v>
      </c>
      <c r="Q265" s="1783">
        <f t="shared" si="119"/>
        <v>95</v>
      </c>
      <c r="R265" s="1784">
        <v>13205</v>
      </c>
      <c r="S265" s="1777">
        <f t="shared" si="120"/>
        <v>18</v>
      </c>
      <c r="T265" s="1777">
        <v>2502</v>
      </c>
      <c r="U265" s="1777"/>
      <c r="V265" s="1785">
        <v>26415</v>
      </c>
      <c r="W265" s="1785">
        <f t="shared" si="121"/>
        <v>190.03597122302159</v>
      </c>
      <c r="X265" s="1786">
        <f>(N265+Q265+S265)*H265/V265</f>
        <v>4.5960772288472462</v>
      </c>
      <c r="Y265" s="1789">
        <f>VLOOKUP(E265,[11]核心假设及结论!$C$25:$E$45,3,0)</f>
        <v>0.2</v>
      </c>
      <c r="Z265" s="1790">
        <f t="shared" si="116"/>
        <v>105698.37999999999</v>
      </c>
      <c r="AA265" s="1790">
        <f t="shared" si="116"/>
        <v>108868.97</v>
      </c>
      <c r="AB265" s="1790">
        <f t="shared" si="116"/>
        <v>112124.34999999999</v>
      </c>
      <c r="AC265" s="1790">
        <f t="shared" si="115"/>
        <v>0</v>
      </c>
      <c r="AD265" s="1790">
        <f t="shared" si="115"/>
        <v>0</v>
      </c>
      <c r="AE265" s="1790">
        <f t="shared" si="115"/>
        <v>0</v>
      </c>
      <c r="AF265" s="1790">
        <f t="shared" si="115"/>
        <v>0</v>
      </c>
      <c r="AG265" s="1794">
        <v>760.42</v>
      </c>
      <c r="AH265" s="1794">
        <v>783.23</v>
      </c>
      <c r="AI265" s="1794">
        <v>806.65</v>
      </c>
      <c r="AJ265" s="1794">
        <v>0</v>
      </c>
      <c r="AK265" s="1794">
        <v>0</v>
      </c>
      <c r="AL265" s="1794">
        <v>0</v>
      </c>
      <c r="AM265" s="1794">
        <v>0</v>
      </c>
      <c r="AN265" s="1795"/>
      <c r="AO265" s="1795"/>
      <c r="AP265" s="1808">
        <f t="shared" si="131"/>
        <v>22.980386144236231</v>
      </c>
      <c r="AQ265" s="1810">
        <f>IF(AP265&gt;[11]核心假设及结论!$B$59,[11]核心假设及结论!$D$59,IF(AP265&lt;=[11]核心假设及结论!$B$58,[11]核心假设及结论!$D$57,[11]核心假设及结论!$D$58))</f>
        <v>1</v>
      </c>
      <c r="AR265" s="1809">
        <f t="shared" si="132"/>
        <v>760.42</v>
      </c>
      <c r="AS265" s="1809">
        <f>AH265*(AS$2&lt;=YEAR($K265))+AR265*$AQ265*(AS$2=YEAR($K265)+1)+INDEX([11]核心假设及结论!$E$17:$E$21,MATCH($D265,[11]核心假设及结论!$B$17:$B$21,0))*(AS$2&gt;YEAR($K265)+1)*AR265</f>
        <v>783.23</v>
      </c>
      <c r="AT265" s="1809">
        <f>AI265*(AT$2&lt;=YEAR($K265))+AS265*$AQ265*(AT$2=YEAR($K265)+1)+INDEX([11]核心假设及结论!$E$17:$E$21,MATCH($D265,[11]核心假设及结论!$B$17:$B$21,0))*(AT$2&gt;YEAR($K265)+1)*AS265</f>
        <v>806.65</v>
      </c>
      <c r="AU265" s="1811">
        <f>AJ265*(AU$2&lt;=YEAR($K265))+AT265*$AQ265*(AU$2=YEAR($K265)+1)+INDEX([11]核心假设及结论!$E$17:$E$21,MATCH($D265,[11]核心假设及结论!$B$17:$B$21,0))*(AU$2&gt;YEAR($K265)+1)*AT265</f>
        <v>806.65</v>
      </c>
      <c r="AV265" s="1809">
        <f>AK265*(AV$2&lt;=YEAR($K265))+AU265*$AQ265*(AV$2=YEAR($K265)+1)+INDEX([11]核心假设及结论!$E$17:$E$21,MATCH($D265,[11]核心假设及结论!$B$17:$B$21,0))*(AV$2&gt;YEAR($K265)+1)*AU265</f>
        <v>828.48963817098206</v>
      </c>
      <c r="AW265" s="1809">
        <f>AL265*(AW$2&lt;=YEAR($K265))+AV265*$AQ265*(AW$2=YEAR($K265)+1)+INDEX([11]核心假设及结论!$E$17:$E$21,MATCH($D265,[11]核心假设及结论!$B$17:$B$21,0))*(AW$2&gt;YEAR($K265)+1)*AV265</f>
        <v>850.92057342922556</v>
      </c>
      <c r="AX265" s="1809">
        <f>AM265*(AX$2&lt;=YEAR($K265))+AW265*$AQ265*(AX$2=YEAR($K265)+1)+INDEX([11]核心假设及结论!$E$17:$E$21,MATCH($D265,[11]核心假设及结论!$B$17:$B$21,0))*(AX$2&gt;YEAR($K265)+1)*AW265</f>
        <v>873.95881484240215</v>
      </c>
      <c r="AZ265" s="1746">
        <f t="shared" si="122"/>
        <v>46590</v>
      </c>
      <c r="BA265" s="1817">
        <f t="shared" si="123"/>
        <v>45658</v>
      </c>
      <c r="BB265" s="1817">
        <f t="shared" si="124"/>
        <v>45860</v>
      </c>
      <c r="BC265" s="1817">
        <f t="shared" si="125"/>
        <v>46022</v>
      </c>
      <c r="BD265" s="1818">
        <f t="shared" si="126"/>
        <v>203</v>
      </c>
      <c r="BE265" s="1818">
        <f t="shared" si="127"/>
        <v>162</v>
      </c>
      <c r="BG265" s="1777">
        <f t="shared" si="112"/>
        <v>128.52672092054794</v>
      </c>
      <c r="BH265" s="1777">
        <f t="shared" si="117"/>
        <v>132.3765883068493</v>
      </c>
      <c r="BI265" s="1777">
        <f t="shared" si="117"/>
        <v>134.54921999999996</v>
      </c>
      <c r="BJ265" s="1777">
        <f t="shared" si="117"/>
        <v>136.16604730630411</v>
      </c>
      <c r="BK265" s="1777">
        <f t="shared" si="117"/>
        <v>139.85267372958873</v>
      </c>
      <c r="BL265" s="1777">
        <f t="shared" si="117"/>
        <v>143.63911368681755</v>
      </c>
      <c r="BM265" s="1777">
        <f t="shared" si="117"/>
        <v>81.075602887916901</v>
      </c>
      <c r="BO265" s="1739">
        <f t="shared" si="128"/>
        <v>2027</v>
      </c>
      <c r="BP265" s="1742">
        <f>_xlfn.IFNA(INDEX($AR265:$AX265,MATCH(BO265,$AR$2:$AX$2,0))*12/365*[11]核心假设及结论!$C$70*$H265,0)</f>
        <v>110588.40000000001</v>
      </c>
      <c r="BR265" s="1739">
        <f t="shared" si="133"/>
        <v>2030</v>
      </c>
      <c r="BS265" s="1742">
        <f>_xlfn.IFNA(INDEX($AR265:$AX265,MATCH(BR265,$AR$2:$AX$2,0))*12/365*[11]核心假设及结论!$C$70*$H265,0)</f>
        <v>116657.71368328342</v>
      </c>
      <c r="BU265" s="1739">
        <f t="shared" si="134"/>
        <v>2033</v>
      </c>
      <c r="BV265" s="1742">
        <f>_xlfn.IFNA(INDEX($AR265:$AX265,MATCH(BU265,$AR$2:$AX$2,0))*12/365*[11]核心假设及结论!$C$70*$H265,0)</f>
        <v>0</v>
      </c>
      <c r="BX265" s="1739">
        <f t="shared" si="135"/>
        <v>2036</v>
      </c>
      <c r="BY265" s="1742">
        <f>_xlfn.IFNA(INDEX($AR265:$AX265,MATCH(BX265,$AR$2:$AX$2,0))*12/365*[11]核心假设及结论!$C$70*$H265,0)</f>
        <v>0</v>
      </c>
      <c r="CA265" s="1739">
        <f t="shared" si="136"/>
        <v>2039</v>
      </c>
      <c r="CB265" s="1742">
        <f>_xlfn.IFNA(INDEX($AR265:$AX265,MATCH(CA265,$AR$2:$AX$2,0))*12/365*[11]核心假设及结论!$C$70*$H265,0)</f>
        <v>0</v>
      </c>
    </row>
    <row r="266" spans="1:80" ht="30" customHeight="1">
      <c r="A266" s="1756" t="s">
        <v>1666</v>
      </c>
      <c r="B266" s="1757" t="s">
        <v>2225</v>
      </c>
      <c r="C266" s="1756" t="s">
        <v>2226</v>
      </c>
      <c r="D266" s="1756" t="s">
        <v>1685</v>
      </c>
      <c r="E266" s="1758" t="s">
        <v>1692</v>
      </c>
      <c r="F266" s="1759"/>
      <c r="G266" s="1760" t="s">
        <v>1661</v>
      </c>
      <c r="H266" s="1761">
        <v>139</v>
      </c>
      <c r="I266" s="1761" t="s">
        <v>1913</v>
      </c>
      <c r="J266" s="1773">
        <v>44713</v>
      </c>
      <c r="K266" s="1773">
        <v>45808</v>
      </c>
      <c r="L266" s="1764">
        <f t="shared" si="118"/>
        <v>36</v>
      </c>
      <c r="M266" s="1774">
        <f t="shared" si="129"/>
        <v>91769.189999999988</v>
      </c>
      <c r="N266" s="1775">
        <f t="shared" si="130"/>
        <v>546.58999999999992</v>
      </c>
      <c r="O266" s="1760">
        <v>75976.009999999995</v>
      </c>
      <c r="P266" s="1776">
        <v>0.16</v>
      </c>
      <c r="Q266" s="1783">
        <f t="shared" si="119"/>
        <v>95</v>
      </c>
      <c r="R266" s="1784">
        <v>13205</v>
      </c>
      <c r="S266" s="1777">
        <f t="shared" si="120"/>
        <v>18.619999999999997</v>
      </c>
      <c r="T266" s="1784">
        <v>2588.1799999999998</v>
      </c>
      <c r="U266" s="1777"/>
      <c r="V266" s="1785">
        <v>232042.79833333299</v>
      </c>
      <c r="W266" s="1785">
        <f t="shared" si="121"/>
        <v>1669.3726498800934</v>
      </c>
      <c r="X266" s="1786">
        <f>(N266+Q266)*H266/V266</f>
        <v>0.38433000567373837</v>
      </c>
      <c r="Y266" s="1789">
        <f>VLOOKUP(E266,[11]核心假设及结论!$C$25:$E$45,3,0)</f>
        <v>0.2</v>
      </c>
      <c r="Z266" s="1790">
        <f t="shared" si="116"/>
        <v>75976.010000000009</v>
      </c>
      <c r="AA266" s="1790">
        <f t="shared" si="116"/>
        <v>0</v>
      </c>
      <c r="AB266" s="1790">
        <f t="shared" si="116"/>
        <v>0</v>
      </c>
      <c r="AC266" s="1790">
        <f t="shared" si="115"/>
        <v>0</v>
      </c>
      <c r="AD266" s="1790">
        <f t="shared" si="115"/>
        <v>0</v>
      </c>
      <c r="AE266" s="1790">
        <f t="shared" si="115"/>
        <v>0</v>
      </c>
      <c r="AF266" s="1790">
        <f t="shared" si="115"/>
        <v>0</v>
      </c>
      <c r="AG266" s="1794">
        <v>546.59</v>
      </c>
      <c r="AH266" s="1794">
        <v>0</v>
      </c>
      <c r="AI266" s="1794">
        <v>0</v>
      </c>
      <c r="AJ266" s="1794">
        <v>0</v>
      </c>
      <c r="AK266" s="1794">
        <v>0</v>
      </c>
      <c r="AL266" s="1794">
        <v>0</v>
      </c>
      <c r="AM266" s="1794">
        <v>0</v>
      </c>
      <c r="AN266" s="1797"/>
      <c r="AO266" s="1797"/>
      <c r="AP266" s="1808">
        <f t="shared" si="131"/>
        <v>1.9216500283686917</v>
      </c>
      <c r="AQ266" s="1810">
        <f>IF(AP266&gt;[11]核心假设及结论!$B$59,[11]核心假设及结论!$D$59,IF(AP266&lt;=[11]核心假设及结论!$B$58,[11]核心假设及结论!$D$57,[11]核心假设及结论!$D$58))</f>
        <v>1</v>
      </c>
      <c r="AR266" s="1809">
        <f t="shared" si="132"/>
        <v>546.59</v>
      </c>
      <c r="AS266" s="1811">
        <f>AH266*(AS$2&lt;=YEAR($K266))+AR266*$AQ266*(AS$2=YEAR($K266)+1)+INDEX([11]核心假设及结论!$E$17:$E$21,MATCH($D266,[11]核心假设及结论!$B$17:$B$21,0))*(AS$2&gt;YEAR($K266)+1)*AR266</f>
        <v>546.59</v>
      </c>
      <c r="AT266" s="1809">
        <f>AI266*(AT$2&lt;=YEAR($K266))+AS266*$AQ266*(AT$2=YEAR($K266)+1)+INDEX([11]核心假设及结论!$E$17:$E$21,MATCH($D266,[11]核心假设及结论!$B$17:$B$21,0))*(AT$2&gt;YEAR($K266)+1)*AS266</f>
        <v>561.38864603964191</v>
      </c>
      <c r="AU266" s="1809">
        <f>AJ266*(AU$2&lt;=YEAR($K266))+AT266*$AQ266*(AU$2=YEAR($K266)+1)+INDEX([11]核心假设及结论!$E$17:$E$21,MATCH($D266,[11]核心假设及结论!$B$17:$B$21,0))*(AU$2&gt;YEAR($K266)+1)*AT266</f>
        <v>576.58795788840325</v>
      </c>
      <c r="AV266" s="1809">
        <f>AK266*(AV$2&lt;=YEAR($K266))+AU266*$AQ266*(AV$2=YEAR($K266)+1)+INDEX([11]核心假设及结论!$E$17:$E$21,MATCH($D266,[11]核心假设及结论!$B$17:$B$21,0))*(AV$2&gt;YEAR($K266)+1)*AU266</f>
        <v>592.19878336912996</v>
      </c>
      <c r="AW266" s="1809">
        <f>AL266*(AW$2&lt;=YEAR($K266))+AV266*$AQ266*(AW$2=YEAR($K266)+1)+INDEX([11]核心假设及结论!$E$17:$E$21,MATCH($D266,[11]核心假设及结论!$B$17:$B$21,0))*(AW$2&gt;YEAR($K266)+1)*AV266</f>
        <v>608.23226400395004</v>
      </c>
      <c r="AX266" s="1809">
        <f>AM266*(AX$2&lt;=YEAR($K266))+AW266*$AQ266*(AX$2=YEAR($K266)+1)+INDEX([11]核心假设及结论!$E$17:$E$21,MATCH($D266,[11]核心假设及结论!$B$17:$B$21,0))*(AX$2&gt;YEAR($K266)+1)*AW266</f>
        <v>624.69984296603218</v>
      </c>
      <c r="AZ266" s="1746">
        <f t="shared" si="122"/>
        <v>45808</v>
      </c>
      <c r="BA266" s="1817">
        <f t="shared" si="123"/>
        <v>45658</v>
      </c>
      <c r="BB266" s="1817">
        <f t="shared" si="124"/>
        <v>45808</v>
      </c>
      <c r="BC266" s="1817">
        <f t="shared" si="125"/>
        <v>46022</v>
      </c>
      <c r="BD266" s="1818">
        <f t="shared" si="126"/>
        <v>151</v>
      </c>
      <c r="BE266" s="1818">
        <f t="shared" si="127"/>
        <v>214</v>
      </c>
      <c r="BG266" s="1777">
        <f t="shared" si="112"/>
        <v>91.171212000000011</v>
      </c>
      <c r="BH266" s="1777">
        <f t="shared" si="117"/>
        <v>92.618446603052661</v>
      </c>
      <c r="BI266" s="1777">
        <f t="shared" si="117"/>
        <v>95.126043902710634</v>
      </c>
      <c r="BJ266" s="1777">
        <f t="shared" si="117"/>
        <v>97.701533122907946</v>
      </c>
      <c r="BK266" s="1777">
        <f t="shared" si="117"/>
        <v>100.34675240283671</v>
      </c>
      <c r="BL266" s="1777">
        <f t="shared" si="117"/>
        <v>103.06358964837206</v>
      </c>
      <c r="BM266" s="1777">
        <f t="shared" si="117"/>
        <v>43.107369876210576</v>
      </c>
      <c r="BO266" s="1739">
        <f t="shared" si="128"/>
        <v>2025</v>
      </c>
      <c r="BP266" s="1742">
        <f>_xlfn.IFNA(INDEX($AR266:$AX266,MATCH(BO266,$AR$2:$AX$2,0))*12/365*[11]核心假设及结论!$C$70*$H266,0)</f>
        <v>74935.242739726033</v>
      </c>
      <c r="BR266" s="1739">
        <f t="shared" si="133"/>
        <v>2028</v>
      </c>
      <c r="BS266" s="1742">
        <f>_xlfn.IFNA(INDEX($AR266:$AX266,MATCH(BR266,$AR$2:$AX$2,0))*12/365*[11]核心假设及结论!$C$70*$H266,0)</f>
        <v>79047.839486947123</v>
      </c>
      <c r="BU266" s="1739">
        <f t="shared" si="134"/>
        <v>2031</v>
      </c>
      <c r="BV266" s="1742">
        <f>_xlfn.IFNA(INDEX($AR266:$AX266,MATCH(BU266,$AR$2:$AX$2,0))*12/365*[11]核心假设及结论!$C$70*$H266,0)</f>
        <v>85643.781211014386</v>
      </c>
      <c r="BX266" s="1739">
        <f t="shared" si="135"/>
        <v>2034</v>
      </c>
      <c r="BY266" s="1742">
        <f>_xlfn.IFNA(INDEX($AR266:$AX266,MATCH(BX266,$AR$2:$AX$2,0))*12/365*[11]核心假设及结论!$C$70*$H266,0)</f>
        <v>0</v>
      </c>
      <c r="CA266" s="1739">
        <f t="shared" si="136"/>
        <v>2037</v>
      </c>
      <c r="CB266" s="1742">
        <f>_xlfn.IFNA(INDEX($AR266:$AX266,MATCH(CA266,$AR$2:$AX$2,0))*12/365*[11]核心假设及结论!$C$70*$H266,0)</f>
        <v>0</v>
      </c>
    </row>
    <row r="267" spans="1:80" ht="30" customHeight="1">
      <c r="A267" s="1756" t="s">
        <v>1662</v>
      </c>
      <c r="B267" s="1757" t="s">
        <v>2227</v>
      </c>
      <c r="C267" s="1756" t="s">
        <v>2228</v>
      </c>
      <c r="D267" s="1756" t="s">
        <v>1685</v>
      </c>
      <c r="E267" s="1758" t="s">
        <v>1726</v>
      </c>
      <c r="F267" s="1759"/>
      <c r="G267" s="1760" t="s">
        <v>1661</v>
      </c>
      <c r="H267" s="1761">
        <v>138</v>
      </c>
      <c r="I267" s="1761" t="s">
        <v>1913</v>
      </c>
      <c r="J267" s="1773">
        <v>45257</v>
      </c>
      <c r="K267" s="1773">
        <v>46321</v>
      </c>
      <c r="L267" s="1764">
        <f t="shared" si="118"/>
        <v>35</v>
      </c>
      <c r="M267" s="1774">
        <f t="shared" si="129"/>
        <v>162506.04</v>
      </c>
      <c r="N267" s="1775">
        <f t="shared" si="130"/>
        <v>1064.5800000000002</v>
      </c>
      <c r="O267" s="1760">
        <v>146912.04</v>
      </c>
      <c r="P267" s="1776">
        <v>0.13</v>
      </c>
      <c r="Q267" s="1783">
        <f t="shared" si="119"/>
        <v>95</v>
      </c>
      <c r="R267" s="1784">
        <v>13110</v>
      </c>
      <c r="S267" s="1777">
        <f t="shared" si="120"/>
        <v>18</v>
      </c>
      <c r="T267" s="1777">
        <v>2484</v>
      </c>
      <c r="U267" s="1777"/>
      <c r="V267" s="1785">
        <v>951069.41666666698</v>
      </c>
      <c r="W267" s="1785">
        <f t="shared" si="121"/>
        <v>6891.8073671497605</v>
      </c>
      <c r="X267" s="1786">
        <f>(N267+Q267+S267)*H267/V267</f>
        <v>0.1708666445921008</v>
      </c>
      <c r="Y267" s="1789">
        <f>VLOOKUP(E267,[11]核心假设及结论!$C$25:$E$45,3,0)</f>
        <v>0.1</v>
      </c>
      <c r="Z267" s="1790">
        <f t="shared" si="116"/>
        <v>146912.03999999998</v>
      </c>
      <c r="AA267" s="1790">
        <f t="shared" si="116"/>
        <v>153208.98000000001</v>
      </c>
      <c r="AB267" s="1790">
        <f t="shared" si="116"/>
        <v>0</v>
      </c>
      <c r="AC267" s="1790">
        <f t="shared" si="115"/>
        <v>0</v>
      </c>
      <c r="AD267" s="1790">
        <f t="shared" si="115"/>
        <v>0</v>
      </c>
      <c r="AE267" s="1790">
        <f t="shared" si="115"/>
        <v>0</v>
      </c>
      <c r="AF267" s="1790">
        <f t="shared" si="115"/>
        <v>0</v>
      </c>
      <c r="AG267" s="1794">
        <v>1064.58</v>
      </c>
      <c r="AH267" s="1794">
        <v>1110.21</v>
      </c>
      <c r="AI267" s="1794">
        <v>0</v>
      </c>
      <c r="AJ267" s="1794">
        <v>0</v>
      </c>
      <c r="AK267" s="1794">
        <v>0</v>
      </c>
      <c r="AL267" s="1794">
        <v>0</v>
      </c>
      <c r="AM267" s="1794">
        <v>0</v>
      </c>
      <c r="AN267" s="1795"/>
      <c r="AO267" s="1795"/>
      <c r="AP267" s="1808">
        <f t="shared" si="131"/>
        <v>1.7086664459210079</v>
      </c>
      <c r="AQ267" s="1810">
        <f>IF(AP267&gt;[11]核心假设及结论!$B$59,[11]核心假设及结论!$D$59,IF(AP267&lt;=[11]核心假设及结论!$B$58,[11]核心假设及结论!$D$57,[11]核心假设及结论!$D$58))</f>
        <v>1</v>
      </c>
      <c r="AR267" s="1809">
        <f t="shared" si="132"/>
        <v>1064.58</v>
      </c>
      <c r="AS267" s="1809">
        <f>AH267*(AS$2&lt;=YEAR($K267))+AR267*$AQ267*(AS$2=YEAR($K267)+1)+INDEX([11]核心假设及结论!$E$17:$E$21,MATCH($D267,[11]核心假设及结论!$B$17:$B$21,0))*(AS$2&gt;YEAR($K267)+1)*AR267</f>
        <v>1110.21</v>
      </c>
      <c r="AT267" s="1811">
        <f>AI267*(AT$2&lt;=YEAR($K267))+AS267*$AQ267*(AT$2=YEAR($K267)+1)+INDEX([11]核心假设及结论!$E$17:$E$21,MATCH($D267,[11]核心假设及结论!$B$17:$B$21,0))*(AT$2&gt;YEAR($K267)+1)*AS267</f>
        <v>1110.21</v>
      </c>
      <c r="AU267" s="1809">
        <f>AJ267*(AU$2&lt;=YEAR($K267))+AT267*$AQ267*(AU$2=YEAR($K267)+1)+INDEX([11]核心假设及结论!$E$17:$E$21,MATCH($D267,[11]核心假设及结论!$B$17:$B$21,0))*(AU$2&gt;YEAR($K267)+1)*AT267</f>
        <v>1140.2683706611369</v>
      </c>
      <c r="AV267" s="1809">
        <f>AK267*(AV$2&lt;=YEAR($K267))+AU267*$AQ267*(AV$2=YEAR($K267)+1)+INDEX([11]核心假设及结论!$E$17:$E$21,MATCH($D267,[11]核心假设及结论!$B$17:$B$21,0))*(AV$2&gt;YEAR($K267)+1)*AU267</f>
        <v>1171.1405564084307</v>
      </c>
      <c r="AW267" s="1809">
        <f>AL267*(AW$2&lt;=YEAR($K267))+AV267*$AQ267*(AW$2=YEAR($K267)+1)+INDEX([11]核心假设及结论!$E$17:$E$21,MATCH($D267,[11]核心假设及结论!$B$17:$B$21,0))*(AW$2&gt;YEAR($K267)+1)*AV267</f>
        <v>1202.8485908711132</v>
      </c>
      <c r="AX267" s="1809">
        <f>AM267*(AX$2&lt;=YEAR($K267))+AW267*$AQ267*(AX$2=YEAR($K267)+1)+INDEX([11]核心假设及结论!$E$17:$E$21,MATCH($D267,[11]核心假设及结论!$B$17:$B$21,0))*(AX$2&gt;YEAR($K267)+1)*AW267</f>
        <v>1235.4151042277124</v>
      </c>
      <c r="AZ267" s="1746">
        <f t="shared" si="122"/>
        <v>46321</v>
      </c>
      <c r="BA267" s="1817">
        <f t="shared" si="123"/>
        <v>45658</v>
      </c>
      <c r="BB267" s="1817">
        <f t="shared" si="124"/>
        <v>45956</v>
      </c>
      <c r="BC267" s="1817">
        <f t="shared" si="125"/>
        <v>46022</v>
      </c>
      <c r="BD267" s="1818">
        <f t="shared" si="126"/>
        <v>299</v>
      </c>
      <c r="BE267" s="1818">
        <f t="shared" si="127"/>
        <v>66</v>
      </c>
      <c r="BG267" s="1777">
        <f t="shared" si="112"/>
        <v>177.66079772054795</v>
      </c>
      <c r="BH267" s="1777">
        <f t="shared" si="117"/>
        <v>183.85077600000002</v>
      </c>
      <c r="BI267" s="1777">
        <f t="shared" si="117"/>
        <v>184.75084714514512</v>
      </c>
      <c r="BJ267" s="1777">
        <f t="shared" si="117"/>
        <v>189.75288229475444</v>
      </c>
      <c r="BK267" s="1777">
        <f t="shared" si="117"/>
        <v>194.89034500003979</v>
      </c>
      <c r="BL267" s="1777">
        <f t="shared" si="117"/>
        <v>200.16690189313934</v>
      </c>
      <c r="BM267" s="1777">
        <f t="shared" si="117"/>
        <v>167.59133599115791</v>
      </c>
      <c r="BO267" s="1739">
        <f t="shared" si="128"/>
        <v>2026</v>
      </c>
      <c r="BP267" s="1742">
        <f>_xlfn.IFNA(INDEX($AR267:$AX267,MATCH(BO267,$AR$2:$AX$2,0))*12/365*[11]核心假设及结论!$C$70*$H267,0)</f>
        <v>151110.22684931508</v>
      </c>
      <c r="BR267" s="1739">
        <f t="shared" si="133"/>
        <v>2029</v>
      </c>
      <c r="BS267" s="1742">
        <f>_xlfn.IFNA(INDEX($AR267:$AX267,MATCH(BR267,$AR$2:$AX$2,0))*12/365*[11]核心假设及结论!$C$70*$H267,0)</f>
        <v>159403.45984211189</v>
      </c>
      <c r="BU267" s="1739">
        <f t="shared" si="134"/>
        <v>2032</v>
      </c>
      <c r="BV267" s="1742">
        <f>_xlfn.IFNA(INDEX($AR267:$AX267,MATCH(BU267,$AR$2:$AX$2,0))*12/365*[11]核心假设及结论!$C$70*$H267,0)</f>
        <v>0</v>
      </c>
      <c r="BX267" s="1739">
        <f t="shared" si="135"/>
        <v>2035</v>
      </c>
      <c r="BY267" s="1742">
        <f>_xlfn.IFNA(INDEX($AR267:$AX267,MATCH(BX267,$AR$2:$AX$2,0))*12/365*[11]核心假设及结论!$C$70*$H267,0)</f>
        <v>0</v>
      </c>
      <c r="CA267" s="1739">
        <f t="shared" si="136"/>
        <v>2038</v>
      </c>
      <c r="CB267" s="1742">
        <f>_xlfn.IFNA(INDEX($AR267:$AX267,MATCH(CA267,$AR$2:$AX$2,0))*12/365*[11]核心假设及结论!$C$70*$H267,0)</f>
        <v>0</v>
      </c>
    </row>
    <row r="268" spans="1:80" ht="30" customHeight="1">
      <c r="A268" s="1756" t="s">
        <v>1687</v>
      </c>
      <c r="B268" s="1757" t="s">
        <v>2229</v>
      </c>
      <c r="C268" s="1756" t="s">
        <v>2230</v>
      </c>
      <c r="D268" s="1756" t="s">
        <v>1676</v>
      </c>
      <c r="E268" s="1758" t="s">
        <v>1677</v>
      </c>
      <c r="F268" s="1759"/>
      <c r="G268" s="1760" t="s">
        <v>1661</v>
      </c>
      <c r="H268" s="1761">
        <v>138</v>
      </c>
      <c r="I268" s="1761" t="s">
        <v>1913</v>
      </c>
      <c r="J268" s="1773">
        <v>45170</v>
      </c>
      <c r="K268" s="1773">
        <v>46077</v>
      </c>
      <c r="L268" s="1764">
        <f t="shared" si="118"/>
        <v>30</v>
      </c>
      <c r="M268" s="1774">
        <f t="shared" si="129"/>
        <v>45267.656999999999</v>
      </c>
      <c r="N268" s="1775">
        <f t="shared" si="130"/>
        <v>219.41000000000003</v>
      </c>
      <c r="O268" s="1760">
        <v>30278.58</v>
      </c>
      <c r="P268" s="1776">
        <v>0.1</v>
      </c>
      <c r="Q268" s="1783">
        <f t="shared" si="119"/>
        <v>90</v>
      </c>
      <c r="R268" s="1784">
        <v>12420</v>
      </c>
      <c r="S268" s="1777">
        <f t="shared" si="120"/>
        <v>18.616500000000002</v>
      </c>
      <c r="T268" s="1784">
        <v>2569.0770000000002</v>
      </c>
      <c r="U268" s="1777"/>
      <c r="V268" s="1785">
        <v>166214.88833333299</v>
      </c>
      <c r="W268" s="1785">
        <f t="shared" si="121"/>
        <v>1204.455712560384</v>
      </c>
      <c r="X268" s="1786">
        <f>(N268+Q268)*H268/V268</f>
        <v>0.25688781810189482</v>
      </c>
      <c r="Y268" s="1789">
        <f>VLOOKUP(E268,[11]核心假设及结论!$C$25:$E$45,3,0)</f>
        <v>0.25</v>
      </c>
      <c r="Z268" s="1790">
        <f t="shared" si="116"/>
        <v>30278.579999999998</v>
      </c>
      <c r="AA268" s="1790">
        <f t="shared" si="116"/>
        <v>31204.560000000001</v>
      </c>
      <c r="AB268" s="1790">
        <f t="shared" si="116"/>
        <v>0</v>
      </c>
      <c r="AC268" s="1790">
        <f t="shared" si="115"/>
        <v>0</v>
      </c>
      <c r="AD268" s="1790">
        <f t="shared" si="115"/>
        <v>0</v>
      </c>
      <c r="AE268" s="1790">
        <f t="shared" si="115"/>
        <v>0</v>
      </c>
      <c r="AF268" s="1790">
        <f t="shared" si="115"/>
        <v>0</v>
      </c>
      <c r="AG268" s="1794">
        <v>219.41</v>
      </c>
      <c r="AH268" s="1794">
        <v>226.12</v>
      </c>
      <c r="AI268" s="1794">
        <v>0</v>
      </c>
      <c r="AJ268" s="1794">
        <v>0</v>
      </c>
      <c r="AK268" s="1794">
        <v>0</v>
      </c>
      <c r="AL268" s="1794">
        <v>0</v>
      </c>
      <c r="AM268" s="1794">
        <v>0</v>
      </c>
      <c r="AN268" s="1797"/>
      <c r="AO268" s="1797"/>
      <c r="AP268" s="1808">
        <f t="shared" si="131"/>
        <v>1.0275512724075793</v>
      </c>
      <c r="AQ268" s="1808">
        <f>IF(AP268&gt;[11]核心假设及结论!$B$65,[11]核心假设及结论!$D$65,IF(AP268&lt;=[11]核心假设及结论!$B$64,[11]核心假设及结论!$D$63,[11]核心假设及结论!$D$64))</f>
        <v>0.754</v>
      </c>
      <c r="AR268" s="1809">
        <f t="shared" si="132"/>
        <v>219.41</v>
      </c>
      <c r="AS268" s="1809">
        <f>AH268*(AS$2&lt;=YEAR($K268))+AR268*$AQ268*(AS$2=YEAR($K268)+1)+INDEX([11]核心假设及结论!$E$17:$E$21,MATCH($D268,[11]核心假设及结论!$B$17:$B$21,0))*(AS$2&gt;YEAR($K268)+1)*AR268</f>
        <v>226.12</v>
      </c>
      <c r="AT268" s="1811">
        <f>AI268*(AT$2&lt;=YEAR($K268))+AS268*$AQ268*(AT$2=YEAR($K268)+1)+INDEX([11]核心假设及结论!$E$17:$E$21,MATCH($D268,[11]核心假设及结论!$B$17:$B$21,0))*(AT$2&gt;YEAR($K268)+1)*AS268</f>
        <v>170.49448000000001</v>
      </c>
      <c r="AU268" s="1809">
        <f>AJ268*(AU$2&lt;=YEAR($K268))+AT268*$AQ268*(AU$2=YEAR($K268)+1)+INDEX([11]核心假设及结论!$E$17:$E$21,MATCH($D268,[11]核心假设及结论!$B$17:$B$21,0))*(AU$2&gt;YEAR($K268)+1)*AT268</f>
        <v>176.38934156384076</v>
      </c>
      <c r="AV268" s="1809">
        <f>AK268*(AV$2&lt;=YEAR($K268))+AU268*$AQ268*(AV$2=YEAR($K268)+1)+INDEX([11]核心假设及结论!$E$17:$E$21,MATCH($D268,[11]核心假设及结论!$B$17:$B$21,0))*(AV$2&gt;YEAR($K268)+1)*AU268</f>
        <v>182.48801848203695</v>
      </c>
      <c r="AW268" s="1809">
        <f>AL268*(AW$2&lt;=YEAR($K268))+AV268*$AQ268*(AW$2=YEAR($K268)+1)+INDEX([11]核心假设及结论!$E$17:$E$21,MATCH($D268,[11]核心假设及结论!$B$17:$B$21,0))*(AW$2&gt;YEAR($K268)+1)*AV268</f>
        <v>188.79755768829875</v>
      </c>
      <c r="AX268" s="1809">
        <f>AM268*(AX$2&lt;=YEAR($K268))+AW268*$AQ268*(AX$2=YEAR($K268)+1)+INDEX([11]核心假设及结论!$E$17:$E$21,MATCH($D268,[11]核心假设及结论!$B$17:$B$21,0))*(AX$2&gt;YEAR($K268)+1)*AW268</f>
        <v>195.32524976468596</v>
      </c>
      <c r="AZ268" s="1746">
        <f t="shared" si="122"/>
        <v>46077</v>
      </c>
      <c r="BA268" s="1817">
        <f t="shared" si="123"/>
        <v>45658</v>
      </c>
      <c r="BB268" s="1817">
        <f t="shared" si="124"/>
        <v>45712</v>
      </c>
      <c r="BC268" s="1817">
        <f t="shared" si="125"/>
        <v>46022</v>
      </c>
      <c r="BD268" s="1818">
        <f t="shared" si="126"/>
        <v>55</v>
      </c>
      <c r="BE268" s="1818">
        <f t="shared" si="127"/>
        <v>310</v>
      </c>
      <c r="BG268" s="1777">
        <f t="shared" si="112"/>
        <v>37.278034520547941</v>
      </c>
      <c r="BH268" s="1777">
        <f t="shared" si="117"/>
        <v>29.621933110356167</v>
      </c>
      <c r="BI268" s="1777">
        <f t="shared" si="117"/>
        <v>29.06297797907213</v>
      </c>
      <c r="BJ268" s="1777">
        <f t="shared" si="117"/>
        <v>30.067832985636471</v>
      </c>
      <c r="BK268" s="1777">
        <f t="shared" si="117"/>
        <v>31.107430941975064</v>
      </c>
      <c r="BL268" s="1777">
        <f t="shared" si="117"/>
        <v>32.182973088616286</v>
      </c>
      <c r="BM268" s="1777">
        <f t="shared" si="117"/>
        <v>4.8740339037171507</v>
      </c>
      <c r="BO268" s="1739">
        <f t="shared" si="128"/>
        <v>2026</v>
      </c>
      <c r="BP268" s="1742">
        <f>_xlfn.IFNA(INDEX($AR268:$AX268,MATCH(BO268,$AR$2:$AX$2,0))*12/365*[11]核心假设及结论!$C$70*$H268,0)</f>
        <v>30777.100273972606</v>
      </c>
      <c r="BR268" s="1739">
        <f t="shared" si="133"/>
        <v>2029</v>
      </c>
      <c r="BS268" s="1742">
        <f>_xlfn.IFNA(INDEX($AR268:$AX268,MATCH(BR268,$AR$2:$AX$2,0))*12/365*[11]核心假设及结论!$C$70*$H268,0)</f>
        <v>24838.36920051396</v>
      </c>
      <c r="BU268" s="1739">
        <f t="shared" si="134"/>
        <v>2032</v>
      </c>
      <c r="BV268" s="1742">
        <f>_xlfn.IFNA(INDEX($AR268:$AX268,MATCH(BU268,$AR$2:$AX$2,0))*12/365*[11]核心假设及结论!$C$70*$H268,0)</f>
        <v>0</v>
      </c>
      <c r="BX268" s="1739">
        <f t="shared" si="135"/>
        <v>2035</v>
      </c>
      <c r="BY268" s="1742">
        <f>_xlfn.IFNA(INDEX($AR268:$AX268,MATCH(BX268,$AR$2:$AX$2,0))*12/365*[11]核心假设及结论!$C$70*$H268,0)</f>
        <v>0</v>
      </c>
      <c r="CA268" s="1739">
        <f t="shared" si="136"/>
        <v>2038</v>
      </c>
      <c r="CB268" s="1742">
        <f>_xlfn.IFNA(INDEX($AR268:$AX268,MATCH(CA268,$AR$2:$AX$2,0))*12/365*[11]核心假设及结论!$C$70*$H268,0)</f>
        <v>0</v>
      </c>
    </row>
    <row r="269" spans="1:80" ht="30" customHeight="1">
      <c r="A269" s="1756" t="s">
        <v>1666</v>
      </c>
      <c r="B269" s="1757" t="s">
        <v>2231</v>
      </c>
      <c r="C269" s="1756" t="s">
        <v>2232</v>
      </c>
      <c r="D269" s="1756" t="s">
        <v>1685</v>
      </c>
      <c r="E269" s="1758" t="s">
        <v>1692</v>
      </c>
      <c r="F269" s="1759"/>
      <c r="G269" s="1760" t="s">
        <v>1661</v>
      </c>
      <c r="H269" s="1761">
        <v>137</v>
      </c>
      <c r="I269" s="1761" t="s">
        <v>1913</v>
      </c>
      <c r="J269" s="1773">
        <v>45017</v>
      </c>
      <c r="K269" s="1773">
        <v>46643</v>
      </c>
      <c r="L269" s="1764">
        <f t="shared" si="118"/>
        <v>54</v>
      </c>
      <c r="M269" s="1774">
        <f t="shared" si="129"/>
        <v>116200.66</v>
      </c>
      <c r="N269" s="1775">
        <f t="shared" si="130"/>
        <v>734.56000000000006</v>
      </c>
      <c r="O269" s="1760">
        <v>100634.72</v>
      </c>
      <c r="P269" s="1776">
        <v>0.17</v>
      </c>
      <c r="Q269" s="1783">
        <f t="shared" si="119"/>
        <v>95</v>
      </c>
      <c r="R269" s="1784">
        <v>13015</v>
      </c>
      <c r="S269" s="1777">
        <f t="shared" si="120"/>
        <v>18.62</v>
      </c>
      <c r="T269" s="1784">
        <v>2550.94</v>
      </c>
      <c r="U269" s="1777"/>
      <c r="V269" s="1785">
        <v>336658.41666666698</v>
      </c>
      <c r="W269" s="1785">
        <f t="shared" si="121"/>
        <v>2457.3607055961093</v>
      </c>
      <c r="X269" s="1786">
        <f>(N269+Q269+S269)*H269/V269</f>
        <v>0.34515893335009912</v>
      </c>
      <c r="Y269" s="1789">
        <f>VLOOKUP(E269,[11]核心假设及结论!$C$25:$E$45,3,0)</f>
        <v>0.2</v>
      </c>
      <c r="Z269" s="1790">
        <f t="shared" si="116"/>
        <v>104177.54</v>
      </c>
      <c r="AA269" s="1790">
        <f t="shared" si="116"/>
        <v>109386.28000000001</v>
      </c>
      <c r="AB269" s="1790">
        <f t="shared" si="116"/>
        <v>114855.32</v>
      </c>
      <c r="AC269" s="1790">
        <f t="shared" si="115"/>
        <v>0</v>
      </c>
      <c r="AD269" s="1790">
        <f t="shared" si="115"/>
        <v>0</v>
      </c>
      <c r="AE269" s="1790">
        <f t="shared" si="115"/>
        <v>0</v>
      </c>
      <c r="AF269" s="1790">
        <f t="shared" si="115"/>
        <v>0</v>
      </c>
      <c r="AG269" s="1794">
        <v>760.42</v>
      </c>
      <c r="AH269" s="1794">
        <v>798.44</v>
      </c>
      <c r="AI269" s="1794">
        <v>838.36</v>
      </c>
      <c r="AJ269" s="1794">
        <v>0</v>
      </c>
      <c r="AK269" s="1794">
        <v>0</v>
      </c>
      <c r="AL269" s="1794">
        <v>0</v>
      </c>
      <c r="AM269" s="1794">
        <v>0</v>
      </c>
      <c r="AN269" s="1797"/>
      <c r="AO269" s="1797"/>
      <c r="AP269" s="1808">
        <f t="shared" si="131"/>
        <v>1.7257946667504955</v>
      </c>
      <c r="AQ269" s="1810">
        <f>IF(AP269&gt;[11]核心假设及结论!$B$59,[11]核心假设及结论!$D$59,IF(AP269&lt;=[11]核心假设及结论!$B$58,[11]核心假设及结论!$D$57,[11]核心假设及结论!$D$58))</f>
        <v>1</v>
      </c>
      <c r="AR269" s="1809">
        <f t="shared" si="132"/>
        <v>760.42</v>
      </c>
      <c r="AS269" s="1809">
        <f>AH269*(AS$2&lt;=YEAR($K269))+AR269*$AQ269*(AS$2=YEAR($K269)+1)+INDEX([11]核心假设及结论!$E$17:$E$21,MATCH($D269,[11]核心假设及结论!$B$17:$B$21,0))*(AS$2&gt;YEAR($K269)+1)*AR269</f>
        <v>798.44</v>
      </c>
      <c r="AT269" s="1809">
        <f>AI269*(AT$2&lt;=YEAR($K269))+AS269*$AQ269*(AT$2=YEAR($K269)+1)+INDEX([11]核心假设及结论!$E$17:$E$21,MATCH($D269,[11]核心假设及结论!$B$17:$B$21,0))*(AT$2&gt;YEAR($K269)+1)*AS269</f>
        <v>838.36</v>
      </c>
      <c r="AU269" s="1811">
        <f>AJ269*(AU$2&lt;=YEAR($K269))+AT269*$AQ269*(AU$2=YEAR($K269)+1)+INDEX([11]核心假设及结论!$E$17:$E$21,MATCH($D269,[11]核心假设及结论!$B$17:$B$21,0))*(AU$2&gt;YEAR($K269)+1)*AT269</f>
        <v>838.36</v>
      </c>
      <c r="AV269" s="1809">
        <f>AK269*(AV$2&lt;=YEAR($K269))+AU269*$AQ269*(AV$2=YEAR($K269)+1)+INDEX([11]核心假设及结论!$E$17:$E$21,MATCH($D269,[11]核心假设及结论!$B$17:$B$21,0))*(AV$2&gt;YEAR($K269)+1)*AU269</f>
        <v>861.0581702808214</v>
      </c>
      <c r="AW269" s="1809">
        <f>AL269*(AW$2&lt;=YEAR($K269))+AV269*$AQ269*(AW$2=YEAR($K269)+1)+INDEX([11]核心假设及结论!$E$17:$E$21,MATCH($D269,[11]核心假设及结论!$B$17:$B$21,0))*(AW$2&gt;YEAR($K269)+1)*AV269</f>
        <v>884.37088196879142</v>
      </c>
      <c r="AX269" s="1809">
        <f>AM269*(AX$2&lt;=YEAR($K269))+AW269*$AQ269*(AX$2=YEAR($K269)+1)+INDEX([11]核心假设及结论!$E$17:$E$21,MATCH($D269,[11]核心假设及结论!$B$17:$B$21,0))*(AX$2&gt;YEAR($K269)+1)*AW269</f>
        <v>908.31477345971155</v>
      </c>
      <c r="AZ269" s="1746">
        <f t="shared" si="122"/>
        <v>46643</v>
      </c>
      <c r="BA269" s="1817">
        <f t="shared" si="123"/>
        <v>45658</v>
      </c>
      <c r="BB269" s="1817">
        <f t="shared" si="124"/>
        <v>45913</v>
      </c>
      <c r="BC269" s="1817">
        <f t="shared" si="125"/>
        <v>46022</v>
      </c>
      <c r="BD269" s="1818">
        <f t="shared" si="126"/>
        <v>256</v>
      </c>
      <c r="BE269" s="1818">
        <f t="shared" si="127"/>
        <v>109</v>
      </c>
      <c r="BG269" s="1777">
        <f t="shared" si="112"/>
        <v>126.87963208767123</v>
      </c>
      <c r="BH269" s="1777">
        <f t="shared" si="117"/>
        <v>133.22340019726028</v>
      </c>
      <c r="BI269" s="1777">
        <f t="shared" si="117"/>
        <v>137.82638400000002</v>
      </c>
      <c r="BJ269" s="1777">
        <f t="shared" si="117"/>
        <v>138.94074600592936</v>
      </c>
      <c r="BK269" s="1777">
        <f t="shared" si="117"/>
        <v>142.70249598420472</v>
      </c>
      <c r="BL269" s="1777">
        <f t="shared" si="117"/>
        <v>146.56609342843831</v>
      </c>
      <c r="BM269" s="1777">
        <f t="shared" si="117"/>
        <v>104.73342159379399</v>
      </c>
      <c r="BO269" s="1739">
        <f t="shared" si="128"/>
        <v>2027</v>
      </c>
      <c r="BP269" s="1742">
        <f>_xlfn.IFNA(INDEX($AR269:$AX269,MATCH(BO269,$AR$2:$AX$2,0))*12/365*[11]核心假设及结论!$C$70*$H269,0)</f>
        <v>113281.95945205478</v>
      </c>
      <c r="BR269" s="1739">
        <f t="shared" si="133"/>
        <v>2032</v>
      </c>
      <c r="BS269" s="1742">
        <f>_xlfn.IFNA(INDEX($AR269:$AX269,MATCH(BR269,$AR$2:$AX$2,0))*12/365*[11]核心假设及结论!$C$70*$H269,0)</f>
        <v>0</v>
      </c>
      <c r="BU269" s="1739">
        <f t="shared" si="134"/>
        <v>2037</v>
      </c>
      <c r="BV269" s="1742">
        <f>_xlfn.IFNA(INDEX($AR269:$AX269,MATCH(BU269,$AR$2:$AX$2,0))*12/365*[11]核心假设及结论!$C$70*$H269,0)</f>
        <v>0</v>
      </c>
      <c r="BX269" s="1739">
        <f t="shared" si="135"/>
        <v>2042</v>
      </c>
      <c r="BY269" s="1742">
        <f>_xlfn.IFNA(INDEX($AR269:$AX269,MATCH(BX269,$AR$2:$AX$2,0))*12/365*[11]核心假设及结论!$C$70*$H269,0)</f>
        <v>0</v>
      </c>
      <c r="CA269" s="1739">
        <f t="shared" si="136"/>
        <v>2047</v>
      </c>
      <c r="CB269" s="1742">
        <f>_xlfn.IFNA(INDEX($AR269:$AX269,MATCH(CA269,$AR$2:$AX$2,0))*12/365*[11]核心假设及结论!$C$70*$H269,0)</f>
        <v>0</v>
      </c>
    </row>
    <row r="270" spans="1:80" ht="30" customHeight="1">
      <c r="A270" s="1756" t="s">
        <v>1662</v>
      </c>
      <c r="B270" s="1757" t="s">
        <v>2233</v>
      </c>
      <c r="C270" s="1756" t="s">
        <v>2234</v>
      </c>
      <c r="D270" s="1756" t="s">
        <v>1685</v>
      </c>
      <c r="E270" s="1758" t="s">
        <v>1721</v>
      </c>
      <c r="F270" s="1759"/>
      <c r="G270" s="1760" t="s">
        <v>1661</v>
      </c>
      <c r="H270" s="1761">
        <v>136</v>
      </c>
      <c r="I270" s="1761" t="s">
        <v>1913</v>
      </c>
      <c r="J270" s="1773">
        <v>45384</v>
      </c>
      <c r="K270" s="1773">
        <v>45747</v>
      </c>
      <c r="L270" s="1764">
        <f t="shared" si="118"/>
        <v>12</v>
      </c>
      <c r="M270" s="1774">
        <f t="shared" si="129"/>
        <v>139468</v>
      </c>
      <c r="N270" s="1775">
        <f t="shared" si="130"/>
        <v>912.5</v>
      </c>
      <c r="O270" s="1760">
        <v>124100</v>
      </c>
      <c r="P270" s="1776">
        <v>0.16</v>
      </c>
      <c r="Q270" s="1783">
        <f t="shared" si="119"/>
        <v>95</v>
      </c>
      <c r="R270" s="1784">
        <v>12920</v>
      </c>
      <c r="S270" s="1777">
        <f t="shared" si="120"/>
        <v>18</v>
      </c>
      <c r="T270" s="1784">
        <v>2448</v>
      </c>
      <c r="U270" s="1777"/>
      <c r="V270" s="1785">
        <v>689807.14583333302</v>
      </c>
      <c r="W270" s="1785">
        <f t="shared" si="121"/>
        <v>5072.1113664215663</v>
      </c>
      <c r="X270" s="1786">
        <f>(N270+Q270)*H270/V270</f>
        <v>0.19863522845138218</v>
      </c>
      <c r="Y270" s="1789">
        <f>VLOOKUP(E270,[11]核心假设及结论!$C$25:$E$45,3,0)</f>
        <v>0.25</v>
      </c>
      <c r="Z270" s="1790">
        <f t="shared" si="116"/>
        <v>124100</v>
      </c>
      <c r="AA270" s="1790">
        <f t="shared" si="116"/>
        <v>0</v>
      </c>
      <c r="AB270" s="1790">
        <f t="shared" si="116"/>
        <v>0</v>
      </c>
      <c r="AC270" s="1790">
        <f t="shared" si="115"/>
        <v>0</v>
      </c>
      <c r="AD270" s="1790">
        <f t="shared" si="115"/>
        <v>0</v>
      </c>
      <c r="AE270" s="1790">
        <f t="shared" si="115"/>
        <v>0</v>
      </c>
      <c r="AF270" s="1790">
        <f t="shared" si="115"/>
        <v>0</v>
      </c>
      <c r="AG270" s="1794">
        <v>912.5</v>
      </c>
      <c r="AH270" s="1794">
        <v>0</v>
      </c>
      <c r="AI270" s="1794">
        <v>0</v>
      </c>
      <c r="AJ270" s="1794">
        <v>0</v>
      </c>
      <c r="AK270" s="1794">
        <v>0</v>
      </c>
      <c r="AL270" s="1794">
        <v>0</v>
      </c>
      <c r="AM270" s="1794">
        <v>0</v>
      </c>
      <c r="AN270" s="1797"/>
      <c r="AO270" s="1797"/>
      <c r="AP270" s="1808">
        <f t="shared" si="131"/>
        <v>0.79454091380552871</v>
      </c>
      <c r="AQ270" s="1810">
        <f>IF(AP270&gt;[11]核心假设及结论!$B$59,[11]核心假设及结论!$D$59,IF(AP270&lt;=[11]核心假设及结论!$B$58,[11]核心假设及结论!$D$57,[11]核心假设及结论!$D$58))</f>
        <v>1.0342640124442799</v>
      </c>
      <c r="AR270" s="1809">
        <f t="shared" si="132"/>
        <v>912.5</v>
      </c>
      <c r="AS270" s="1811">
        <f>AH270*(AS$2&lt;=YEAR($K270))+AR270*$AQ270*(AS$2=YEAR($K270)+1)+INDEX([11]核心假设及结论!$E$17:$E$21,MATCH($D270,[11]核心假设及结论!$B$17:$B$21,0))*(AS$2&gt;YEAR($K270)+1)*AR270</f>
        <v>943.76591135540536</v>
      </c>
      <c r="AT270" s="1809">
        <f>AI270*(AT$2&lt;=YEAR($K270))+AS270*$AQ270*(AT$2=YEAR($K270)+1)+INDEX([11]核心假设及结论!$E$17:$E$21,MATCH($D270,[11]核心假设及结论!$B$17:$B$21,0))*(AT$2&gt;YEAR($K270)+1)*AS270</f>
        <v>969.31789303532753</v>
      </c>
      <c r="AU270" s="1809">
        <f>AJ270*(AU$2&lt;=YEAR($K270))+AT270*$AQ270*(AU$2=YEAR($K270)+1)+INDEX([11]核心假设及结论!$E$17:$E$21,MATCH($D270,[11]核心假设及结论!$B$17:$B$21,0))*(AU$2&gt;YEAR($K270)+1)*AT270</f>
        <v>995.56168161345965</v>
      </c>
      <c r="AV270" s="1809">
        <f>AK270*(AV$2&lt;=YEAR($K270))+AU270*$AQ270*(AV$2=YEAR($K270)+1)+INDEX([11]核心假设及结论!$E$17:$E$21,MATCH($D270,[11]核心假设及结论!$B$17:$B$21,0))*(AV$2&gt;YEAR($K270)+1)*AU270</f>
        <v>1022.516007409446</v>
      </c>
      <c r="AW270" s="1809">
        <f>AL270*(AW$2&lt;=YEAR($K270))+AV270*$AQ270*(AW$2=YEAR($K270)+1)+INDEX([11]核心假设及结论!$E$17:$E$21,MATCH($D270,[11]核心假设及结论!$B$17:$B$21,0))*(AW$2&gt;YEAR($K270)+1)*AV270</f>
        <v>1050.2001078568019</v>
      </c>
      <c r="AX270" s="1809">
        <f>AM270*(AX$2&lt;=YEAR($K270))+AW270*$AQ270*(AX$2=YEAR($K270)+1)+INDEX([11]核心假设及结论!$E$17:$E$21,MATCH($D270,[11]核心假设及结论!$B$17:$B$21,0))*(AX$2&gt;YEAR($K270)+1)*AW270</f>
        <v>1078.6337412327628</v>
      </c>
      <c r="AZ270" s="1746">
        <f t="shared" si="122"/>
        <v>45747</v>
      </c>
      <c r="BA270" s="1817">
        <f t="shared" si="123"/>
        <v>45658</v>
      </c>
      <c r="BB270" s="1817">
        <f t="shared" si="124"/>
        <v>45747</v>
      </c>
      <c r="BC270" s="1817">
        <f t="shared" si="125"/>
        <v>46022</v>
      </c>
      <c r="BD270" s="1818">
        <f t="shared" si="126"/>
        <v>90</v>
      </c>
      <c r="BE270" s="1818">
        <f t="shared" si="127"/>
        <v>275</v>
      </c>
      <c r="BG270" s="1777">
        <f t="shared" si="112"/>
        <v>152.7644221962482</v>
      </c>
      <c r="BH270" s="1777">
        <f t="shared" si="117"/>
        <v>157.16444039839368</v>
      </c>
      <c r="BI270" s="1777">
        <f t="shared" si="117"/>
        <v>161.41958762661631</v>
      </c>
      <c r="BJ270" s="1777">
        <f t="shared" si="117"/>
        <v>165.78994080020391</v>
      </c>
      <c r="BK270" s="1777">
        <f t="shared" si="117"/>
        <v>170.27861906148823</v>
      </c>
      <c r="BL270" s="1777">
        <f t="shared" si="117"/>
        <v>174.88882600199204</v>
      </c>
      <c r="BM270" s="1777">
        <f t="shared" si="117"/>
        <v>43.405403811580335</v>
      </c>
      <c r="BO270" s="1739">
        <f t="shared" si="128"/>
        <v>2025</v>
      </c>
      <c r="BP270" s="1742">
        <f>_xlfn.IFNA(INDEX($AR270:$AX270,MATCH(BO270,$AR$2:$AX$2,0))*12/365*[11]核心假设及结论!$C$70*$H270,0)</f>
        <v>122400</v>
      </c>
      <c r="BR270" s="1739">
        <f t="shared" si="133"/>
        <v>2026</v>
      </c>
      <c r="BS270" s="1742">
        <f>_xlfn.IFNA(INDEX($AR270:$AX270,MATCH(BR270,$AR$2:$AX$2,0))*12/365*[11]核心假设及结论!$C$70*$H270,0)</f>
        <v>126593.91512317985</v>
      </c>
      <c r="BU270" s="1739">
        <f t="shared" si="134"/>
        <v>2027</v>
      </c>
      <c r="BV270" s="1742">
        <f>_xlfn.IFNA(INDEX($AR270:$AX270,MATCH(BU270,$AR$2:$AX$2,0))*12/365*[11]核心假设及结论!$C$70*$H270,0)</f>
        <v>130021.38093975243</v>
      </c>
      <c r="BX270" s="1739">
        <f t="shared" si="135"/>
        <v>2028</v>
      </c>
      <c r="BY270" s="1742">
        <f>_xlfn.IFNA(INDEX($AR270:$AX270,MATCH(BX270,$AR$2:$AX$2,0))*12/365*[11]核心假设及结论!$C$70*$H270,0)</f>
        <v>133541.64364875338</v>
      </c>
      <c r="CA270" s="1739">
        <f t="shared" si="136"/>
        <v>2029</v>
      </c>
      <c r="CB270" s="1742">
        <f>_xlfn.IFNA(INDEX($AR270:$AX270,MATCH(CA270,$AR$2:$AX$2,0))*12/365*[11]核心假设及结论!$C$70*$H270,0)</f>
        <v>137157.21567881227</v>
      </c>
    </row>
    <row r="271" spans="1:80" ht="30" customHeight="1">
      <c r="A271" s="1756" t="s">
        <v>1687</v>
      </c>
      <c r="B271" s="1757" t="s">
        <v>2235</v>
      </c>
      <c r="C271" s="1756" t="s">
        <v>2236</v>
      </c>
      <c r="D271" s="1756" t="s">
        <v>1698</v>
      </c>
      <c r="E271" s="1758" t="s">
        <v>1698</v>
      </c>
      <c r="F271" s="1759"/>
      <c r="G271" s="1760" t="s">
        <v>1661</v>
      </c>
      <c r="H271" s="1761">
        <v>135</v>
      </c>
      <c r="I271" s="1761" t="s">
        <v>1913</v>
      </c>
      <c r="J271" s="1773">
        <v>44221</v>
      </c>
      <c r="K271" s="1773">
        <v>46411</v>
      </c>
      <c r="L271" s="1764">
        <f t="shared" si="118"/>
        <v>72</v>
      </c>
      <c r="M271" s="1774">
        <f t="shared" si="129"/>
        <v>64266.75</v>
      </c>
      <c r="N271" s="1775">
        <f t="shared" si="130"/>
        <v>367.43</v>
      </c>
      <c r="O271" s="1760">
        <v>49603.05</v>
      </c>
      <c r="P271" s="1776">
        <v>0.15</v>
      </c>
      <c r="Q271" s="1783">
        <f t="shared" si="119"/>
        <v>90</v>
      </c>
      <c r="R271" s="1784">
        <v>12150</v>
      </c>
      <c r="S271" s="1777">
        <f t="shared" si="120"/>
        <v>18.619999999999997</v>
      </c>
      <c r="T271" s="1777">
        <v>2513.6999999999998</v>
      </c>
      <c r="U271" s="1777"/>
      <c r="V271" s="1785">
        <v>441660.47416666697</v>
      </c>
      <c r="W271" s="1785">
        <f t="shared" si="121"/>
        <v>3271.5590679012366</v>
      </c>
      <c r="X271" s="1786">
        <f>(N271+Q271)*H271/V271</f>
        <v>0.13982018679963784</v>
      </c>
      <c r="Y271" s="1789">
        <f>VLOOKUP(E271,[11]核心假设及结论!$C$25:$E$45,3,0)</f>
        <v>0.2</v>
      </c>
      <c r="Z271" s="1790">
        <f t="shared" si="116"/>
        <v>49603.05</v>
      </c>
      <c r="AA271" s="1790">
        <f t="shared" si="116"/>
        <v>51328.35</v>
      </c>
      <c r="AB271" s="1790">
        <f t="shared" si="116"/>
        <v>53381.700000000004</v>
      </c>
      <c r="AC271" s="1790">
        <f t="shared" si="115"/>
        <v>0</v>
      </c>
      <c r="AD271" s="1790">
        <f t="shared" si="115"/>
        <v>0</v>
      </c>
      <c r="AE271" s="1790">
        <f t="shared" si="115"/>
        <v>0</v>
      </c>
      <c r="AF271" s="1790">
        <f t="shared" si="115"/>
        <v>0</v>
      </c>
      <c r="AG271" s="1794">
        <v>367.43</v>
      </c>
      <c r="AH271" s="1794">
        <v>380.21</v>
      </c>
      <c r="AI271" s="1794">
        <v>395.42</v>
      </c>
      <c r="AJ271" s="1794">
        <v>0</v>
      </c>
      <c r="AK271" s="1794">
        <v>0</v>
      </c>
      <c r="AL271" s="1794">
        <v>0</v>
      </c>
      <c r="AM271" s="1794">
        <v>0</v>
      </c>
      <c r="AN271" s="1795"/>
      <c r="AO271" s="1795"/>
      <c r="AP271" s="1808">
        <f t="shared" si="131"/>
        <v>0.69910093399818918</v>
      </c>
      <c r="AQ271" s="1812">
        <f>IF(AP271&gt;[11]核心假设及结论!$B$62,[11]核心假设及结论!$D$62,IF(AP271&lt;=[11]核心假设及结论!$B$61,[11]核心假设及结论!$D$60,[11]核心假设及结论!$D$61))</f>
        <v>1.0811176582269599</v>
      </c>
      <c r="AR271" s="1809">
        <f t="shared" si="132"/>
        <v>367.43</v>
      </c>
      <c r="AS271" s="1809">
        <f>AH271*(AS$2&lt;=YEAR($K271))+AR271*$AQ271*(AS$2=YEAR($K271)+1)+INDEX([11]核心假设及结论!$E$17:$E$21,MATCH($D271,[11]核心假设及结论!$B$17:$B$21,0))*(AS$2&gt;YEAR($K271)+1)*AR271</f>
        <v>380.21</v>
      </c>
      <c r="AT271" s="1809">
        <f>AI271*(AT$2&lt;=YEAR($K271))+AS271*$AQ271*(AT$2=YEAR($K271)+1)+INDEX([11]核心假设及结论!$E$17:$E$21,MATCH($D271,[11]核心假设及结论!$B$17:$B$21,0))*(AT$2&gt;YEAR($K271)+1)*AS271</f>
        <v>395.42</v>
      </c>
      <c r="AU271" s="1811">
        <f>AJ271*(AU$2&lt;=YEAR($K271))+AT271*$AQ271*(AU$2=YEAR($K271)+1)+INDEX([11]核心假设及结论!$E$17:$E$21,MATCH($D271,[11]核心假设及结论!$B$17:$B$21,0))*(AU$2&gt;YEAR($K271)+1)*AT271</f>
        <v>427.49554441610451</v>
      </c>
      <c r="AV271" s="1809">
        <f>AK271*(AV$2&lt;=YEAR($K271))+AU271*$AQ271*(AV$2=YEAR($K271)+1)+INDEX([11]核心假设及结论!$E$17:$E$21,MATCH($D271,[11]核心假设及结论!$B$17:$B$21,0))*(AV$2&gt;YEAR($K271)+1)*AU271</f>
        <v>440.58434879084751</v>
      </c>
      <c r="AW271" s="1809">
        <f>AL271*(AW$2&lt;=YEAR($K271))+AV271*$AQ271*(AW$2=YEAR($K271)+1)+INDEX([11]核心假设及结论!$E$17:$E$21,MATCH($D271,[11]核心假设及结论!$B$17:$B$21,0))*(AW$2&gt;YEAR($K271)+1)*AV271</f>
        <v>454.0738983948637</v>
      </c>
      <c r="AX271" s="1809">
        <f>AM271*(AX$2&lt;=YEAR($K271))+AW271*$AQ271*(AX$2=YEAR($K271)+1)+INDEX([11]核心假设及结论!$E$17:$E$21,MATCH($D271,[11]核心假设及结论!$B$17:$B$21,0))*(AX$2&gt;YEAR($K271)+1)*AW271</f>
        <v>467.97646300728547</v>
      </c>
      <c r="AZ271" s="1746">
        <f t="shared" si="122"/>
        <v>46411</v>
      </c>
      <c r="BA271" s="1817">
        <f t="shared" si="123"/>
        <v>45658</v>
      </c>
      <c r="BB271" s="1817">
        <f t="shared" si="124"/>
        <v>45681</v>
      </c>
      <c r="BC271" s="1817">
        <f t="shared" si="125"/>
        <v>46022</v>
      </c>
      <c r="BD271" s="1818">
        <f t="shared" si="126"/>
        <v>24</v>
      </c>
      <c r="BE271" s="1818">
        <f t="shared" si="127"/>
        <v>341</v>
      </c>
      <c r="BG271" s="1777">
        <f t="shared" si="112"/>
        <v>61.457886739726014</v>
      </c>
      <c r="BH271" s="1777">
        <f t="shared" si="117"/>
        <v>63.896022246575335</v>
      </c>
      <c r="BI271" s="1777">
        <f t="shared" si="117"/>
        <v>68.912607738724518</v>
      </c>
      <c r="BJ271" s="1777">
        <f t="shared" si="117"/>
        <v>71.235241842722772</v>
      </c>
      <c r="BK271" s="1777">
        <f t="shared" si="117"/>
        <v>73.416280118432539</v>
      </c>
      <c r="BL271" s="1777">
        <f t="shared" si="117"/>
        <v>75.664096127144376</v>
      </c>
      <c r="BM271" s="1777">
        <f t="shared" si="117"/>
        <v>4.9849109264995244</v>
      </c>
      <c r="BO271" s="1739">
        <f t="shared" si="128"/>
        <v>2027</v>
      </c>
      <c r="BP271" s="1742">
        <f>_xlfn.IFNA(INDEX($AR271:$AX271,MATCH(BO271,$AR$2:$AX$2,0))*12/365*[11]核心假设及结论!$C$70*$H271,0)</f>
        <v>52650.443835616432</v>
      </c>
      <c r="BR271" s="1739">
        <f t="shared" si="133"/>
        <v>2033</v>
      </c>
      <c r="BS271" s="1742">
        <f>_xlfn.IFNA(INDEX($AR271:$AX271,MATCH(BR271,$AR$2:$AX$2,0))*12/365*[11]核心假设及结论!$C$70*$H271,0)</f>
        <v>0</v>
      </c>
      <c r="BU271" s="1739">
        <f t="shared" si="134"/>
        <v>2039</v>
      </c>
      <c r="BV271" s="1742">
        <f>_xlfn.IFNA(INDEX($AR271:$AX271,MATCH(BU271,$AR$2:$AX$2,0))*12/365*[11]核心假设及结论!$C$70*$H271,0)</f>
        <v>0</v>
      </c>
      <c r="BX271" s="1739">
        <f t="shared" si="135"/>
        <v>2045</v>
      </c>
      <c r="BY271" s="1742">
        <f>_xlfn.IFNA(INDEX($AR271:$AX271,MATCH(BX271,$AR$2:$AX$2,0))*12/365*[11]核心假设及结论!$C$70*$H271,0)</f>
        <v>0</v>
      </c>
      <c r="CA271" s="1739">
        <f t="shared" si="136"/>
        <v>2051</v>
      </c>
      <c r="CB271" s="1742">
        <f>_xlfn.IFNA(INDEX($AR271:$AX271,MATCH(CA271,$AR$2:$AX$2,0))*12/365*[11]核心假设及结论!$C$70*$H271,0)</f>
        <v>0</v>
      </c>
    </row>
    <row r="272" spans="1:80" ht="30" customHeight="1">
      <c r="A272" s="1756" t="s">
        <v>1666</v>
      </c>
      <c r="B272" s="1757" t="s">
        <v>2237</v>
      </c>
      <c r="C272" s="1756" t="s">
        <v>2238</v>
      </c>
      <c r="D272" s="1756" t="s">
        <v>1685</v>
      </c>
      <c r="E272" s="1758" t="s">
        <v>1735</v>
      </c>
      <c r="F272" s="1759"/>
      <c r="G272" s="1760" t="s">
        <v>1661</v>
      </c>
      <c r="H272" s="1761">
        <v>132</v>
      </c>
      <c r="I272" s="1761" t="s">
        <v>1913</v>
      </c>
      <c r="J272" s="1773">
        <v>45427</v>
      </c>
      <c r="K272" s="1773">
        <v>46887</v>
      </c>
      <c r="L272" s="1764">
        <f t="shared" si="118"/>
        <v>48</v>
      </c>
      <c r="M272" s="1774">
        <f t="shared" si="129"/>
        <v>128139</v>
      </c>
      <c r="N272" s="1775">
        <f t="shared" si="130"/>
        <v>857.75</v>
      </c>
      <c r="O272" s="1760">
        <v>113223</v>
      </c>
      <c r="P272" s="1776">
        <v>0.17</v>
      </c>
      <c r="Q272" s="1783">
        <f t="shared" si="119"/>
        <v>95</v>
      </c>
      <c r="R272" s="1784">
        <v>12540</v>
      </c>
      <c r="S272" s="1777">
        <f t="shared" si="120"/>
        <v>18</v>
      </c>
      <c r="T272" s="1784">
        <v>2376</v>
      </c>
      <c r="U272" s="1777"/>
      <c r="V272" s="1785">
        <v>774725.52333333297</v>
      </c>
      <c r="W272" s="1785">
        <f t="shared" si="121"/>
        <v>5869.13275252525</v>
      </c>
      <c r="X272" s="1786">
        <f>(N272+Q272+S272)*H272/V272</f>
        <v>0.16539922351940764</v>
      </c>
      <c r="Y272" s="1789">
        <f>VLOOKUP(E272,[11]核心假设及结论!$C$25:$E$45,3,0)</f>
        <v>0.2</v>
      </c>
      <c r="Z272" s="1790">
        <f t="shared" si="116"/>
        <v>113223</v>
      </c>
      <c r="AA272" s="1790">
        <f t="shared" si="116"/>
        <v>116434.56000000001</v>
      </c>
      <c r="AB272" s="1790">
        <f t="shared" si="116"/>
        <v>120048.72</v>
      </c>
      <c r="AC272" s="1790">
        <f t="shared" si="115"/>
        <v>122457.72</v>
      </c>
      <c r="AD272" s="1790">
        <f t="shared" si="115"/>
        <v>0</v>
      </c>
      <c r="AE272" s="1790">
        <f t="shared" si="115"/>
        <v>0</v>
      </c>
      <c r="AF272" s="1790">
        <f t="shared" si="115"/>
        <v>0</v>
      </c>
      <c r="AG272" s="1794">
        <v>857.75</v>
      </c>
      <c r="AH272" s="1794">
        <v>882.08</v>
      </c>
      <c r="AI272" s="1794">
        <v>909.46</v>
      </c>
      <c r="AJ272" s="1794">
        <v>927.71</v>
      </c>
      <c r="AK272" s="1794">
        <v>0</v>
      </c>
      <c r="AL272" s="1794">
        <v>0</v>
      </c>
      <c r="AM272" s="1794">
        <v>0</v>
      </c>
      <c r="AN272" s="1797"/>
      <c r="AO272" s="1797"/>
      <c r="AP272" s="1808">
        <f t="shared" si="131"/>
        <v>0.82699611759703817</v>
      </c>
      <c r="AQ272" s="1810">
        <f>IF(AP272&gt;[11]核心假设及结论!$B$59,[11]核心假设及结论!$D$59,IF(AP272&lt;=[11]核心假设及结论!$B$58,[11]核心假设及结论!$D$57,[11]核心假设及结论!$D$58))</f>
        <v>1.0342640124442799</v>
      </c>
      <c r="AR272" s="1809">
        <f t="shared" si="132"/>
        <v>857.75</v>
      </c>
      <c r="AS272" s="1809">
        <f>AH272*(AS$2&lt;=YEAR($K272))+AR272*$AQ272*(AS$2=YEAR($K272)+1)+INDEX([11]核心假设及结论!$E$17:$E$21,MATCH($D272,[11]核心假设及结论!$B$17:$B$21,0))*(AS$2&gt;YEAR($K272)+1)*AR272</f>
        <v>882.08</v>
      </c>
      <c r="AT272" s="1809">
        <f>AI272*(AT$2&lt;=YEAR($K272))+AS272*$AQ272*(AT$2=YEAR($K272)+1)+INDEX([11]核心假设及结论!$E$17:$E$21,MATCH($D272,[11]核心假设及结论!$B$17:$B$21,0))*(AT$2&gt;YEAR($K272)+1)*AS272</f>
        <v>909.46</v>
      </c>
      <c r="AU272" s="1809">
        <f>AJ272*(AU$2&lt;=YEAR($K272))+AT272*$AQ272*(AU$2=YEAR($K272)+1)+INDEX([11]核心假设及结论!$E$17:$E$21,MATCH($D272,[11]核心假设及结论!$B$17:$B$21,0))*(AU$2&gt;YEAR($K272)+1)*AT272</f>
        <v>927.71</v>
      </c>
      <c r="AV272" s="1811">
        <f>AK272*(AV$2&lt;=YEAR($K272))+AU272*$AQ272*(AV$2=YEAR($K272)+1)+INDEX([11]核心假设及结论!$E$17:$E$21,MATCH($D272,[11]核心假设及结论!$B$17:$B$21,0))*(AV$2&gt;YEAR($K272)+1)*AU272</f>
        <v>959.49706698468299</v>
      </c>
      <c r="AW272" s="1809">
        <f>AL272*(AW$2&lt;=YEAR($K272))+AV272*$AQ272*(AW$2=YEAR($K272)+1)+INDEX([11]核心假设及结论!$E$17:$E$21,MATCH($D272,[11]核心假设及结论!$B$17:$B$21,0))*(AW$2&gt;YEAR($K272)+1)*AV272</f>
        <v>985.47496169622343</v>
      </c>
      <c r="AX272" s="1809">
        <f>AM272*(AX$2&lt;=YEAR($K272))+AW272*$AQ272*(AX$2=YEAR($K272)+1)+INDEX([11]核心假设及结论!$E$17:$E$21,MATCH($D272,[11]核心假设及结论!$B$17:$B$21,0))*(AX$2&gt;YEAR($K272)+1)*AW272</f>
        <v>1012.1561946845181</v>
      </c>
      <c r="AZ272" s="1746">
        <f t="shared" si="122"/>
        <v>46887</v>
      </c>
      <c r="BA272" s="1817">
        <f t="shared" si="123"/>
        <v>45658</v>
      </c>
      <c r="BB272" s="1817">
        <f t="shared" si="124"/>
        <v>45791</v>
      </c>
      <c r="BC272" s="1817">
        <f t="shared" si="125"/>
        <v>46022</v>
      </c>
      <c r="BD272" s="1818">
        <f t="shared" si="126"/>
        <v>134</v>
      </c>
      <c r="BE272" s="1818">
        <f t="shared" si="127"/>
        <v>231</v>
      </c>
      <c r="BG272" s="1777">
        <f t="shared" si="112"/>
        <v>138.30662584109589</v>
      </c>
      <c r="BH272" s="1777">
        <f t="shared" si="117"/>
        <v>142.46625323835619</v>
      </c>
      <c r="BI272" s="1777">
        <f t="shared" si="117"/>
        <v>145.88798400000002</v>
      </c>
      <c r="BJ272" s="1777">
        <f t="shared" si="117"/>
        <v>150.13584344053791</v>
      </c>
      <c r="BK272" s="1777">
        <f t="shared" si="117"/>
        <v>154.58855885873859</v>
      </c>
      <c r="BL272" s="1777">
        <f t="shared" si="117"/>
        <v>158.77396540538015</v>
      </c>
      <c r="BM272" s="1777">
        <f t="shared" si="117"/>
        <v>58.859239796974542</v>
      </c>
      <c r="BO272" s="1739">
        <f t="shared" si="128"/>
        <v>2028</v>
      </c>
      <c r="BP272" s="1742">
        <f>_xlfn.IFNA(INDEX($AR272:$AX272,MATCH(BO272,$AR$2:$AX$2,0))*12/365*[11]核心假设及结论!$C$70*$H272,0)</f>
        <v>120780.21698630137</v>
      </c>
      <c r="BR272" s="1739">
        <f t="shared" si="133"/>
        <v>2032</v>
      </c>
      <c r="BS272" s="1742">
        <f>_xlfn.IFNA(INDEX($AR272:$AX272,MATCH(BR272,$AR$2:$AX$2,0))*12/365*[11]核心假设及结论!$C$70*$H272,0)</f>
        <v>0</v>
      </c>
      <c r="BU272" s="1739">
        <f t="shared" si="134"/>
        <v>2036</v>
      </c>
      <c r="BV272" s="1742">
        <f>_xlfn.IFNA(INDEX($AR272:$AX272,MATCH(BU272,$AR$2:$AX$2,0))*12/365*[11]核心假设及结论!$C$70*$H272,0)</f>
        <v>0</v>
      </c>
      <c r="BX272" s="1739">
        <f t="shared" si="135"/>
        <v>2040</v>
      </c>
      <c r="BY272" s="1742">
        <f>_xlfn.IFNA(INDEX($AR272:$AX272,MATCH(BX272,$AR$2:$AX$2,0))*12/365*[11]核心假设及结论!$C$70*$H272,0)</f>
        <v>0</v>
      </c>
      <c r="CA272" s="1739">
        <f t="shared" si="136"/>
        <v>2044</v>
      </c>
      <c r="CB272" s="1742">
        <f>_xlfn.IFNA(INDEX($AR272:$AX272,MATCH(CA272,$AR$2:$AX$2,0))*12/365*[11]核心假设及结论!$C$70*$H272,0)</f>
        <v>0</v>
      </c>
    </row>
    <row r="273" spans="1:80" ht="30" customHeight="1">
      <c r="A273" s="1756" t="s">
        <v>1662</v>
      </c>
      <c r="B273" s="1757" t="s">
        <v>2239</v>
      </c>
      <c r="C273" s="1756" t="s">
        <v>2240</v>
      </c>
      <c r="D273" s="1756" t="s">
        <v>1685</v>
      </c>
      <c r="E273" s="1758" t="s">
        <v>1721</v>
      </c>
      <c r="F273" s="1759"/>
      <c r="G273" s="1760" t="s">
        <v>1661</v>
      </c>
      <c r="H273" s="1761">
        <v>129</v>
      </c>
      <c r="I273" s="1761" t="s">
        <v>1913</v>
      </c>
      <c r="J273" s="1773">
        <v>45383</v>
      </c>
      <c r="K273" s="1773">
        <v>46477</v>
      </c>
      <c r="L273" s="1764">
        <f t="shared" si="118"/>
        <v>36</v>
      </c>
      <c r="M273" s="1774">
        <f t="shared" si="129"/>
        <v>132289.5</v>
      </c>
      <c r="N273" s="1775">
        <f t="shared" si="130"/>
        <v>912.5</v>
      </c>
      <c r="O273" s="1760">
        <v>117712.5</v>
      </c>
      <c r="P273" s="1776">
        <v>0.17</v>
      </c>
      <c r="Q273" s="1783">
        <f t="shared" si="119"/>
        <v>95</v>
      </c>
      <c r="R273" s="1784">
        <v>12255</v>
      </c>
      <c r="S273" s="1777">
        <f t="shared" si="120"/>
        <v>18</v>
      </c>
      <c r="T273" s="1784">
        <v>2322</v>
      </c>
      <c r="U273" s="1777"/>
      <c r="V273" s="1785">
        <v>559002.5</v>
      </c>
      <c r="W273" s="1785">
        <f t="shared" si="121"/>
        <v>4333.3527131782948</v>
      </c>
      <c r="X273" s="1786">
        <f>(N273+Q273+S273)*H273/V273</f>
        <v>0.23665278777822998</v>
      </c>
      <c r="Y273" s="1789">
        <f>VLOOKUP(E273,[11]核心假设及结论!$C$25:$E$45,3,0)</f>
        <v>0.25</v>
      </c>
      <c r="Z273" s="1790">
        <f t="shared" si="116"/>
        <v>117712.5</v>
      </c>
      <c r="AA273" s="1790">
        <f t="shared" si="116"/>
        <v>121636.68</v>
      </c>
      <c r="AB273" s="1790">
        <f t="shared" si="116"/>
        <v>125559.57</v>
      </c>
      <c r="AC273" s="1790">
        <f t="shared" si="115"/>
        <v>0</v>
      </c>
      <c r="AD273" s="1790">
        <f t="shared" si="115"/>
        <v>0</v>
      </c>
      <c r="AE273" s="1790">
        <f t="shared" si="115"/>
        <v>0</v>
      </c>
      <c r="AF273" s="1790">
        <f t="shared" si="115"/>
        <v>0</v>
      </c>
      <c r="AG273" s="1794">
        <v>912.5</v>
      </c>
      <c r="AH273" s="1794">
        <v>942.92</v>
      </c>
      <c r="AI273" s="1794">
        <v>973.33</v>
      </c>
      <c r="AJ273" s="1794">
        <v>0</v>
      </c>
      <c r="AK273" s="1794">
        <v>0</v>
      </c>
      <c r="AL273" s="1794">
        <v>0</v>
      </c>
      <c r="AM273" s="1794">
        <v>0</v>
      </c>
      <c r="AN273" s="1797"/>
      <c r="AO273" s="1797"/>
      <c r="AP273" s="1808">
        <f t="shared" si="131"/>
        <v>0.94661115111291994</v>
      </c>
      <c r="AQ273" s="1810">
        <f>IF(AP273&gt;[11]核心假设及结论!$B$59,[11]核心假设及结论!$D$59,IF(AP273&lt;=[11]核心假设及结论!$B$58,[11]核心假设及结论!$D$57,[11]核心假设及结论!$D$58))</f>
        <v>1.0342640124442799</v>
      </c>
      <c r="AR273" s="1809">
        <f t="shared" si="132"/>
        <v>912.5</v>
      </c>
      <c r="AS273" s="1809">
        <f>AH273*(AS$2&lt;=YEAR($K273))+AR273*$AQ273*(AS$2=YEAR($K273)+1)+INDEX([11]核心假设及结论!$E$17:$E$21,MATCH($D273,[11]核心假设及结论!$B$17:$B$21,0))*(AS$2&gt;YEAR($K273)+1)*AR273</f>
        <v>942.92</v>
      </c>
      <c r="AT273" s="1809">
        <f>AI273*(AT$2&lt;=YEAR($K273))+AS273*$AQ273*(AT$2=YEAR($K273)+1)+INDEX([11]核心假设及结论!$E$17:$E$21,MATCH($D273,[11]核心假设及结论!$B$17:$B$21,0))*(AT$2&gt;YEAR($K273)+1)*AS273</f>
        <v>973.33</v>
      </c>
      <c r="AU273" s="1811">
        <f>AJ273*(AU$2&lt;=YEAR($K273))+AT273*$AQ273*(AU$2=YEAR($K273)+1)+INDEX([11]核心假设及结论!$E$17:$E$21,MATCH($D273,[11]核心假设及结论!$B$17:$B$21,0))*(AU$2&gt;YEAR($K273)+1)*AT273</f>
        <v>1006.6801912323911</v>
      </c>
      <c r="AV273" s="1809">
        <f>AK273*(AV$2&lt;=YEAR($K273))+AU273*$AQ273*(AV$2=YEAR($K273)+1)+INDEX([11]核心假设及结论!$E$17:$E$21,MATCH($D273,[11]核心假设及结论!$B$17:$B$21,0))*(AV$2&gt;YEAR($K273)+1)*AU273</f>
        <v>1033.935545017069</v>
      </c>
      <c r="AW273" s="1809">
        <f>AL273*(AW$2&lt;=YEAR($K273))+AV273*$AQ273*(AW$2=YEAR($K273)+1)+INDEX([11]核心假设及结论!$E$17:$E$21,MATCH($D273,[11]核心假设及结论!$B$17:$B$21,0))*(AW$2&gt;YEAR($K273)+1)*AV273</f>
        <v>1061.928823632689</v>
      </c>
      <c r="AX273" s="1809">
        <f>AM273*(AX$2&lt;=YEAR($K273))+AW273*$AQ273*(AX$2=YEAR($K273)+1)+INDEX([11]核心假设及结论!$E$17:$E$21,MATCH($D273,[11]核心假设及结论!$B$17:$B$21,0))*(AX$2&gt;YEAR($K273)+1)*AW273</f>
        <v>1090.6800060184507</v>
      </c>
      <c r="AZ273" s="1746">
        <f t="shared" si="122"/>
        <v>46477</v>
      </c>
      <c r="BA273" s="1817">
        <f t="shared" si="123"/>
        <v>45658</v>
      </c>
      <c r="BB273" s="1817">
        <f t="shared" si="124"/>
        <v>45747</v>
      </c>
      <c r="BC273" s="1817">
        <f t="shared" si="125"/>
        <v>46022</v>
      </c>
      <c r="BD273" s="1818">
        <f t="shared" si="126"/>
        <v>90</v>
      </c>
      <c r="BE273" s="1818">
        <f t="shared" si="127"/>
        <v>275</v>
      </c>
      <c r="BG273" s="1777">
        <f t="shared" si="112"/>
        <v>144.80288876712328</v>
      </c>
      <c r="BH273" s="1777">
        <f t="shared" si="117"/>
        <v>149.51073846575343</v>
      </c>
      <c r="BI273" s="1777">
        <f t="shared" si="117"/>
        <v>154.56112137195313</v>
      </c>
      <c r="BJ273" s="1777">
        <f t="shared" si="117"/>
        <v>159.01288924829123</v>
      </c>
      <c r="BK273" s="1777">
        <f t="shared" si="117"/>
        <v>163.31808228827776</v>
      </c>
      <c r="BL273" s="1777">
        <f t="shared" si="117"/>
        <v>167.73983623850975</v>
      </c>
      <c r="BM273" s="1777">
        <f t="shared" si="117"/>
        <v>41.631106421504263</v>
      </c>
      <c r="BO273" s="1739">
        <f t="shared" si="128"/>
        <v>2027</v>
      </c>
      <c r="BP273" s="1742">
        <f>_xlfn.IFNA(INDEX($AR273:$AX273,MATCH(BO273,$AR$2:$AX$2,0))*12/365*[11]核心假设及结论!$C$70*$H273,0)</f>
        <v>123839.57589041097</v>
      </c>
      <c r="BR273" s="1739">
        <f t="shared" si="133"/>
        <v>2030</v>
      </c>
      <c r="BS273" s="1742">
        <f>_xlfn.IFNA(INDEX($AR273:$AX273,MATCH(BR273,$AR$2:$AX$2,0))*12/365*[11]核心假设及结论!$C$70*$H273,0)</f>
        <v>135112.25909452623</v>
      </c>
      <c r="BU273" s="1739">
        <f t="shared" si="134"/>
        <v>2033</v>
      </c>
      <c r="BV273" s="1742">
        <f>_xlfn.IFNA(INDEX($AR273:$AX273,MATCH(BU273,$AR$2:$AX$2,0))*12/365*[11]核心假设及结论!$C$70*$H273,0)</f>
        <v>0</v>
      </c>
      <c r="BX273" s="1739">
        <f t="shared" si="135"/>
        <v>2036</v>
      </c>
      <c r="BY273" s="1742">
        <f>_xlfn.IFNA(INDEX($AR273:$AX273,MATCH(BX273,$AR$2:$AX$2,0))*12/365*[11]核心假设及结论!$C$70*$H273,0)</f>
        <v>0</v>
      </c>
      <c r="CA273" s="1739">
        <f t="shared" si="136"/>
        <v>2039</v>
      </c>
      <c r="CB273" s="1742">
        <f>_xlfn.IFNA(INDEX($AR273:$AX273,MATCH(CA273,$AR$2:$AX$2,0))*12/365*[11]核心假设及结论!$C$70*$H273,0)</f>
        <v>0</v>
      </c>
    </row>
    <row r="274" spans="1:80" ht="30" customHeight="1">
      <c r="A274" s="1756" t="s">
        <v>1687</v>
      </c>
      <c r="B274" s="1757" t="s">
        <v>2241</v>
      </c>
      <c r="C274" s="1756" t="s">
        <v>2242</v>
      </c>
      <c r="D274" s="1756" t="s">
        <v>1685</v>
      </c>
      <c r="E274" s="1758" t="s">
        <v>1692</v>
      </c>
      <c r="F274" s="1759"/>
      <c r="G274" s="1760" t="s">
        <v>1661</v>
      </c>
      <c r="H274" s="1761">
        <v>129</v>
      </c>
      <c r="I274" s="1761" t="s">
        <v>1913</v>
      </c>
      <c r="J274" s="1773">
        <v>45224</v>
      </c>
      <c r="K274" s="1773">
        <v>46319</v>
      </c>
      <c r="L274" s="1764">
        <f t="shared" si="118"/>
        <v>36</v>
      </c>
      <c r="M274" s="1774">
        <f t="shared" si="129"/>
        <v>129935.25</v>
      </c>
      <c r="N274" s="1775">
        <f t="shared" si="130"/>
        <v>894.25</v>
      </c>
      <c r="O274" s="1760">
        <v>115358.25</v>
      </c>
      <c r="P274" s="1776">
        <v>0.18</v>
      </c>
      <c r="Q274" s="1783">
        <f t="shared" si="119"/>
        <v>95</v>
      </c>
      <c r="R274" s="1784">
        <v>12255</v>
      </c>
      <c r="S274" s="1777">
        <f t="shared" si="120"/>
        <v>18</v>
      </c>
      <c r="T274" s="1784">
        <v>2322</v>
      </c>
      <c r="U274" s="1777"/>
      <c r="V274" s="1785">
        <v>103835.328333333</v>
      </c>
      <c r="W274" s="1785">
        <f t="shared" si="121"/>
        <v>804.92502583979069</v>
      </c>
      <c r="X274" s="1786">
        <f>(N274+Q274+S274)*H274/V274</f>
        <v>1.2513587820792633</v>
      </c>
      <c r="Y274" s="1789">
        <f>VLOOKUP(E274,[11]核心假设及结论!$C$25:$E$45,3,0)</f>
        <v>0.2</v>
      </c>
      <c r="Z274" s="1790">
        <f t="shared" si="116"/>
        <v>117712.5</v>
      </c>
      <c r="AA274" s="1790">
        <f t="shared" si="116"/>
        <v>119674.59000000001</v>
      </c>
      <c r="AB274" s="1790">
        <f t="shared" si="116"/>
        <v>0</v>
      </c>
      <c r="AC274" s="1790">
        <f t="shared" si="115"/>
        <v>0</v>
      </c>
      <c r="AD274" s="1790">
        <f t="shared" si="115"/>
        <v>0</v>
      </c>
      <c r="AE274" s="1790">
        <f t="shared" si="115"/>
        <v>0</v>
      </c>
      <c r="AF274" s="1790">
        <f t="shared" si="115"/>
        <v>0</v>
      </c>
      <c r="AG274" s="1794">
        <v>912.5</v>
      </c>
      <c r="AH274" s="1794">
        <v>927.71</v>
      </c>
      <c r="AI274" s="1794">
        <v>0</v>
      </c>
      <c r="AJ274" s="1794">
        <v>0</v>
      </c>
      <c r="AK274" s="1794">
        <v>0</v>
      </c>
      <c r="AL274" s="1794">
        <v>0</v>
      </c>
      <c r="AM274" s="1794">
        <v>0</v>
      </c>
      <c r="AN274" s="1797"/>
      <c r="AO274" s="1797"/>
      <c r="AP274" s="1808">
        <f t="shared" si="131"/>
        <v>6.2567939103963166</v>
      </c>
      <c r="AQ274" s="1810">
        <f>IF(AP274&gt;[11]核心假设及结论!$B$59,[11]核心假设及结论!$D$59,IF(AP274&lt;=[11]核心假设及结论!$B$58,[11]核心假设及结论!$D$57,[11]核心假设及结论!$D$58))</f>
        <v>1</v>
      </c>
      <c r="AR274" s="1809">
        <f t="shared" si="132"/>
        <v>912.5</v>
      </c>
      <c r="AS274" s="1809">
        <f>AH274*(AS$2&lt;=YEAR($K274))+AR274*$AQ274*(AS$2=YEAR($K274)+1)+INDEX([11]核心假设及结论!$E$17:$E$21,MATCH($D274,[11]核心假设及结论!$B$17:$B$21,0))*(AS$2&gt;YEAR($K274)+1)*AR274</f>
        <v>927.71</v>
      </c>
      <c r="AT274" s="1811">
        <f>AI274*(AT$2&lt;=YEAR($K274))+AS274*$AQ274*(AT$2=YEAR($K274)+1)+INDEX([11]核心假设及结论!$E$17:$E$21,MATCH($D274,[11]核心假设及结论!$B$17:$B$21,0))*(AT$2&gt;YEAR($K274)+1)*AS274</f>
        <v>927.71</v>
      </c>
      <c r="AU274" s="1809">
        <f>AJ274*(AU$2&lt;=YEAR($K274))+AT274*$AQ274*(AU$2=YEAR($K274)+1)+INDEX([11]核心假设及结论!$E$17:$E$21,MATCH($D274,[11]核心假设及结论!$B$17:$B$21,0))*(AU$2&gt;YEAR($K274)+1)*AT274</f>
        <v>952.82727605231742</v>
      </c>
      <c r="AV274" s="1809">
        <f>AK274*(AV$2&lt;=YEAR($K274))+AU274*$AQ274*(AV$2=YEAR($K274)+1)+INDEX([11]核心假设及结论!$E$17:$E$21,MATCH($D274,[11]核心假设及结论!$B$17:$B$21,0))*(AV$2&gt;YEAR($K274)+1)*AU274</f>
        <v>978.62458956923933</v>
      </c>
      <c r="AW274" s="1809">
        <f>AL274*(AW$2&lt;=YEAR($K274))+AV274*$AQ274*(AW$2=YEAR($K274)+1)+INDEX([11]核心假设及结论!$E$17:$E$21,MATCH($D274,[11]核心假设及结论!$B$17:$B$21,0))*(AW$2&gt;YEAR($K274)+1)*AV274</f>
        <v>1005.1203522189859</v>
      </c>
      <c r="AX274" s="1809">
        <f>AM274*(AX$2&lt;=YEAR($K274))+AW274*$AQ274*(AX$2=YEAR($K274)+1)+INDEX([11]核心假设及结论!$E$17:$E$21,MATCH($D274,[11]核心假设及结论!$B$17:$B$21,0))*(AX$2&gt;YEAR($K274)+1)*AW274</f>
        <v>1032.3334741563226</v>
      </c>
      <c r="AZ274" s="1746">
        <f t="shared" si="122"/>
        <v>46319</v>
      </c>
      <c r="BA274" s="1817">
        <f t="shared" si="123"/>
        <v>45658</v>
      </c>
      <c r="BB274" s="1817">
        <f t="shared" si="124"/>
        <v>45954</v>
      </c>
      <c r="BC274" s="1817">
        <f t="shared" si="125"/>
        <v>46022</v>
      </c>
      <c r="BD274" s="1818">
        <f t="shared" si="126"/>
        <v>297</v>
      </c>
      <c r="BE274" s="1818">
        <f t="shared" si="127"/>
        <v>68</v>
      </c>
      <c r="BG274" s="1777">
        <f t="shared" si="112"/>
        <v>141.69364806575342</v>
      </c>
      <c r="BH274" s="1777">
        <f t="shared" si="117"/>
        <v>143.60950799999998</v>
      </c>
      <c r="BI274" s="1777">
        <f t="shared" si="117"/>
        <v>144.33387647845782</v>
      </c>
      <c r="BJ274" s="1777">
        <f t="shared" si="117"/>
        <v>148.24164271921251</v>
      </c>
      <c r="BK274" s="1777">
        <f t="shared" si="117"/>
        <v>152.25520974191082</v>
      </c>
      <c r="BL274" s="1777">
        <f t="shared" si="117"/>
        <v>156.37744204887213</v>
      </c>
      <c r="BM274" s="1777">
        <f t="shared" si="117"/>
        <v>130.03329006690802</v>
      </c>
      <c r="BO274" s="1739">
        <f t="shared" si="128"/>
        <v>2026</v>
      </c>
      <c r="BP274" s="1742">
        <f>_xlfn.IFNA(INDEX($AR274:$AX274,MATCH(BO274,$AR$2:$AX$2,0))*12/365*[11]核心假设及结论!$C$70*$H274,0)</f>
        <v>118035.21205479451</v>
      </c>
      <c r="BR274" s="1739">
        <f t="shared" si="133"/>
        <v>2029</v>
      </c>
      <c r="BS274" s="1742">
        <f>_xlfn.IFNA(INDEX($AR274:$AX274,MATCH(BR274,$AR$2:$AX$2,0))*12/365*[11]核心假设及结论!$C$70*$H274,0)</f>
        <v>124513.22175231639</v>
      </c>
      <c r="BU274" s="1739">
        <f t="shared" si="134"/>
        <v>2032</v>
      </c>
      <c r="BV274" s="1742">
        <f>_xlfn.IFNA(INDEX($AR274:$AX274,MATCH(BU274,$AR$2:$AX$2,0))*12/365*[11]核心假设及结论!$C$70*$H274,0)</f>
        <v>0</v>
      </c>
      <c r="BX274" s="1739">
        <f t="shared" si="135"/>
        <v>2035</v>
      </c>
      <c r="BY274" s="1742">
        <f>_xlfn.IFNA(INDEX($AR274:$AX274,MATCH(BX274,$AR$2:$AX$2,0))*12/365*[11]核心假设及结论!$C$70*$H274,0)</f>
        <v>0</v>
      </c>
      <c r="CA274" s="1739">
        <f t="shared" si="136"/>
        <v>2038</v>
      </c>
      <c r="CB274" s="1742">
        <f>_xlfn.IFNA(INDEX($AR274:$AX274,MATCH(CA274,$AR$2:$AX$2,0))*12/365*[11]核心假设及结论!$C$70*$H274,0)</f>
        <v>0</v>
      </c>
    </row>
    <row r="275" spans="1:80" ht="30" customHeight="1">
      <c r="A275" s="1756" t="s">
        <v>1662</v>
      </c>
      <c r="B275" s="1757" t="s">
        <v>2243</v>
      </c>
      <c r="C275" s="1756" t="s">
        <v>2244</v>
      </c>
      <c r="D275" s="1756" t="s">
        <v>1676</v>
      </c>
      <c r="E275" s="1758" t="s">
        <v>2245</v>
      </c>
      <c r="F275" s="1759"/>
      <c r="G275" s="1760" t="s">
        <v>1661</v>
      </c>
      <c r="H275" s="1761">
        <v>129</v>
      </c>
      <c r="I275" s="1761" t="s">
        <v>1913</v>
      </c>
      <c r="J275" s="1773">
        <v>45524</v>
      </c>
      <c r="K275" s="1773">
        <v>46618</v>
      </c>
      <c r="L275" s="1764">
        <f t="shared" si="118"/>
        <v>36</v>
      </c>
      <c r="M275" s="1774">
        <f t="shared" si="129"/>
        <v>60092.07</v>
      </c>
      <c r="N275" s="1775">
        <f t="shared" si="130"/>
        <v>352.83</v>
      </c>
      <c r="O275" s="1760">
        <v>45515.07</v>
      </c>
      <c r="P275" s="1776">
        <v>8.5000000000000006E-2</v>
      </c>
      <c r="Q275" s="1783">
        <f t="shared" si="119"/>
        <v>95</v>
      </c>
      <c r="R275" s="1784">
        <v>12255</v>
      </c>
      <c r="S275" s="1777">
        <f t="shared" si="120"/>
        <v>18</v>
      </c>
      <c r="T275" s="1784">
        <v>2322</v>
      </c>
      <c r="U275" s="1777"/>
      <c r="V275" s="1785">
        <v>636259.94499999995</v>
      </c>
      <c r="W275" s="1785">
        <f t="shared" si="121"/>
        <v>4932.2476356589141</v>
      </c>
      <c r="X275" s="1786">
        <f>(N275+Q275)*H275/V275</f>
        <v>9.0796333250240988E-2</v>
      </c>
      <c r="Y275" s="1789">
        <f>VLOOKUP(E275,[11]核心假设及结论!$C$25:$E$45,3,0)</f>
        <v>0.2</v>
      </c>
      <c r="Z275" s="1790">
        <f t="shared" si="116"/>
        <v>45515.07</v>
      </c>
      <c r="AA275" s="1790">
        <f t="shared" si="116"/>
        <v>47791.920000000006</v>
      </c>
      <c r="AB275" s="1790">
        <f t="shared" si="116"/>
        <v>50223.57</v>
      </c>
      <c r="AC275" s="1790">
        <f t="shared" si="115"/>
        <v>0</v>
      </c>
      <c r="AD275" s="1790">
        <f t="shared" si="115"/>
        <v>0</v>
      </c>
      <c r="AE275" s="1790">
        <f t="shared" si="115"/>
        <v>0</v>
      </c>
      <c r="AF275" s="1790">
        <f t="shared" si="115"/>
        <v>0</v>
      </c>
      <c r="AG275" s="1794">
        <v>352.83</v>
      </c>
      <c r="AH275" s="1794">
        <v>370.48</v>
      </c>
      <c r="AI275" s="1794">
        <v>389.33</v>
      </c>
      <c r="AJ275" s="1794">
        <v>0</v>
      </c>
      <c r="AK275" s="1794">
        <v>0</v>
      </c>
      <c r="AL275" s="1794">
        <v>0</v>
      </c>
      <c r="AM275" s="1794">
        <v>0</v>
      </c>
      <c r="AN275" s="1797"/>
      <c r="AO275" s="1797"/>
      <c r="AP275" s="1808">
        <f t="shared" si="131"/>
        <v>0.4539816662512049</v>
      </c>
      <c r="AQ275" s="1808">
        <f>IF(AP275&gt;[11]核心假设及结论!$B$65,[11]核心假设及结论!$D$65,IF(AP275&lt;=[11]核心假设及结论!$B$64,[11]核心假设及结论!$D$63,[11]核心假设及结论!$D$64))</f>
        <v>1</v>
      </c>
      <c r="AR275" s="1809">
        <f t="shared" si="132"/>
        <v>352.83</v>
      </c>
      <c r="AS275" s="1809">
        <f>AH275*(AS$2&lt;=YEAR($K275))+AR275*$AQ275*(AS$2=YEAR($K275)+1)+INDEX([11]核心假设及结论!$E$17:$E$21,MATCH($D275,[11]核心假设及结论!$B$17:$B$21,0))*(AS$2&gt;YEAR($K275)+1)*AR275</f>
        <v>370.48</v>
      </c>
      <c r="AT275" s="1809">
        <f>AI275*(AT$2&lt;=YEAR($K275))+AS275*$AQ275*(AT$2=YEAR($K275)+1)+INDEX([11]核心假设及结论!$E$17:$E$21,MATCH($D275,[11]核心假设及结论!$B$17:$B$21,0))*(AT$2&gt;YEAR($K275)+1)*AS275</f>
        <v>389.33</v>
      </c>
      <c r="AU275" s="1811">
        <f>AJ275*(AU$2&lt;=YEAR($K275))+AT275*$AQ275*(AU$2=YEAR($K275)+1)+INDEX([11]核心假设及结论!$E$17:$E$21,MATCH($D275,[11]核心假设及结论!$B$17:$B$21,0))*(AU$2&gt;YEAR($K275)+1)*AT275</f>
        <v>389.33</v>
      </c>
      <c r="AV275" s="1809">
        <f>AK275*(AV$2&lt;=YEAR($K275))+AU275*$AQ275*(AV$2=YEAR($K275)+1)+INDEX([11]核心假设及结论!$E$17:$E$21,MATCH($D275,[11]核心假设及结论!$B$17:$B$21,0))*(AV$2&gt;YEAR($K275)+1)*AU275</f>
        <v>402.79111881540166</v>
      </c>
      <c r="AW275" s="1809">
        <f>AL275*(AW$2&lt;=YEAR($K275))+AV275*$AQ275*(AW$2=YEAR($K275)+1)+INDEX([11]核心假设及结论!$E$17:$E$21,MATCH($D275,[11]核心假设及结论!$B$17:$B$21,0))*(AW$2&gt;YEAR($K275)+1)*AV275</f>
        <v>416.71765699166008</v>
      </c>
      <c r="AX275" s="1809">
        <f>AM275*(AX$2&lt;=YEAR($K275))+AW275*$AQ275*(AX$2=YEAR($K275)+1)+INDEX([11]核心假设及结论!$E$17:$E$21,MATCH($D275,[11]核心假设及结论!$B$17:$B$21,0))*(AX$2&gt;YEAR($K275)+1)*AW275</f>
        <v>431.1257064438999</v>
      </c>
      <c r="AZ275" s="1746">
        <f t="shared" si="122"/>
        <v>46618</v>
      </c>
      <c r="BA275" s="1817">
        <f t="shared" si="123"/>
        <v>45658</v>
      </c>
      <c r="BB275" s="1817">
        <f t="shared" si="124"/>
        <v>45888</v>
      </c>
      <c r="BC275" s="1817">
        <f t="shared" si="125"/>
        <v>46022</v>
      </c>
      <c r="BD275" s="1818">
        <f t="shared" si="126"/>
        <v>231</v>
      </c>
      <c r="BE275" s="1818">
        <f t="shared" si="127"/>
        <v>134</v>
      </c>
      <c r="BG275" s="1777">
        <f t="shared" si="112"/>
        <v>55.621145589041092</v>
      </c>
      <c r="BH275" s="1777">
        <f t="shared" si="117"/>
        <v>58.421562410958906</v>
      </c>
      <c r="BI275" s="1777">
        <f t="shared" si="117"/>
        <v>60.268283999999994</v>
      </c>
      <c r="BJ275" s="1777">
        <f t="shared" si="117"/>
        <v>61.033288602223664</v>
      </c>
      <c r="BK275" s="1777">
        <f t="shared" si="117"/>
        <v>63.143519895905719</v>
      </c>
      <c r="BL275" s="1777">
        <f t="shared" si="117"/>
        <v>65.326712621206795</v>
      </c>
      <c r="BM275" s="1777">
        <f t="shared" si="117"/>
        <v>42.237090168729118</v>
      </c>
      <c r="BO275" s="1739">
        <f t="shared" si="128"/>
        <v>2027</v>
      </c>
      <c r="BP275" s="1742">
        <f>_xlfn.IFNA(INDEX($AR275:$AX275,MATCH(BO275,$AR$2:$AX$2,0))*12/365*[11]核心假设及结论!$C$70*$H275,0)</f>
        <v>49535.575890410953</v>
      </c>
      <c r="BR275" s="1739">
        <f t="shared" si="133"/>
        <v>2030</v>
      </c>
      <c r="BS275" s="1742">
        <f>_xlfn.IFNA(INDEX($AR275:$AX275,MATCH(BR275,$AR$2:$AX$2,0))*12/365*[11]核心假设及结论!$C$70*$H275,0)</f>
        <v>53020.186275870401</v>
      </c>
      <c r="BU275" s="1739">
        <f t="shared" si="134"/>
        <v>2033</v>
      </c>
      <c r="BV275" s="1742">
        <f>_xlfn.IFNA(INDEX($AR275:$AX275,MATCH(BU275,$AR$2:$AX$2,0))*12/365*[11]核心假设及结论!$C$70*$H275,0)</f>
        <v>0</v>
      </c>
      <c r="BX275" s="1739">
        <f t="shared" si="135"/>
        <v>2036</v>
      </c>
      <c r="BY275" s="1742">
        <f>_xlfn.IFNA(INDEX($AR275:$AX275,MATCH(BX275,$AR$2:$AX$2,0))*12/365*[11]核心假设及结论!$C$70*$H275,0)</f>
        <v>0</v>
      </c>
      <c r="CA275" s="1739">
        <f t="shared" si="136"/>
        <v>2039</v>
      </c>
      <c r="CB275" s="1742">
        <f>_xlfn.IFNA(INDEX($AR275:$AX275,MATCH(CA275,$AR$2:$AX$2,0))*12/365*[11]核心假设及结论!$C$70*$H275,0)</f>
        <v>0</v>
      </c>
    </row>
    <row r="276" spans="1:80" ht="30" customHeight="1">
      <c r="A276" s="1756" t="s">
        <v>1666</v>
      </c>
      <c r="B276" s="1757" t="s">
        <v>2246</v>
      </c>
      <c r="C276" s="1756" t="s">
        <v>2247</v>
      </c>
      <c r="D276" s="1756" t="s">
        <v>1685</v>
      </c>
      <c r="E276" s="1758" t="s">
        <v>1735</v>
      </c>
      <c r="F276" s="1759"/>
      <c r="G276" s="1760" t="s">
        <v>1661</v>
      </c>
      <c r="H276" s="1761">
        <v>128</v>
      </c>
      <c r="I276" s="1761" t="s">
        <v>1913</v>
      </c>
      <c r="J276" s="1773">
        <v>45452</v>
      </c>
      <c r="K276" s="1773">
        <v>46181</v>
      </c>
      <c r="L276" s="1764">
        <f t="shared" si="118"/>
        <v>24</v>
      </c>
      <c r="M276" s="1774">
        <f t="shared" si="129"/>
        <v>92330.240000000005</v>
      </c>
      <c r="N276" s="1775">
        <f t="shared" si="130"/>
        <v>608.33000000000004</v>
      </c>
      <c r="O276" s="1760">
        <v>77866.240000000005</v>
      </c>
      <c r="P276" s="1776">
        <v>0.12</v>
      </c>
      <c r="Q276" s="1783">
        <f t="shared" si="119"/>
        <v>95</v>
      </c>
      <c r="R276" s="1784">
        <v>12160</v>
      </c>
      <c r="S276" s="1777">
        <f t="shared" si="120"/>
        <v>18</v>
      </c>
      <c r="T276" s="1784">
        <v>2304</v>
      </c>
      <c r="U276" s="1777"/>
      <c r="V276" s="1785">
        <v>171489</v>
      </c>
      <c r="W276" s="1785">
        <f t="shared" si="121"/>
        <v>1339.7578125</v>
      </c>
      <c r="X276" s="1786">
        <f>(N276+Q276)*H276/V276</f>
        <v>0.52496801544122362</v>
      </c>
      <c r="Y276" s="1789">
        <f>VLOOKUP(E276,[11]核心假设及结论!$C$25:$E$45,3,0)</f>
        <v>0.2</v>
      </c>
      <c r="Z276" s="1790">
        <f t="shared" si="116"/>
        <v>77866.240000000005</v>
      </c>
      <c r="AA276" s="1790">
        <f t="shared" si="116"/>
        <v>81760</v>
      </c>
      <c r="AB276" s="1790">
        <f t="shared" si="116"/>
        <v>0</v>
      </c>
      <c r="AC276" s="1790">
        <f t="shared" si="115"/>
        <v>0</v>
      </c>
      <c r="AD276" s="1790">
        <f t="shared" si="115"/>
        <v>0</v>
      </c>
      <c r="AE276" s="1790">
        <f t="shared" si="115"/>
        <v>0</v>
      </c>
      <c r="AF276" s="1790">
        <f t="shared" si="115"/>
        <v>0</v>
      </c>
      <c r="AG276" s="1794">
        <v>608.33000000000004</v>
      </c>
      <c r="AH276" s="1794">
        <v>638.75</v>
      </c>
      <c r="AI276" s="1794">
        <v>0</v>
      </c>
      <c r="AJ276" s="1794">
        <v>0</v>
      </c>
      <c r="AK276" s="1794">
        <v>0</v>
      </c>
      <c r="AL276" s="1794">
        <v>0</v>
      </c>
      <c r="AM276" s="1794">
        <v>0</v>
      </c>
      <c r="AN276" s="1797"/>
      <c r="AO276" s="1797"/>
      <c r="AP276" s="1808">
        <f t="shared" si="131"/>
        <v>2.6248400772061178</v>
      </c>
      <c r="AQ276" s="1810">
        <f>IF(AP276&gt;[11]核心假设及结论!$B$59,[11]核心假设及结论!$D$59,IF(AP276&lt;=[11]核心假设及结论!$B$58,[11]核心假设及结论!$D$57,[11]核心假设及结论!$D$58))</f>
        <v>1</v>
      </c>
      <c r="AR276" s="1809">
        <f t="shared" si="132"/>
        <v>608.33000000000004</v>
      </c>
      <c r="AS276" s="1809">
        <f>AH276*(AS$2&lt;=YEAR($K276))+AR276*$AQ276*(AS$2=YEAR($K276)+1)+INDEX([11]核心假设及结论!$E$17:$E$21,MATCH($D276,[11]核心假设及结论!$B$17:$B$21,0))*(AS$2&gt;YEAR($K276)+1)*AR276</f>
        <v>638.75</v>
      </c>
      <c r="AT276" s="1811">
        <f>AI276*(AT$2&lt;=YEAR($K276))+AS276*$AQ276*(AT$2=YEAR($K276)+1)+INDEX([11]核心假设及结论!$E$17:$E$21,MATCH($D276,[11]核心假设及结论!$B$17:$B$21,0))*(AT$2&gt;YEAR($K276)+1)*AS276</f>
        <v>638.75</v>
      </c>
      <c r="AU276" s="1809">
        <f>AJ276*(AU$2&lt;=YEAR($K276))+AT276*$AQ276*(AU$2=YEAR($K276)+1)+INDEX([11]核心假设及结论!$E$17:$E$21,MATCH($D276,[11]核心假设及结论!$B$17:$B$21,0))*(AU$2&gt;YEAR($K276)+1)*AT276</f>
        <v>656.04383113086817</v>
      </c>
      <c r="AV276" s="1809">
        <f>AK276*(AV$2&lt;=YEAR($K276))+AU276*$AQ276*(AV$2=YEAR($K276)+1)+INDEX([11]核心假设及结论!$E$17:$E$21,MATCH($D276,[11]核心假设及结论!$B$17:$B$21,0))*(AV$2&gt;YEAR($K276)+1)*AU276</f>
        <v>673.8058839371696</v>
      </c>
      <c r="AW276" s="1809">
        <f>AL276*(AW$2&lt;=YEAR($K276))+AV276*$AQ276*(AW$2=YEAR($K276)+1)+INDEX([11]核心假设及结论!$E$17:$E$21,MATCH($D276,[11]核心假设及结论!$B$17:$B$21,0))*(AW$2&gt;YEAR($K276)+1)*AV276</f>
        <v>692.04883528244522</v>
      </c>
      <c r="AX276" s="1809">
        <f>AM276*(AX$2&lt;=YEAR($K276))+AW276*$AQ276*(AX$2=YEAR($K276)+1)+INDEX([11]核心假设及结论!$E$17:$E$21,MATCH($D276,[11]核心假设及结论!$B$17:$B$21,0))*(AX$2&gt;YEAR($K276)+1)*AW276</f>
        <v>710.78570524986378</v>
      </c>
      <c r="AZ276" s="1746">
        <f t="shared" si="122"/>
        <v>46181</v>
      </c>
      <c r="BA276" s="1817">
        <f t="shared" si="123"/>
        <v>45658</v>
      </c>
      <c r="BB276" s="1817">
        <f t="shared" si="124"/>
        <v>45816</v>
      </c>
      <c r="BC276" s="1817">
        <f t="shared" si="125"/>
        <v>46022</v>
      </c>
      <c r="BD276" s="1818">
        <f t="shared" si="126"/>
        <v>159</v>
      </c>
      <c r="BE276" s="1818">
        <f t="shared" si="127"/>
        <v>206</v>
      </c>
      <c r="BG276" s="1777">
        <f t="shared" si="112"/>
        <v>96.076576964383577</v>
      </c>
      <c r="BH276" s="1777">
        <f t="shared" si="117"/>
        <v>98.111999999999995</v>
      </c>
      <c r="BI276" s="1777">
        <f t="shared" si="117"/>
        <v>99.611190375645151</v>
      </c>
      <c r="BJ276" s="1777">
        <f t="shared" si="117"/>
        <v>102.30811265369003</v>
      </c>
      <c r="BK276" s="1777">
        <f t="shared" si="117"/>
        <v>105.07805272969907</v>
      </c>
      <c r="BL276" s="1777">
        <f t="shared" si="117"/>
        <v>107.92298752338654</v>
      </c>
      <c r="BM276" s="1777">
        <f t="shared" si="117"/>
        <v>47.559158377792521</v>
      </c>
      <c r="BO276" s="1739">
        <f t="shared" si="128"/>
        <v>2026</v>
      </c>
      <c r="BP276" s="1742">
        <f>_xlfn.IFNA(INDEX($AR276:$AX276,MATCH(BO276,$AR$2:$AX$2,0))*12/365*[11]核心假设及结论!$C$70*$H276,0)</f>
        <v>80640</v>
      </c>
      <c r="BR276" s="1739">
        <f t="shared" si="133"/>
        <v>2028</v>
      </c>
      <c r="BS276" s="1742">
        <f>_xlfn.IFNA(INDEX($AR276:$AX276,MATCH(BR276,$AR$2:$AX$2,0))*12/365*[11]核心假设及结论!$C$70*$H276,0)</f>
        <v>82823.286954823037</v>
      </c>
      <c r="BU276" s="1739">
        <f t="shared" si="134"/>
        <v>2030</v>
      </c>
      <c r="BV276" s="1742">
        <f>_xlfn.IFNA(INDEX($AR276:$AX276,MATCH(BU276,$AR$2:$AX$2,0))*12/365*[11]核心假设及结论!$C$70*$H276,0)</f>
        <v>87368.795424150914</v>
      </c>
      <c r="BX276" s="1739">
        <f t="shared" si="135"/>
        <v>2032</v>
      </c>
      <c r="BY276" s="1742">
        <f>_xlfn.IFNA(INDEX($AR276:$AX276,MATCH(BX276,$AR$2:$AX$2,0))*12/365*[11]核心假设及结论!$C$70*$H276,0)</f>
        <v>0</v>
      </c>
      <c r="CA276" s="1739">
        <f t="shared" si="136"/>
        <v>2034</v>
      </c>
      <c r="CB276" s="1742">
        <f>_xlfn.IFNA(INDEX($AR276:$AX276,MATCH(CA276,$AR$2:$AX$2,0))*12/365*[11]核心假设及结论!$C$70*$H276,0)</f>
        <v>0</v>
      </c>
    </row>
    <row r="277" spans="1:80" ht="30" customHeight="1">
      <c r="A277" s="1756" t="s">
        <v>1666</v>
      </c>
      <c r="B277" s="1757" t="s">
        <v>2248</v>
      </c>
      <c r="C277" s="1756" t="s">
        <v>2249</v>
      </c>
      <c r="D277" s="1756" t="s">
        <v>1685</v>
      </c>
      <c r="E277" s="1758" t="s">
        <v>1726</v>
      </c>
      <c r="F277" s="1759"/>
      <c r="G277" s="1760" t="s">
        <v>1661</v>
      </c>
      <c r="H277" s="1761">
        <v>128</v>
      </c>
      <c r="I277" s="1761" t="s">
        <v>1913</v>
      </c>
      <c r="J277" s="1773">
        <v>45499</v>
      </c>
      <c r="K277" s="1773">
        <v>46593</v>
      </c>
      <c r="L277" s="1764">
        <f t="shared" si="118"/>
        <v>36</v>
      </c>
      <c r="M277" s="1774">
        <f t="shared" si="129"/>
        <v>82611.199999999997</v>
      </c>
      <c r="N277" s="1775">
        <f t="shared" si="130"/>
        <v>532.4</v>
      </c>
      <c r="O277" s="1760">
        <v>68147.199999999997</v>
      </c>
      <c r="P277" s="1776">
        <v>0.14000000000000001</v>
      </c>
      <c r="Q277" s="1783">
        <f t="shared" si="119"/>
        <v>95</v>
      </c>
      <c r="R277" s="1784">
        <v>12160</v>
      </c>
      <c r="S277" s="1777">
        <f t="shared" si="120"/>
        <v>18</v>
      </c>
      <c r="T277" s="1784">
        <v>2304</v>
      </c>
      <c r="U277" s="1777"/>
      <c r="V277" s="1785">
        <v>307122.91666666698</v>
      </c>
      <c r="W277" s="1785">
        <f t="shared" si="121"/>
        <v>2399.3977864583358</v>
      </c>
      <c r="X277" s="1786">
        <f>(N277+Q277+S277)*H277/V277</f>
        <v>0.26898416079338455</v>
      </c>
      <c r="Y277" s="1789">
        <f>VLOOKUP(E277,[11]核心假设及结论!$C$25:$E$45,3,0)</f>
        <v>0.1</v>
      </c>
      <c r="Z277" s="1790">
        <f t="shared" si="116"/>
        <v>68147.199999999997</v>
      </c>
      <c r="AA277" s="1790">
        <f t="shared" si="116"/>
        <v>68912.639999999999</v>
      </c>
      <c r="AB277" s="1790">
        <f t="shared" si="116"/>
        <v>69690.880000000005</v>
      </c>
      <c r="AC277" s="1790">
        <f t="shared" si="115"/>
        <v>0</v>
      </c>
      <c r="AD277" s="1790">
        <f t="shared" si="115"/>
        <v>0</v>
      </c>
      <c r="AE277" s="1790">
        <f t="shared" si="115"/>
        <v>0</v>
      </c>
      <c r="AF277" s="1790">
        <f t="shared" si="115"/>
        <v>0</v>
      </c>
      <c r="AG277" s="1794">
        <v>532.4</v>
      </c>
      <c r="AH277" s="1794">
        <v>538.38</v>
      </c>
      <c r="AI277" s="1794">
        <v>544.46</v>
      </c>
      <c r="AJ277" s="1794">
        <v>0</v>
      </c>
      <c r="AK277" s="1794">
        <v>0</v>
      </c>
      <c r="AL277" s="1794">
        <v>0</v>
      </c>
      <c r="AM277" s="1794">
        <v>0</v>
      </c>
      <c r="AN277" s="1797"/>
      <c r="AO277" s="1797"/>
      <c r="AP277" s="1808">
        <f t="shared" si="131"/>
        <v>2.6898416079338454</v>
      </c>
      <c r="AQ277" s="1810">
        <f>IF(AP277&gt;[11]核心假设及结论!$B$59,[11]核心假设及结论!$D$59,IF(AP277&lt;=[11]核心假设及结论!$B$58,[11]核心假设及结论!$D$57,[11]核心假设及结论!$D$58))</f>
        <v>1</v>
      </c>
      <c r="AR277" s="1809">
        <f t="shared" si="132"/>
        <v>532.4</v>
      </c>
      <c r="AS277" s="1809">
        <f>AH277*(AS$2&lt;=YEAR($K277))+AR277*$AQ277*(AS$2=YEAR($K277)+1)+INDEX([11]核心假设及结论!$E$17:$E$21,MATCH($D277,[11]核心假设及结论!$B$17:$B$21,0))*(AS$2&gt;YEAR($K277)+1)*AR277</f>
        <v>538.38</v>
      </c>
      <c r="AT277" s="1809">
        <f>AI277*(AT$2&lt;=YEAR($K277))+AS277*$AQ277*(AT$2=YEAR($K277)+1)+INDEX([11]核心假设及结论!$E$17:$E$21,MATCH($D277,[11]核心假设及结论!$B$17:$B$21,0))*(AT$2&gt;YEAR($K277)+1)*AS277</f>
        <v>544.46</v>
      </c>
      <c r="AU277" s="1811">
        <f>AJ277*(AU$2&lt;=YEAR($K277))+AT277*$AQ277*(AU$2=YEAR($K277)+1)+INDEX([11]核心假设及结论!$E$17:$E$21,MATCH($D277,[11]核心假设及结论!$B$17:$B$21,0))*(AU$2&gt;YEAR($K277)+1)*AT277</f>
        <v>544.46</v>
      </c>
      <c r="AV277" s="1809">
        <f>AK277*(AV$2&lt;=YEAR($K277))+AU277*$AQ277*(AV$2=YEAR($K277)+1)+INDEX([11]核心假设及结论!$E$17:$E$21,MATCH($D277,[11]核心假设及结论!$B$17:$B$21,0))*(AV$2&gt;YEAR($K277)+1)*AU277</f>
        <v>559.20097737379649</v>
      </c>
      <c r="AW277" s="1809">
        <f>AL277*(AW$2&lt;=YEAR($K277))+AV277*$AQ277*(AW$2=YEAR($K277)+1)+INDEX([11]核心假设及结论!$E$17:$E$21,MATCH($D277,[11]核心假设及结论!$B$17:$B$21,0))*(AW$2&gt;YEAR($K277)+1)*AV277</f>
        <v>574.34105920693753</v>
      </c>
      <c r="AX277" s="1809">
        <f>AM277*(AX$2&lt;=YEAR($K277))+AW277*$AQ277*(AX$2=YEAR($K277)+1)+INDEX([11]核心假设及结论!$E$17:$E$21,MATCH($D277,[11]核心假设及结论!$B$17:$B$21,0))*(AX$2&gt;YEAR($K277)+1)*AW277</f>
        <v>589.89105104951875</v>
      </c>
      <c r="AZ277" s="1746">
        <f t="shared" si="122"/>
        <v>46593</v>
      </c>
      <c r="BA277" s="1817">
        <f t="shared" si="123"/>
        <v>45658</v>
      </c>
      <c r="BB277" s="1817">
        <f t="shared" si="124"/>
        <v>45863</v>
      </c>
      <c r="BC277" s="1817">
        <f t="shared" si="125"/>
        <v>46022</v>
      </c>
      <c r="BD277" s="1818">
        <f t="shared" si="126"/>
        <v>206</v>
      </c>
      <c r="BE277" s="1818">
        <f t="shared" si="127"/>
        <v>159</v>
      </c>
      <c r="BG277" s="1777">
        <f t="shared" si="112"/>
        <v>82.176765895890412</v>
      </c>
      <c r="BH277" s="1777">
        <f t="shared" si="117"/>
        <v>83.101984964383561</v>
      </c>
      <c r="BI277" s="1777">
        <f t="shared" si="117"/>
        <v>83.629056000000006</v>
      </c>
      <c r="BJ277" s="1777">
        <f t="shared" si="117"/>
        <v>84.615384892640563</v>
      </c>
      <c r="BK277" s="1777">
        <f t="shared" si="117"/>
        <v>86.906303369989672</v>
      </c>
      <c r="BL277" s="1777">
        <f t="shared" si="117"/>
        <v>89.259247299052049</v>
      </c>
      <c r="BM277" s="1777">
        <f t="shared" si="117"/>
        <v>51.137251180516301</v>
      </c>
      <c r="BO277" s="1739">
        <f t="shared" si="128"/>
        <v>2027</v>
      </c>
      <c r="BP277" s="1742">
        <f>_xlfn.IFNA(INDEX($AR277:$AX277,MATCH(BO277,$AR$2:$AX$2,0))*12/365*[11]核心假设及结论!$C$70*$H277,0)</f>
        <v>68736.210410958913</v>
      </c>
      <c r="BR277" s="1739">
        <f t="shared" si="133"/>
        <v>2030</v>
      </c>
      <c r="BS277" s="1742">
        <f>_xlfn.IFNA(INDEX($AR277:$AX277,MATCH(BR277,$AR$2:$AX$2,0))*12/365*[11]核心假设及结论!$C$70*$H277,0)</f>
        <v>72508.591803440213</v>
      </c>
      <c r="BU277" s="1739">
        <f t="shared" si="134"/>
        <v>2033</v>
      </c>
      <c r="BV277" s="1742">
        <f>_xlfn.IFNA(INDEX($AR277:$AX277,MATCH(BU277,$AR$2:$AX$2,0))*12/365*[11]核心假设及结论!$C$70*$H277,0)</f>
        <v>0</v>
      </c>
      <c r="BX277" s="1739">
        <f t="shared" si="135"/>
        <v>2036</v>
      </c>
      <c r="BY277" s="1742">
        <f>_xlfn.IFNA(INDEX($AR277:$AX277,MATCH(BX277,$AR$2:$AX$2,0))*12/365*[11]核心假设及结论!$C$70*$H277,0)</f>
        <v>0</v>
      </c>
      <c r="CA277" s="1739">
        <f t="shared" si="136"/>
        <v>2039</v>
      </c>
      <c r="CB277" s="1742">
        <f>_xlfn.IFNA(INDEX($AR277:$AX277,MATCH(CA277,$AR$2:$AX$2,0))*12/365*[11]核心假设及结论!$C$70*$H277,0)</f>
        <v>0</v>
      </c>
    </row>
    <row r="278" spans="1:80" ht="30" customHeight="1">
      <c r="A278" s="1756" t="s">
        <v>1687</v>
      </c>
      <c r="B278" s="1757" t="s">
        <v>2250</v>
      </c>
      <c r="C278" s="1756" t="s">
        <v>2251</v>
      </c>
      <c r="D278" s="1756" t="s">
        <v>1685</v>
      </c>
      <c r="E278" s="1758" t="s">
        <v>1692</v>
      </c>
      <c r="F278" s="1759"/>
      <c r="G278" s="1760" t="s">
        <v>1661</v>
      </c>
      <c r="H278" s="1761">
        <v>127</v>
      </c>
      <c r="I278" s="1761" t="s">
        <v>1913</v>
      </c>
      <c r="J278" s="1773">
        <v>45123</v>
      </c>
      <c r="K278" s="1773">
        <v>46218</v>
      </c>
      <c r="L278" s="1764">
        <f t="shared" si="118"/>
        <v>36</v>
      </c>
      <c r="M278" s="1774">
        <f t="shared" si="129"/>
        <v>123671.33</v>
      </c>
      <c r="N278" s="1775">
        <f t="shared" si="130"/>
        <v>860.79</v>
      </c>
      <c r="O278" s="1760">
        <v>109320.33</v>
      </c>
      <c r="P278" s="1776">
        <v>0.18</v>
      </c>
      <c r="Q278" s="1783">
        <f t="shared" si="119"/>
        <v>95</v>
      </c>
      <c r="R278" s="1784">
        <v>12065</v>
      </c>
      <c r="S278" s="1777">
        <f t="shared" si="120"/>
        <v>18</v>
      </c>
      <c r="T278" s="1784">
        <v>2286</v>
      </c>
      <c r="U278" s="1777"/>
      <c r="V278" s="1785">
        <v>238187.41666666701</v>
      </c>
      <c r="W278" s="1785">
        <f t="shared" si="121"/>
        <v>1875.4914698162756</v>
      </c>
      <c r="X278" s="1786">
        <f>(N278+Q278)*H278/V278</f>
        <v>0.50962108619647828</v>
      </c>
      <c r="Y278" s="1789">
        <f>VLOOKUP(E278,[11]核心假设及结论!$C$25:$E$45,3,0)</f>
        <v>0.2</v>
      </c>
      <c r="Z278" s="1790">
        <f t="shared" si="116"/>
        <v>109320.33</v>
      </c>
      <c r="AA278" s="1790">
        <f t="shared" si="116"/>
        <v>110479.84</v>
      </c>
      <c r="AB278" s="1790">
        <f t="shared" si="116"/>
        <v>0</v>
      </c>
      <c r="AC278" s="1790">
        <f t="shared" si="115"/>
        <v>0</v>
      </c>
      <c r="AD278" s="1790">
        <f t="shared" si="115"/>
        <v>0</v>
      </c>
      <c r="AE278" s="1790">
        <f t="shared" si="115"/>
        <v>0</v>
      </c>
      <c r="AF278" s="1790">
        <f t="shared" si="115"/>
        <v>0</v>
      </c>
      <c r="AG278" s="1794">
        <v>860.79</v>
      </c>
      <c r="AH278" s="1794">
        <v>869.92</v>
      </c>
      <c r="AI278" s="1794">
        <v>0</v>
      </c>
      <c r="AJ278" s="1794">
        <v>0</v>
      </c>
      <c r="AK278" s="1794">
        <v>0</v>
      </c>
      <c r="AL278" s="1794">
        <v>0</v>
      </c>
      <c r="AM278" s="1794">
        <v>0</v>
      </c>
      <c r="AN278" s="1797"/>
      <c r="AO278" s="1797"/>
      <c r="AP278" s="1808">
        <f t="shared" si="131"/>
        <v>2.5481054309823912</v>
      </c>
      <c r="AQ278" s="1810">
        <f>IF(AP278&gt;[11]核心假设及结论!$B$59,[11]核心假设及结论!$D$59,IF(AP278&lt;=[11]核心假设及结论!$B$58,[11]核心假设及结论!$D$57,[11]核心假设及结论!$D$58))</f>
        <v>1</v>
      </c>
      <c r="AR278" s="1809">
        <f t="shared" si="132"/>
        <v>860.79</v>
      </c>
      <c r="AS278" s="1809">
        <f>AH278*(AS$2&lt;=YEAR($K278))+AR278*$AQ278*(AS$2=YEAR($K278)+1)+INDEX([11]核心假设及结论!$E$17:$E$21,MATCH($D278,[11]核心假设及结论!$B$17:$B$21,0))*(AS$2&gt;YEAR($K278)+1)*AR278</f>
        <v>869.92</v>
      </c>
      <c r="AT278" s="1811">
        <f>AI278*(AT$2&lt;=YEAR($K278))+AS278*$AQ278*(AT$2=YEAR($K278)+1)+INDEX([11]核心假设及结论!$E$17:$E$21,MATCH($D278,[11]核心假设及结论!$B$17:$B$21,0))*(AT$2&gt;YEAR($K278)+1)*AS278</f>
        <v>869.92</v>
      </c>
      <c r="AU278" s="1809">
        <f>AJ278*(AU$2&lt;=YEAR($K278))+AT278*$AQ278*(AU$2=YEAR($K278)+1)+INDEX([11]核心假设及结论!$E$17:$E$21,MATCH($D278,[11]核心假设及结论!$B$17:$B$21,0))*(AU$2&gt;YEAR($K278)+1)*AT278</f>
        <v>893.47264121700948</v>
      </c>
      <c r="AV278" s="1809">
        <f>AK278*(AV$2&lt;=YEAR($K278))+AU278*$AQ278*(AV$2=YEAR($K278)+1)+INDEX([11]核心假设及结论!$E$17:$E$21,MATCH($D278,[11]核心假设及结论!$B$17:$B$21,0))*(AV$2&gt;YEAR($K278)+1)*AU278</f>
        <v>917.66295820684547</v>
      </c>
      <c r="AW278" s="1809">
        <f>AL278*(AW$2&lt;=YEAR($K278))+AV278*$AQ278*(AW$2=YEAR($K278)+1)+INDEX([11]核心假设及结论!$E$17:$E$21,MATCH($D278,[11]核心假设及结论!$B$17:$B$21,0))*(AW$2&gt;YEAR($K278)+1)*AV278</f>
        <v>942.50821571648487</v>
      </c>
      <c r="AX278" s="1809">
        <f>AM278*(AX$2&lt;=YEAR($K278))+AW278*$AQ278*(AX$2=YEAR($K278)+1)+INDEX([11]核心假设及结论!$E$17:$E$21,MATCH($D278,[11]核心假设及结论!$B$17:$B$21,0))*(AX$2&gt;YEAR($K278)+1)*AW278</f>
        <v>968.02614592714121</v>
      </c>
      <c r="AZ278" s="1746">
        <f t="shared" si="122"/>
        <v>46218</v>
      </c>
      <c r="BA278" s="1817">
        <f t="shared" si="123"/>
        <v>45658</v>
      </c>
      <c r="BB278" s="1817">
        <f t="shared" si="124"/>
        <v>45853</v>
      </c>
      <c r="BC278" s="1817">
        <f t="shared" si="125"/>
        <v>46022</v>
      </c>
      <c r="BD278" s="1818">
        <f t="shared" si="126"/>
        <v>196</v>
      </c>
      <c r="BE278" s="1818">
        <f t="shared" si="127"/>
        <v>169</v>
      </c>
      <c r="BG278" s="1777">
        <f t="shared" ref="BG278:BG341" si="137">(AR278*$BD278*$H278*12/365+BE278*AS278*$H278*12/365)/10000</f>
        <v>131.82863881643834</v>
      </c>
      <c r="BH278" s="1777">
        <f t="shared" si="117"/>
        <v>132.57580799999997</v>
      </c>
      <c r="BI278" s="1777">
        <f t="shared" si="117"/>
        <v>134.23775979761317</v>
      </c>
      <c r="BJ278" s="1777">
        <f t="shared" si="117"/>
        <v>137.87217881808434</v>
      </c>
      <c r="BK278" s="1777">
        <f t="shared" si="117"/>
        <v>141.6049978836418</v>
      </c>
      <c r="BL278" s="1777">
        <f t="shared" si="117"/>
        <v>145.43888112542126</v>
      </c>
      <c r="BM278" s="1777">
        <f t="shared" si="117"/>
        <v>79.220077230964606</v>
      </c>
      <c r="BO278" s="1739">
        <f t="shared" si="128"/>
        <v>2026</v>
      </c>
      <c r="BP278" s="1742">
        <f>_xlfn.IFNA(INDEX($AR278:$AX278,MATCH(BO278,$AR$2:$AX$2,0))*12/365*[11]核心假设及结论!$C$70*$H278,0)</f>
        <v>108966.41753424656</v>
      </c>
      <c r="BR278" s="1739">
        <f t="shared" si="133"/>
        <v>2029</v>
      </c>
      <c r="BS278" s="1742">
        <f>_xlfn.IFNA(INDEX($AR278:$AX278,MATCH(BR278,$AR$2:$AX$2,0))*12/365*[11]核心假设及结论!$C$70*$H278,0)</f>
        <v>114946.71355949857</v>
      </c>
      <c r="BU278" s="1739">
        <f t="shared" si="134"/>
        <v>2032</v>
      </c>
      <c r="BV278" s="1742">
        <f>_xlfn.IFNA(INDEX($AR278:$AX278,MATCH(BU278,$AR$2:$AX$2,0))*12/365*[11]核心假设及结论!$C$70*$H278,0)</f>
        <v>0</v>
      </c>
      <c r="BX278" s="1739">
        <f t="shared" si="135"/>
        <v>2035</v>
      </c>
      <c r="BY278" s="1742">
        <f>_xlfn.IFNA(INDEX($AR278:$AX278,MATCH(BX278,$AR$2:$AX$2,0))*12/365*[11]核心假设及结论!$C$70*$H278,0)</f>
        <v>0</v>
      </c>
      <c r="CA278" s="1739">
        <f t="shared" si="136"/>
        <v>2038</v>
      </c>
      <c r="CB278" s="1742">
        <f>_xlfn.IFNA(INDEX($AR278:$AX278,MATCH(CA278,$AR$2:$AX$2,0))*12/365*[11]核心假设及结论!$C$70*$H278,0)</f>
        <v>0</v>
      </c>
    </row>
    <row r="279" spans="1:80" ht="30" customHeight="1">
      <c r="A279" s="1756" t="s">
        <v>1687</v>
      </c>
      <c r="B279" s="1757" t="s">
        <v>2252</v>
      </c>
      <c r="C279" s="1756" t="s">
        <v>2253</v>
      </c>
      <c r="D279" s="1756" t="s">
        <v>1685</v>
      </c>
      <c r="E279" s="1758" t="s">
        <v>1692</v>
      </c>
      <c r="F279" s="1759"/>
      <c r="G279" s="1760" t="s">
        <v>1661</v>
      </c>
      <c r="H279" s="1761">
        <v>126</v>
      </c>
      <c r="I279" s="1761" t="s">
        <v>1913</v>
      </c>
      <c r="J279" s="1773">
        <v>45238</v>
      </c>
      <c r="K279" s="1773">
        <v>46333</v>
      </c>
      <c r="L279" s="1764">
        <f t="shared" si="118"/>
        <v>36</v>
      </c>
      <c r="M279" s="1774">
        <f t="shared" si="129"/>
        <v>109420.92</v>
      </c>
      <c r="N279" s="1775">
        <f t="shared" si="130"/>
        <v>760.42</v>
      </c>
      <c r="O279" s="1760">
        <v>95812.92</v>
      </c>
      <c r="P279" s="1776">
        <v>0.18</v>
      </c>
      <c r="Q279" s="1783">
        <f t="shared" si="119"/>
        <v>90</v>
      </c>
      <c r="R279" s="1784">
        <v>11340</v>
      </c>
      <c r="S279" s="1777">
        <f t="shared" si="120"/>
        <v>18</v>
      </c>
      <c r="T279" s="1784">
        <v>2268</v>
      </c>
      <c r="U279" s="1777"/>
      <c r="V279" s="1785">
        <v>225225.27777777801</v>
      </c>
      <c r="W279" s="1785">
        <f t="shared" si="121"/>
        <v>1787.5022045855399</v>
      </c>
      <c r="X279" s="1786">
        <f>(N279+Q279+S279)*H279/V279</f>
        <v>0.48582877143995279</v>
      </c>
      <c r="Y279" s="1789">
        <f>VLOOKUP(E279,[11]核心假设及结论!$C$25:$E$45,3,0)</f>
        <v>0.2</v>
      </c>
      <c r="Z279" s="1790">
        <f t="shared" si="116"/>
        <v>99644.58</v>
      </c>
      <c r="AA279" s="1790">
        <f t="shared" si="116"/>
        <v>103477.5</v>
      </c>
      <c r="AB279" s="1790">
        <f t="shared" si="116"/>
        <v>0</v>
      </c>
      <c r="AC279" s="1790">
        <f t="shared" si="115"/>
        <v>0</v>
      </c>
      <c r="AD279" s="1790">
        <f t="shared" si="115"/>
        <v>0</v>
      </c>
      <c r="AE279" s="1790">
        <f t="shared" si="115"/>
        <v>0</v>
      </c>
      <c r="AF279" s="1790">
        <f t="shared" si="115"/>
        <v>0</v>
      </c>
      <c r="AG279" s="1794">
        <v>790.83</v>
      </c>
      <c r="AH279" s="1794">
        <v>821.25</v>
      </c>
      <c r="AI279" s="1794">
        <v>0</v>
      </c>
      <c r="AJ279" s="1794">
        <v>0</v>
      </c>
      <c r="AK279" s="1794">
        <v>0</v>
      </c>
      <c r="AL279" s="1794">
        <v>0</v>
      </c>
      <c r="AM279" s="1794">
        <v>0</v>
      </c>
      <c r="AN279" s="1797"/>
      <c r="AO279" s="1797"/>
      <c r="AP279" s="1808">
        <f t="shared" si="131"/>
        <v>2.4291438571997639</v>
      </c>
      <c r="AQ279" s="1810">
        <f>IF(AP279&gt;[11]核心假设及结论!$B$59,[11]核心假设及结论!$D$59,IF(AP279&lt;=[11]核心假设及结论!$B$58,[11]核心假设及结论!$D$57,[11]核心假设及结论!$D$58))</f>
        <v>1</v>
      </c>
      <c r="AR279" s="1809">
        <f t="shared" si="132"/>
        <v>790.83</v>
      </c>
      <c r="AS279" s="1809">
        <f>AH279*(AS$2&lt;=YEAR($K279))+AR279*$AQ279*(AS$2=YEAR($K279)+1)+INDEX([11]核心假设及结论!$E$17:$E$21,MATCH($D279,[11]核心假设及结论!$B$17:$B$21,0))*(AS$2&gt;YEAR($K279)+1)*AR279</f>
        <v>821.25</v>
      </c>
      <c r="AT279" s="1811">
        <f>AI279*(AT$2&lt;=YEAR($K279))+AS279*$AQ279*(AT$2=YEAR($K279)+1)+INDEX([11]核心假设及结论!$E$17:$E$21,MATCH($D279,[11]核心假设及结论!$B$17:$B$21,0))*(AT$2&gt;YEAR($K279)+1)*AS279</f>
        <v>821.25</v>
      </c>
      <c r="AU279" s="1809">
        <f>AJ279*(AU$2&lt;=YEAR($K279))+AT279*$AQ279*(AU$2=YEAR($K279)+1)+INDEX([11]核心假设及结论!$E$17:$E$21,MATCH($D279,[11]核心假设及结论!$B$17:$B$21,0))*(AU$2&gt;YEAR($K279)+1)*AT279</f>
        <v>843.4849257396877</v>
      </c>
      <c r="AV279" s="1809">
        <f>AK279*(AV$2&lt;=YEAR($K279))+AU279*$AQ279*(AV$2=YEAR($K279)+1)+INDEX([11]核心假设及结论!$E$17:$E$21,MATCH($D279,[11]核心假设及结论!$B$17:$B$21,0))*(AV$2&gt;YEAR($K279)+1)*AU279</f>
        <v>866.32185077636098</v>
      </c>
      <c r="AW279" s="1809">
        <f>AL279*(AW$2&lt;=YEAR($K279))+AV279*$AQ279*(AW$2=YEAR($K279)+1)+INDEX([11]核心假设及结论!$E$17:$E$21,MATCH($D279,[11]核心假设及结论!$B$17:$B$21,0))*(AW$2&gt;YEAR($K279)+1)*AV279</f>
        <v>889.7770739345724</v>
      </c>
      <c r="AX279" s="1809">
        <f>AM279*(AX$2&lt;=YEAR($K279))+AW279*$AQ279*(AX$2=YEAR($K279)+1)+INDEX([11]核心假设及结论!$E$17:$E$21,MATCH($D279,[11]核心假设及结论!$B$17:$B$21,0))*(AX$2&gt;YEAR($K279)+1)*AW279</f>
        <v>913.86733532125345</v>
      </c>
      <c r="AZ279" s="1746">
        <f t="shared" si="122"/>
        <v>46333</v>
      </c>
      <c r="BA279" s="1817">
        <f t="shared" si="123"/>
        <v>45658</v>
      </c>
      <c r="BB279" s="1817">
        <f t="shared" si="124"/>
        <v>45968</v>
      </c>
      <c r="BC279" s="1817">
        <f t="shared" si="125"/>
        <v>46022</v>
      </c>
      <c r="BD279" s="1818">
        <f t="shared" si="126"/>
        <v>311</v>
      </c>
      <c r="BE279" s="1818">
        <f t="shared" si="127"/>
        <v>54</v>
      </c>
      <c r="BG279" s="1777">
        <f t="shared" si="137"/>
        <v>120.25397056438355</v>
      </c>
      <c r="BH279" s="1777">
        <f t="shared" si="117"/>
        <v>124.173</v>
      </c>
      <c r="BI279" s="1777">
        <f t="shared" si="117"/>
        <v>124.67038005939561</v>
      </c>
      <c r="BJ279" s="1777">
        <f t="shared" si="117"/>
        <v>128.04576714318168</v>
      </c>
      <c r="BK279" s="1777">
        <f t="shared" si="117"/>
        <v>131.51254111421363</v>
      </c>
      <c r="BL279" s="1777">
        <f t="shared" si="117"/>
        <v>135.07317622594834</v>
      </c>
      <c r="BM279" s="1777">
        <f t="shared" si="117"/>
        <v>117.73415474596813</v>
      </c>
      <c r="BO279" s="1739">
        <f t="shared" si="128"/>
        <v>2026</v>
      </c>
      <c r="BP279" s="1742">
        <f>_xlfn.IFNA(INDEX($AR279:$AX279,MATCH(BO279,$AR$2:$AX$2,0))*12/365*[11]核心假设及结论!$C$70*$H279,0)</f>
        <v>102060</v>
      </c>
      <c r="BR279" s="1739">
        <f t="shared" si="133"/>
        <v>2029</v>
      </c>
      <c r="BS279" s="1742">
        <f>_xlfn.IFNA(INDEX($AR279:$AX279,MATCH(BR279,$AR$2:$AX$2,0))*12/365*[11]核心假设及结论!$C$70*$H279,0)</f>
        <v>107661.25794853627</v>
      </c>
      <c r="BU279" s="1739">
        <f t="shared" si="134"/>
        <v>2032</v>
      </c>
      <c r="BV279" s="1742">
        <f>_xlfn.IFNA(INDEX($AR279:$AX279,MATCH(BU279,$AR$2:$AX$2,0))*12/365*[11]核心假设及结论!$C$70*$H279,0)</f>
        <v>0</v>
      </c>
      <c r="BX279" s="1739">
        <f t="shared" si="135"/>
        <v>2035</v>
      </c>
      <c r="BY279" s="1742">
        <f>_xlfn.IFNA(INDEX($AR279:$AX279,MATCH(BX279,$AR$2:$AX$2,0))*12/365*[11]核心假设及结论!$C$70*$H279,0)</f>
        <v>0</v>
      </c>
      <c r="CA279" s="1739">
        <f t="shared" si="136"/>
        <v>2038</v>
      </c>
      <c r="CB279" s="1742">
        <f>_xlfn.IFNA(INDEX($AR279:$AX279,MATCH(CA279,$AR$2:$AX$2,0))*12/365*[11]核心假设及结论!$C$70*$H279,0)</f>
        <v>0</v>
      </c>
    </row>
    <row r="280" spans="1:80" ht="30" customHeight="1">
      <c r="A280" s="1756" t="s">
        <v>1666</v>
      </c>
      <c r="B280" s="1757" t="s">
        <v>2254</v>
      </c>
      <c r="C280" s="1756" t="s">
        <v>2255</v>
      </c>
      <c r="D280" s="1756" t="s">
        <v>1685</v>
      </c>
      <c r="E280" s="1758" t="s">
        <v>1692</v>
      </c>
      <c r="F280" s="1759"/>
      <c r="G280" s="1760" t="s">
        <v>1661</v>
      </c>
      <c r="H280" s="1761">
        <v>126</v>
      </c>
      <c r="I280" s="1761" t="s">
        <v>1913</v>
      </c>
      <c r="J280" s="1773">
        <v>45146</v>
      </c>
      <c r="K280" s="1773">
        <v>46241</v>
      </c>
      <c r="L280" s="1764">
        <f t="shared" si="118"/>
        <v>36</v>
      </c>
      <c r="M280" s="1774">
        <f t="shared" si="129"/>
        <v>101755.08</v>
      </c>
      <c r="N280" s="1775">
        <f t="shared" si="130"/>
        <v>699.58</v>
      </c>
      <c r="O280" s="1760">
        <v>88147.08</v>
      </c>
      <c r="P280" s="1776">
        <v>0.18</v>
      </c>
      <c r="Q280" s="1783">
        <f t="shared" si="119"/>
        <v>90</v>
      </c>
      <c r="R280" s="1784">
        <v>11340</v>
      </c>
      <c r="S280" s="1777">
        <f t="shared" si="120"/>
        <v>18</v>
      </c>
      <c r="T280" s="1784">
        <v>2268</v>
      </c>
      <c r="U280" s="1777"/>
      <c r="V280" s="1785">
        <v>349979.85749999998</v>
      </c>
      <c r="W280" s="1785">
        <f t="shared" si="121"/>
        <v>2777.6179166666666</v>
      </c>
      <c r="X280" s="1786">
        <f>(N280+Q280+S280)*H280/V280</f>
        <v>0.29074553240538997</v>
      </c>
      <c r="Y280" s="1789">
        <f>VLOOKUP(E280,[11]核心假设及结论!$C$25:$E$45,3,0)</f>
        <v>0.2</v>
      </c>
      <c r="Z280" s="1790">
        <f t="shared" si="116"/>
        <v>90063.54</v>
      </c>
      <c r="AA280" s="1790">
        <f t="shared" si="116"/>
        <v>91980</v>
      </c>
      <c r="AB280" s="1790">
        <f t="shared" si="116"/>
        <v>0</v>
      </c>
      <c r="AC280" s="1790">
        <f t="shared" si="115"/>
        <v>0</v>
      </c>
      <c r="AD280" s="1790">
        <f t="shared" si="115"/>
        <v>0</v>
      </c>
      <c r="AE280" s="1790">
        <f t="shared" si="115"/>
        <v>0</v>
      </c>
      <c r="AF280" s="1790">
        <f t="shared" si="115"/>
        <v>0</v>
      </c>
      <c r="AG280" s="1794">
        <v>714.79</v>
      </c>
      <c r="AH280" s="1794">
        <v>730</v>
      </c>
      <c r="AI280" s="1794">
        <v>0</v>
      </c>
      <c r="AJ280" s="1794">
        <v>0</v>
      </c>
      <c r="AK280" s="1794">
        <v>0</v>
      </c>
      <c r="AL280" s="1794">
        <v>0</v>
      </c>
      <c r="AM280" s="1794">
        <v>0</v>
      </c>
      <c r="AN280" s="1797"/>
      <c r="AO280" s="1797"/>
      <c r="AP280" s="1808">
        <f t="shared" si="131"/>
        <v>1.4537276620269497</v>
      </c>
      <c r="AQ280" s="1810">
        <f>IF(AP280&gt;[11]核心假设及结论!$B$59,[11]核心假设及结论!$D$59,IF(AP280&lt;=[11]核心假设及结论!$B$58,[11]核心假设及结论!$D$57,[11]核心假设及结论!$D$58))</f>
        <v>1.0069999999999999</v>
      </c>
      <c r="AR280" s="1809">
        <f t="shared" si="132"/>
        <v>714.79</v>
      </c>
      <c r="AS280" s="1809">
        <f>AH280*(AS$2&lt;=YEAR($K280))+AR280*$AQ280*(AS$2=YEAR($K280)+1)+INDEX([11]核心假设及结论!$E$17:$E$21,MATCH($D280,[11]核心假设及结论!$B$17:$B$21,0))*(AS$2&gt;YEAR($K280)+1)*AR280</f>
        <v>730</v>
      </c>
      <c r="AT280" s="1811">
        <f>AI280*(AT$2&lt;=YEAR($K280))+AS280*$AQ280*(AT$2=YEAR($K280)+1)+INDEX([11]核心假设及结论!$E$17:$E$21,MATCH($D280,[11]核心假设及结论!$B$17:$B$21,0))*(AT$2&gt;YEAR($K280)+1)*AS280</f>
        <v>735.1099999999999</v>
      </c>
      <c r="AU280" s="1809">
        <f>AJ280*(AU$2&lt;=YEAR($K280))+AT280*$AQ280*(AU$2=YEAR($K280)+1)+INDEX([11]核心假设及结论!$E$17:$E$21,MATCH($D280,[11]核心假设及结论!$B$17:$B$21,0))*(AU$2&gt;YEAR($K280)+1)*AT280</f>
        <v>755.01272908432475</v>
      </c>
      <c r="AV280" s="1809">
        <f>AK280*(AV$2&lt;=YEAR($K280))+AU280*$AQ280*(AV$2=YEAR($K280)+1)+INDEX([11]核心假设及结论!$E$17:$E$21,MATCH($D280,[11]核心假设及结论!$B$17:$B$21,0))*(AV$2&gt;YEAR($K280)+1)*AU280</f>
        <v>775.45431442826248</v>
      </c>
      <c r="AW280" s="1809">
        <f>AL280*(AW$2&lt;=YEAR($K280))+AV280*$AQ280*(AW$2=YEAR($K280)+1)+INDEX([11]核心假设及结论!$E$17:$E$21,MATCH($D280,[11]核心假设及结论!$B$17:$B$21,0))*(AW$2&gt;YEAR($K280)+1)*AV280</f>
        <v>796.44934529076818</v>
      </c>
      <c r="AX280" s="1809">
        <f>AM280*(AX$2&lt;=YEAR($K280))+AW280*$AQ280*(AX$2=YEAR($K280)+1)+INDEX([11]核心假设及结论!$E$17:$E$21,MATCH($D280,[11]核心假设及结论!$B$17:$B$21,0))*(AX$2&gt;YEAR($K280)+1)*AW280</f>
        <v>818.01280592755734</v>
      </c>
      <c r="AZ280" s="1746">
        <f t="shared" si="122"/>
        <v>46241</v>
      </c>
      <c r="BA280" s="1817">
        <f t="shared" si="123"/>
        <v>45658</v>
      </c>
      <c r="BB280" s="1817">
        <f t="shared" si="124"/>
        <v>45876</v>
      </c>
      <c r="BC280" s="1817">
        <f t="shared" si="125"/>
        <v>46022</v>
      </c>
      <c r="BD280" s="1818">
        <f t="shared" si="126"/>
        <v>219</v>
      </c>
      <c r="BE280" s="1818">
        <f t="shared" si="127"/>
        <v>146</v>
      </c>
      <c r="BG280" s="1777">
        <f t="shared" si="137"/>
        <v>108.99614879999999</v>
      </c>
      <c r="BH280" s="1777">
        <f t="shared" si="117"/>
        <v>110.68505279999999</v>
      </c>
      <c r="BI280" s="1777">
        <f t="shared" si="117"/>
        <v>112.35234905501996</v>
      </c>
      <c r="BJ280" s="1777">
        <f t="shared" si="117"/>
        <v>115.39423171915128</v>
      </c>
      <c r="BK280" s="1777">
        <f t="shared" si="117"/>
        <v>118.51847180811762</v>
      </c>
      <c r="BL280" s="1777">
        <f t="shared" si="117"/>
        <v>121.72729910727716</v>
      </c>
      <c r="BM280" s="1777">
        <f t="shared" si="117"/>
        <v>74.210121753748012</v>
      </c>
      <c r="BO280" s="1739">
        <f t="shared" si="128"/>
        <v>2026</v>
      </c>
      <c r="BP280" s="1742">
        <f>_xlfn.IFNA(INDEX($AR280:$AX280,MATCH(BO280,$AR$2:$AX$2,0))*12/365*[11]核心假设及结论!$C$70*$H280,0)</f>
        <v>90720</v>
      </c>
      <c r="BR280" s="1739">
        <f t="shared" si="133"/>
        <v>2029</v>
      </c>
      <c r="BS280" s="1742">
        <f>_xlfn.IFNA(INDEX($AR280:$AX280,MATCH(BR280,$AR$2:$AX$2,0))*12/365*[11]核心假设及结论!$C$70*$H280,0)</f>
        <v>96368.788225934215</v>
      </c>
      <c r="BU280" s="1739">
        <f t="shared" si="134"/>
        <v>2032</v>
      </c>
      <c r="BV280" s="1742">
        <f>_xlfn.IFNA(INDEX($AR280:$AX280,MATCH(BU280,$AR$2:$AX$2,0))*12/365*[11]核心假设及结论!$C$70*$H280,0)</f>
        <v>0</v>
      </c>
      <c r="BX280" s="1739">
        <f t="shared" si="135"/>
        <v>2035</v>
      </c>
      <c r="BY280" s="1742">
        <f>_xlfn.IFNA(INDEX($AR280:$AX280,MATCH(BX280,$AR$2:$AX$2,0))*12/365*[11]核心假设及结论!$C$70*$H280,0)</f>
        <v>0</v>
      </c>
      <c r="CA280" s="1739">
        <f t="shared" si="136"/>
        <v>2038</v>
      </c>
      <c r="CB280" s="1742">
        <f>_xlfn.IFNA(INDEX($AR280:$AX280,MATCH(CA280,$AR$2:$AX$2,0))*12/365*[11]核心假设及结论!$C$70*$H280,0)</f>
        <v>0</v>
      </c>
    </row>
    <row r="281" spans="1:80" ht="30" customHeight="1">
      <c r="A281" s="1756" t="s">
        <v>1687</v>
      </c>
      <c r="B281" s="1757" t="s">
        <v>2256</v>
      </c>
      <c r="C281" s="1756" t="s">
        <v>2257</v>
      </c>
      <c r="D281" s="1756" t="s">
        <v>1685</v>
      </c>
      <c r="E281" s="1758" t="s">
        <v>1692</v>
      </c>
      <c r="F281" s="1759"/>
      <c r="G281" s="1760" t="s">
        <v>1661</v>
      </c>
      <c r="H281" s="1761">
        <v>124</v>
      </c>
      <c r="I281" s="1761" t="s">
        <v>1913</v>
      </c>
      <c r="J281" s="1773">
        <v>44871</v>
      </c>
      <c r="K281" s="1773">
        <v>45962</v>
      </c>
      <c r="L281" s="1764">
        <f t="shared" si="118"/>
        <v>36</v>
      </c>
      <c r="M281" s="1774">
        <f t="shared" si="129"/>
        <v>121730.8</v>
      </c>
      <c r="N281" s="1775">
        <f t="shared" si="130"/>
        <v>868.7</v>
      </c>
      <c r="O281" s="1760">
        <v>107718.8</v>
      </c>
      <c r="P281" s="1776">
        <v>0.18</v>
      </c>
      <c r="Q281" s="1783">
        <f t="shared" si="119"/>
        <v>95</v>
      </c>
      <c r="R281" s="1784">
        <v>11780</v>
      </c>
      <c r="S281" s="1777">
        <f t="shared" si="120"/>
        <v>18</v>
      </c>
      <c r="T281" s="1777">
        <v>2232</v>
      </c>
      <c r="U281" s="1777"/>
      <c r="V281" s="1785">
        <v>264614.254166667</v>
      </c>
      <c r="W281" s="1785">
        <f t="shared" si="121"/>
        <v>2133.9859206989272</v>
      </c>
      <c r="X281" s="1786">
        <f>(N281+Q281)*H281/V281</f>
        <v>0.45159623156481138</v>
      </c>
      <c r="Y281" s="1789">
        <f>VLOOKUP(E281,[11]核心假设及结论!$C$25:$E$45,3,0)</f>
        <v>0.2</v>
      </c>
      <c r="Z281" s="1790">
        <f t="shared" si="116"/>
        <v>110950.24</v>
      </c>
      <c r="AA281" s="1790">
        <f t="shared" si="116"/>
        <v>0</v>
      </c>
      <c r="AB281" s="1790">
        <f t="shared" si="116"/>
        <v>0</v>
      </c>
      <c r="AC281" s="1790">
        <f t="shared" si="115"/>
        <v>0</v>
      </c>
      <c r="AD281" s="1790">
        <f t="shared" si="115"/>
        <v>0</v>
      </c>
      <c r="AE281" s="1790">
        <f t="shared" si="115"/>
        <v>0</v>
      </c>
      <c r="AF281" s="1790">
        <f t="shared" si="115"/>
        <v>0</v>
      </c>
      <c r="AG281" s="1794">
        <v>894.76</v>
      </c>
      <c r="AH281" s="1794">
        <v>0</v>
      </c>
      <c r="AI281" s="1794">
        <v>0</v>
      </c>
      <c r="AJ281" s="1794">
        <v>0</v>
      </c>
      <c r="AK281" s="1794">
        <v>0</v>
      </c>
      <c r="AL281" s="1794">
        <v>0</v>
      </c>
      <c r="AM281" s="1794">
        <v>0</v>
      </c>
      <c r="AN281" s="1795"/>
      <c r="AO281" s="1795"/>
      <c r="AP281" s="1808">
        <f t="shared" si="131"/>
        <v>2.257981157824057</v>
      </c>
      <c r="AQ281" s="1810">
        <f>IF(AP281&gt;[11]核心假设及结论!$B$59,[11]核心假设及结论!$D$59,IF(AP281&lt;=[11]核心假设及结论!$B$58,[11]核心假设及结论!$D$57,[11]核心假设及结论!$D$58))</f>
        <v>1</v>
      </c>
      <c r="AR281" s="1809">
        <f t="shared" si="132"/>
        <v>894.76</v>
      </c>
      <c r="AS281" s="1811">
        <f>AH281*(AS$2&lt;=YEAR($K281))+AR281*$AQ281*(AS$2=YEAR($K281)+1)+INDEX([11]核心假设及结论!$E$17:$E$21,MATCH($D281,[11]核心假设及结论!$B$17:$B$21,0))*(AS$2&gt;YEAR($K281)+1)*AR281</f>
        <v>894.76</v>
      </c>
      <c r="AT281" s="1809">
        <f>AI281*(AT$2&lt;=YEAR($K281))+AS281*$AQ281*(AT$2=YEAR($K281)+1)+INDEX([11]核心假设及结论!$E$17:$E$21,MATCH($D281,[11]核心假设及结论!$B$17:$B$21,0))*(AT$2&gt;YEAR($K281)+1)*AS281</f>
        <v>918.98517157362915</v>
      </c>
      <c r="AU281" s="1809">
        <f>AJ281*(AU$2&lt;=YEAR($K281))+AT281*$AQ281*(AU$2=YEAR($K281)+1)+INDEX([11]核心假设及结论!$E$17:$E$21,MATCH($D281,[11]核心假设及结论!$B$17:$B$21,0))*(AU$2&gt;YEAR($K281)+1)*AT281</f>
        <v>943.86622733717707</v>
      </c>
      <c r="AV281" s="1809">
        <f>AK281*(AV$2&lt;=YEAR($K281))+AU281*$AQ281*(AV$2=YEAR($K281)+1)+INDEX([11]核心假设及结论!$E$17:$E$21,MATCH($D281,[11]核心假设及结论!$B$17:$B$21,0))*(AV$2&gt;YEAR($K281)+1)*AU281</f>
        <v>969.42092502124558</v>
      </c>
      <c r="AW281" s="1809">
        <f>AL281*(AW$2&lt;=YEAR($K281))+AV281*$AQ281*(AW$2=YEAR($K281)+1)+INDEX([11]核心假设及结论!$E$17:$E$21,MATCH($D281,[11]核心假设及结论!$B$17:$B$21,0))*(AW$2&gt;YEAR($K281)+1)*AV281</f>
        <v>995.66750313795387</v>
      </c>
      <c r="AX281" s="1809">
        <f>AM281*(AX$2&lt;=YEAR($K281))+AW281*$AQ281*(AX$2=YEAR($K281)+1)+INDEX([11]核心假设及结论!$E$17:$E$21,MATCH($D281,[11]核心假设及结论!$B$17:$B$21,0))*(AX$2&gt;YEAR($K281)+1)*AW281</f>
        <v>1022.6246939978536</v>
      </c>
      <c r="AZ281" s="1746">
        <f t="shared" si="122"/>
        <v>45962</v>
      </c>
      <c r="BA281" s="1817">
        <f t="shared" si="123"/>
        <v>45658</v>
      </c>
      <c r="BB281" s="1817">
        <f t="shared" si="124"/>
        <v>45962</v>
      </c>
      <c r="BC281" s="1817">
        <f t="shared" si="125"/>
        <v>46022</v>
      </c>
      <c r="BD281" s="1818">
        <f t="shared" si="126"/>
        <v>305</v>
      </c>
      <c r="BE281" s="1818">
        <f t="shared" si="127"/>
        <v>60</v>
      </c>
      <c r="BG281" s="1777">
        <f t="shared" si="137"/>
        <v>133.140288</v>
      </c>
      <c r="BH281" s="1777">
        <f t="shared" si="117"/>
        <v>133.73284233372425</v>
      </c>
      <c r="BI281" s="1777">
        <f t="shared" si="117"/>
        <v>137.35359097086001</v>
      </c>
      <c r="BJ281" s="1777">
        <f t="shared" si="117"/>
        <v>141.07236953441131</v>
      </c>
      <c r="BK281" s="1777">
        <f t="shared" si="117"/>
        <v>144.89183213473936</v>
      </c>
      <c r="BL281" s="1777">
        <f t="shared" si="117"/>
        <v>148.81470474089241</v>
      </c>
      <c r="BM281" s="1777">
        <f t="shared" si="117"/>
        <v>127.15287428054407</v>
      </c>
      <c r="BO281" s="1739">
        <f t="shared" si="128"/>
        <v>2025</v>
      </c>
      <c r="BP281" s="1742">
        <f>_xlfn.IFNA(INDEX($AR281:$AX281,MATCH(BO281,$AR$2:$AX$2,0))*12/365*[11]核心假设及结论!$C$70*$H281,0)</f>
        <v>109430.37369863012</v>
      </c>
      <c r="BR281" s="1739">
        <f t="shared" si="133"/>
        <v>2028</v>
      </c>
      <c r="BS281" s="1742">
        <f>_xlfn.IFNA(INDEX($AR281:$AX281,MATCH(BR281,$AR$2:$AX$2,0))*12/365*[11]核心假设及结论!$C$70*$H281,0)</f>
        <v>115436.13257077147</v>
      </c>
      <c r="BU281" s="1739">
        <f t="shared" si="134"/>
        <v>2031</v>
      </c>
      <c r="BV281" s="1742">
        <f>_xlfn.IFNA(INDEX($AR281:$AX281,MATCH(BU281,$AR$2:$AX$2,0))*12/365*[11]核心假设及结论!$C$70*$H281,0)</f>
        <v>125068.40093168269</v>
      </c>
      <c r="BX281" s="1739">
        <f t="shared" si="135"/>
        <v>2034</v>
      </c>
      <c r="BY281" s="1742">
        <f>_xlfn.IFNA(INDEX($AR281:$AX281,MATCH(BX281,$AR$2:$AX$2,0))*12/365*[11]核心假设及结论!$C$70*$H281,0)</f>
        <v>0</v>
      </c>
      <c r="CA281" s="1739">
        <f t="shared" si="136"/>
        <v>2037</v>
      </c>
      <c r="CB281" s="1742">
        <f>_xlfn.IFNA(INDEX($AR281:$AX281,MATCH(CA281,$AR$2:$AX$2,0))*12/365*[11]核心假设及结论!$C$70*$H281,0)</f>
        <v>0</v>
      </c>
    </row>
    <row r="282" spans="1:80" ht="30" customHeight="1">
      <c r="A282" s="1756" t="s">
        <v>1662</v>
      </c>
      <c r="B282" s="1757" t="s">
        <v>2258</v>
      </c>
      <c r="C282" s="1756" t="s">
        <v>2259</v>
      </c>
      <c r="D282" s="1756" t="s">
        <v>1685</v>
      </c>
      <c r="E282" s="1758" t="s">
        <v>1871</v>
      </c>
      <c r="F282" s="1759"/>
      <c r="G282" s="1760" t="s">
        <v>1661</v>
      </c>
      <c r="H282" s="1761">
        <v>124</v>
      </c>
      <c r="I282" s="1761" t="s">
        <v>1913</v>
      </c>
      <c r="J282" s="1773">
        <v>45000</v>
      </c>
      <c r="K282" s="1773">
        <v>46095</v>
      </c>
      <c r="L282" s="1764">
        <f t="shared" si="118"/>
        <v>36</v>
      </c>
      <c r="M282" s="1774">
        <f t="shared" si="129"/>
        <v>118885</v>
      </c>
      <c r="N282" s="1775">
        <f t="shared" si="130"/>
        <v>845.75</v>
      </c>
      <c r="O282" s="1760">
        <v>104873</v>
      </c>
      <c r="P282" s="1776">
        <v>0.09</v>
      </c>
      <c r="Q282" s="1783">
        <f t="shared" si="119"/>
        <v>95</v>
      </c>
      <c r="R282" s="1784">
        <v>11780</v>
      </c>
      <c r="S282" s="1777">
        <f t="shared" si="120"/>
        <v>18</v>
      </c>
      <c r="T282" s="1777">
        <v>2232</v>
      </c>
      <c r="U282" s="1777"/>
      <c r="V282" s="1785">
        <v>1672364.33333333</v>
      </c>
      <c r="W282" s="1785">
        <f t="shared" si="121"/>
        <v>13486.809139784918</v>
      </c>
      <c r="X282" s="1786">
        <f>(N282+Q282)*H282/V282</f>
        <v>6.9753341227679191E-2</v>
      </c>
      <c r="Y282" s="1789">
        <f>VLOOKUP(E282,[11]核心假设及结论!$C$25:$E$45,3,0)</f>
        <v>0.2</v>
      </c>
      <c r="Z282" s="1790">
        <f t="shared" si="116"/>
        <v>104873</v>
      </c>
      <c r="AA282" s="1790">
        <f t="shared" si="116"/>
        <v>108018.88</v>
      </c>
      <c r="AB282" s="1790">
        <f t="shared" si="116"/>
        <v>0</v>
      </c>
      <c r="AC282" s="1790">
        <f t="shared" si="115"/>
        <v>0</v>
      </c>
      <c r="AD282" s="1790">
        <f t="shared" si="115"/>
        <v>0</v>
      </c>
      <c r="AE282" s="1790">
        <f t="shared" si="115"/>
        <v>0</v>
      </c>
      <c r="AF282" s="1790">
        <f t="shared" si="115"/>
        <v>0</v>
      </c>
      <c r="AG282" s="1794">
        <v>845.75</v>
      </c>
      <c r="AH282" s="1794">
        <v>871.12</v>
      </c>
      <c r="AI282" s="1794">
        <v>0</v>
      </c>
      <c r="AJ282" s="1794">
        <v>0</v>
      </c>
      <c r="AK282" s="1794">
        <v>0</v>
      </c>
      <c r="AL282" s="1794">
        <v>0</v>
      </c>
      <c r="AM282" s="1794">
        <v>0</v>
      </c>
      <c r="AN282" s="1795"/>
      <c r="AO282" s="1795"/>
      <c r="AP282" s="1808">
        <f t="shared" si="131"/>
        <v>0.34876670613839594</v>
      </c>
      <c r="AQ282" s="1810">
        <f>IF(AP282&gt;[11]核心假设及结论!$B$59,[11]核心假设及结论!$D$59,IF(AP282&lt;=[11]核心假设及结论!$B$58,[11]核心假设及结论!$D$57,[11]核心假设及结论!$D$58))</f>
        <v>1.0342640124442799</v>
      </c>
      <c r="AR282" s="1809">
        <f t="shared" si="132"/>
        <v>845.75</v>
      </c>
      <c r="AS282" s="1809">
        <f>AH282*(AS$2&lt;=YEAR($K282))+AR282*$AQ282*(AS$2=YEAR($K282)+1)+INDEX([11]核心假设及结论!$E$17:$E$21,MATCH($D282,[11]核心假设及结论!$B$17:$B$21,0))*(AS$2&gt;YEAR($K282)+1)*AR282</f>
        <v>871.12</v>
      </c>
      <c r="AT282" s="1811">
        <f>AI282*(AT$2&lt;=YEAR($K282))+AS282*$AQ282*(AT$2=YEAR($K282)+1)+INDEX([11]核心假设及结论!$E$17:$E$21,MATCH($D282,[11]核心假设及结论!$B$17:$B$21,0))*(AT$2&gt;YEAR($K282)+1)*AS282</f>
        <v>900.96806652046109</v>
      </c>
      <c r="AU282" s="1809">
        <f>AJ282*(AU$2&lt;=YEAR($K282))+AT282*$AQ282*(AU$2=YEAR($K282)+1)+INDEX([11]核心假设及结论!$E$17:$E$21,MATCH($D282,[11]核心假设及结论!$B$17:$B$21,0))*(AU$2&gt;YEAR($K282)+1)*AT282</f>
        <v>925.36131833527077</v>
      </c>
      <c r="AV282" s="1809">
        <f>AK282*(AV$2&lt;=YEAR($K282))+AU282*$AQ282*(AV$2=YEAR($K282)+1)+INDEX([11]核心假设及结论!$E$17:$E$21,MATCH($D282,[11]核心假设及结论!$B$17:$B$21,0))*(AV$2&gt;YEAR($K282)+1)*AU282</f>
        <v>950.41500502697761</v>
      </c>
      <c r="AW282" s="1809">
        <f>AL282*(AW$2&lt;=YEAR($K282))+AV282*$AQ282*(AW$2=YEAR($K282)+1)+INDEX([11]核心假设及结论!$E$17:$E$21,MATCH($D282,[11]核心假设及结论!$B$17:$B$21,0))*(AW$2&gt;YEAR($K282)+1)*AV282</f>
        <v>976.14700753371699</v>
      </c>
      <c r="AX282" s="1809">
        <f>AM282*(AX$2&lt;=YEAR($K282))+AW282*$AQ282*(AX$2=YEAR($K282)+1)+INDEX([11]核心假设及结论!$E$17:$E$21,MATCH($D282,[11]核心假设及结论!$B$17:$B$21,0))*(AX$2&gt;YEAR($K282)+1)*AW282</f>
        <v>1002.5756909109231</v>
      </c>
      <c r="AZ282" s="1746">
        <f t="shared" si="122"/>
        <v>46095</v>
      </c>
      <c r="BA282" s="1817">
        <f t="shared" si="123"/>
        <v>45658</v>
      </c>
      <c r="BB282" s="1817">
        <f t="shared" si="124"/>
        <v>45730</v>
      </c>
      <c r="BC282" s="1817">
        <f t="shared" si="125"/>
        <v>46022</v>
      </c>
      <c r="BD282" s="1818">
        <f t="shared" si="126"/>
        <v>73</v>
      </c>
      <c r="BE282" s="1818">
        <f t="shared" si="127"/>
        <v>292</v>
      </c>
      <c r="BG282" s="1777">
        <f t="shared" si="137"/>
        <v>128.86764479999999</v>
      </c>
      <c r="BH282" s="1777">
        <f t="shared" si="117"/>
        <v>133.17576983859567</v>
      </c>
      <c r="BI282" s="1777">
        <f t="shared" si="117"/>
        <v>136.96782099427955</v>
      </c>
      <c r="BJ282" s="1777">
        <f t="shared" si="117"/>
        <v>140.67615503206906</v>
      </c>
      <c r="BK282" s="1777">
        <f t="shared" si="117"/>
        <v>144.48489032641655</v>
      </c>
      <c r="BL282" s="1777">
        <f t="shared" si="117"/>
        <v>148.3967451902397</v>
      </c>
      <c r="BM282" s="1777">
        <f t="shared" si="117"/>
        <v>29.836652561509069</v>
      </c>
      <c r="BO282" s="1739">
        <f t="shared" si="128"/>
        <v>2026</v>
      </c>
      <c r="BP282" s="1742">
        <f>_xlfn.IFNA(INDEX($AR282:$AX282,MATCH(BO282,$AR$2:$AX$2,0))*12/365*[11]核心假设及结论!$C$70*$H282,0)</f>
        <v>106539.16931506849</v>
      </c>
      <c r="BR282" s="1739">
        <f t="shared" si="133"/>
        <v>2029</v>
      </c>
      <c r="BS282" s="1742">
        <f>_xlfn.IFNA(INDEX($AR282:$AX282,MATCH(BR282,$AR$2:$AX$2,0))*12/365*[11]核心假设及结论!$C$70*$H282,0)</f>
        <v>116237.05705316241</v>
      </c>
      <c r="BU282" s="1739">
        <f t="shared" si="134"/>
        <v>2032</v>
      </c>
      <c r="BV282" s="1742">
        <f>_xlfn.IFNA(INDEX($AR282:$AX282,MATCH(BU282,$AR$2:$AX$2,0))*12/365*[11]核心假设及结论!$C$70*$H282,0)</f>
        <v>0</v>
      </c>
      <c r="BX282" s="1739">
        <f t="shared" si="135"/>
        <v>2035</v>
      </c>
      <c r="BY282" s="1742">
        <f>_xlfn.IFNA(INDEX($AR282:$AX282,MATCH(BX282,$AR$2:$AX$2,0))*12/365*[11]核心假设及结论!$C$70*$H282,0)</f>
        <v>0</v>
      </c>
      <c r="CA282" s="1739">
        <f t="shared" si="136"/>
        <v>2038</v>
      </c>
      <c r="CB282" s="1742">
        <f>_xlfn.IFNA(INDEX($AR282:$AX282,MATCH(CA282,$AR$2:$AX$2,0))*12/365*[11]核心假设及结论!$C$70*$H282,0)</f>
        <v>0</v>
      </c>
    </row>
    <row r="283" spans="1:80" ht="30" customHeight="1">
      <c r="A283" s="1756" t="s">
        <v>1687</v>
      </c>
      <c r="B283" s="1757" t="s">
        <v>2260</v>
      </c>
      <c r="C283" s="1756" t="s">
        <v>2261</v>
      </c>
      <c r="D283" s="1756" t="s">
        <v>1685</v>
      </c>
      <c r="E283" s="1758" t="s">
        <v>1721</v>
      </c>
      <c r="F283" s="1759"/>
      <c r="G283" s="1760" t="s">
        <v>1661</v>
      </c>
      <c r="H283" s="1761">
        <v>124</v>
      </c>
      <c r="I283" s="1761" t="s">
        <v>1913</v>
      </c>
      <c r="J283" s="1773">
        <v>45005</v>
      </c>
      <c r="K283" s="1773">
        <v>46100</v>
      </c>
      <c r="L283" s="1764">
        <f t="shared" si="118"/>
        <v>36</v>
      </c>
      <c r="M283" s="1774">
        <f t="shared" si="129"/>
        <v>96989.08</v>
      </c>
      <c r="N283" s="1775">
        <f t="shared" si="130"/>
        <v>669.17</v>
      </c>
      <c r="O283" s="1760">
        <v>82977.08</v>
      </c>
      <c r="P283" s="1776">
        <v>0.18</v>
      </c>
      <c r="Q283" s="1783">
        <f t="shared" si="119"/>
        <v>95</v>
      </c>
      <c r="R283" s="1784">
        <v>11780</v>
      </c>
      <c r="S283" s="1777">
        <f t="shared" si="120"/>
        <v>18</v>
      </c>
      <c r="T283" s="1777">
        <v>2232</v>
      </c>
      <c r="U283" s="1777"/>
      <c r="V283" s="1785">
        <v>352096.5</v>
      </c>
      <c r="W283" s="1785">
        <f t="shared" si="121"/>
        <v>2839.4879032258063</v>
      </c>
      <c r="X283" s="1786">
        <f>(N283+Q283)*H283/V283</f>
        <v>0.26912247068630335</v>
      </c>
      <c r="Y283" s="1789">
        <f>VLOOKUP(E283,[11]核心假设及结论!$C$25:$E$45,3,0)</f>
        <v>0.25</v>
      </c>
      <c r="Z283" s="1790">
        <f t="shared" si="116"/>
        <v>82977.08</v>
      </c>
      <c r="AA283" s="1790">
        <f t="shared" si="116"/>
        <v>86747.92</v>
      </c>
      <c r="AB283" s="1790">
        <f t="shared" si="116"/>
        <v>0</v>
      </c>
      <c r="AC283" s="1790">
        <f t="shared" si="115"/>
        <v>0</v>
      </c>
      <c r="AD283" s="1790">
        <f t="shared" si="115"/>
        <v>0</v>
      </c>
      <c r="AE283" s="1790">
        <f t="shared" si="115"/>
        <v>0</v>
      </c>
      <c r="AF283" s="1790">
        <f t="shared" si="115"/>
        <v>0</v>
      </c>
      <c r="AG283" s="1794">
        <v>669.17</v>
      </c>
      <c r="AH283" s="1794">
        <v>699.58</v>
      </c>
      <c r="AI283" s="1794">
        <v>0</v>
      </c>
      <c r="AJ283" s="1794">
        <v>0</v>
      </c>
      <c r="AK283" s="1794">
        <v>0</v>
      </c>
      <c r="AL283" s="1794">
        <v>0</v>
      </c>
      <c r="AM283" s="1794">
        <v>0</v>
      </c>
      <c r="AN283" s="1795"/>
      <c r="AO283" s="1795"/>
      <c r="AP283" s="1808">
        <f t="shared" si="131"/>
        <v>1.0764898827452134</v>
      </c>
      <c r="AQ283" s="1810">
        <f>IF(AP283&gt;[11]核心假设及结论!$B$59,[11]核心假设及结论!$D$59,IF(AP283&lt;=[11]核心假设及结论!$B$58,[11]核心假设及结论!$D$57,[11]核心假设及结论!$D$58))</f>
        <v>1.0069999999999999</v>
      </c>
      <c r="AR283" s="1809">
        <f t="shared" si="132"/>
        <v>669.17</v>
      </c>
      <c r="AS283" s="1809">
        <f>AH283*(AS$2&lt;=YEAR($K283))+AR283*$AQ283*(AS$2=YEAR($K283)+1)+INDEX([11]核心假设及结论!$E$17:$E$21,MATCH($D283,[11]核心假设及结论!$B$17:$B$21,0))*(AS$2&gt;YEAR($K283)+1)*AR283</f>
        <v>699.58</v>
      </c>
      <c r="AT283" s="1811">
        <f>AI283*(AT$2&lt;=YEAR($K283))+AS283*$AQ283*(AT$2=YEAR($K283)+1)+INDEX([11]核心假设及结论!$E$17:$E$21,MATCH($D283,[11]核心假设及结论!$B$17:$B$21,0))*(AT$2&gt;YEAR($K283)+1)*AS283</f>
        <v>704.47705999999994</v>
      </c>
      <c r="AU283" s="1809">
        <f>AJ283*(AU$2&lt;=YEAR($K283))+AT283*$AQ283*(AU$2=YEAR($K283)+1)+INDEX([11]核心假设及结论!$E$17:$E$21,MATCH($D283,[11]核心假设及结论!$B$17:$B$21,0))*(AU$2&gt;YEAR($K283)+1)*AT283</f>
        <v>723.55041782576984</v>
      </c>
      <c r="AV283" s="1809">
        <f>AK283*(AV$2&lt;=YEAR($K283))+AU283*$AQ283*(AV$2=YEAR($K283)+1)+INDEX([11]核心假设及结论!$E$17:$E$21,MATCH($D283,[11]核心假设及结论!$B$17:$B$21,0))*(AV$2&gt;YEAR($K283)+1)*AU283</f>
        <v>743.14017710647113</v>
      </c>
      <c r="AW283" s="1809">
        <f>AL283*(AW$2&lt;=YEAR($K283))+AV283*$AQ283*(AW$2=YEAR($K283)+1)+INDEX([11]核心假设及结论!$E$17:$E$21,MATCH($D283,[11]核心假设及结论!$B$17:$B$21,0))*(AW$2&gt;YEAR($K283)+1)*AV283</f>
        <v>763.26031914865166</v>
      </c>
      <c r="AX283" s="1809">
        <f>AM283*(AX$2&lt;=YEAR($K283))+AW283*$AQ283*(AX$2=YEAR($K283)+1)+INDEX([11]核心假设及结论!$E$17:$E$21,MATCH($D283,[11]核心假设及结论!$B$17:$B$21,0))*(AX$2&gt;YEAR($K283)+1)*AW283</f>
        <v>783.92520379561734</v>
      </c>
      <c r="AZ283" s="1746">
        <f t="shared" si="122"/>
        <v>46100</v>
      </c>
      <c r="BA283" s="1817">
        <f t="shared" si="123"/>
        <v>45658</v>
      </c>
      <c r="BB283" s="1817">
        <f t="shared" si="124"/>
        <v>45735</v>
      </c>
      <c r="BC283" s="1817">
        <f t="shared" si="125"/>
        <v>46022</v>
      </c>
      <c r="BD283" s="1818">
        <f t="shared" si="126"/>
        <v>78</v>
      </c>
      <c r="BE283" s="1818">
        <f t="shared" si="127"/>
        <v>287</v>
      </c>
      <c r="BG283" s="1777">
        <f t="shared" si="137"/>
        <v>103.1305159890411</v>
      </c>
      <c r="BH283" s="1777">
        <f t="shared" si="117"/>
        <v>104.67046806996164</v>
      </c>
      <c r="BI283" s="1777">
        <f t="shared" si="117"/>
        <v>107.05780074707998</v>
      </c>
      <c r="BJ283" s="1777">
        <f t="shared" si="117"/>
        <v>109.95633621066061</v>
      </c>
      <c r="BK283" s="1777">
        <f t="shared" si="117"/>
        <v>112.93334804658413</v>
      </c>
      <c r="BL283" s="1777">
        <f t="shared" si="117"/>
        <v>115.99096096268774</v>
      </c>
      <c r="BM283" s="1777">
        <f t="shared" si="117"/>
        <v>24.927532836530013</v>
      </c>
      <c r="BO283" s="1739">
        <f t="shared" si="128"/>
        <v>2026</v>
      </c>
      <c r="BP283" s="1742">
        <f>_xlfn.IFNA(INDEX($AR283:$AX283,MATCH(BO283,$AR$2:$AX$2,0))*12/365*[11]核心假设及结论!$C$70*$H283,0)</f>
        <v>85559.592328767132</v>
      </c>
      <c r="BR283" s="1739">
        <f t="shared" si="133"/>
        <v>2029</v>
      </c>
      <c r="BS283" s="1742">
        <f>_xlfn.IFNA(INDEX($AR283:$AX283,MATCH(BR283,$AR$2:$AX$2,0))*12/365*[11]核心假设及结论!$C$70*$H283,0)</f>
        <v>90887.061660364023</v>
      </c>
      <c r="BU283" s="1739">
        <f t="shared" si="134"/>
        <v>2032</v>
      </c>
      <c r="BV283" s="1742">
        <f>_xlfn.IFNA(INDEX($AR283:$AX283,MATCH(BU283,$AR$2:$AX$2,0))*12/365*[11]核心假设及结论!$C$70*$H283,0)</f>
        <v>0</v>
      </c>
      <c r="BX283" s="1739">
        <f t="shared" si="135"/>
        <v>2035</v>
      </c>
      <c r="BY283" s="1742">
        <f>_xlfn.IFNA(INDEX($AR283:$AX283,MATCH(BX283,$AR$2:$AX$2,0))*12/365*[11]核心假设及结论!$C$70*$H283,0)</f>
        <v>0</v>
      </c>
      <c r="CA283" s="1739">
        <f t="shared" si="136"/>
        <v>2038</v>
      </c>
      <c r="CB283" s="1742">
        <f>_xlfn.IFNA(INDEX($AR283:$AX283,MATCH(CA283,$AR$2:$AX$2,0))*12/365*[11]核心假设及结论!$C$70*$H283,0)</f>
        <v>0</v>
      </c>
    </row>
    <row r="284" spans="1:80" ht="30" customHeight="1">
      <c r="A284" s="1756" t="s">
        <v>1666</v>
      </c>
      <c r="B284" s="1757" t="s">
        <v>2262</v>
      </c>
      <c r="C284" s="1756" t="s">
        <v>2263</v>
      </c>
      <c r="D284" s="1756" t="s">
        <v>1685</v>
      </c>
      <c r="E284" s="1758" t="s">
        <v>1692</v>
      </c>
      <c r="F284" s="1759"/>
      <c r="G284" s="1760" t="s">
        <v>1661</v>
      </c>
      <c r="H284" s="1761">
        <v>124</v>
      </c>
      <c r="I284" s="1761" t="s">
        <v>1913</v>
      </c>
      <c r="J284" s="1773">
        <v>45108</v>
      </c>
      <c r="K284" s="1773">
        <v>45991</v>
      </c>
      <c r="L284" s="1764">
        <f t="shared" si="118"/>
        <v>29</v>
      </c>
      <c r="M284" s="1774">
        <f t="shared" si="129"/>
        <v>96979.16</v>
      </c>
      <c r="N284" s="1775">
        <f t="shared" si="130"/>
        <v>669.09</v>
      </c>
      <c r="O284" s="1760">
        <v>82967.16</v>
      </c>
      <c r="P284" s="1776">
        <v>0.16</v>
      </c>
      <c r="Q284" s="1783">
        <f t="shared" si="119"/>
        <v>95</v>
      </c>
      <c r="R284" s="1784">
        <v>11780</v>
      </c>
      <c r="S284" s="1777">
        <f t="shared" si="120"/>
        <v>18</v>
      </c>
      <c r="T284" s="1784">
        <v>2232</v>
      </c>
      <c r="U284" s="1777"/>
      <c r="V284" s="1785">
        <v>328677.58333333302</v>
      </c>
      <c r="W284" s="1785">
        <f t="shared" si="121"/>
        <v>2650.6256720430083</v>
      </c>
      <c r="X284" s="1786">
        <f>(N284+Q284)*H284/V284</f>
        <v>0.28826778826565375</v>
      </c>
      <c r="Y284" s="1789">
        <f>VLOOKUP(E284,[11]核心假设及结论!$C$25:$E$45,3,0)</f>
        <v>0.2</v>
      </c>
      <c r="Z284" s="1790">
        <f t="shared" si="116"/>
        <v>90531.16</v>
      </c>
      <c r="AA284" s="1790">
        <f t="shared" si="116"/>
        <v>0</v>
      </c>
      <c r="AB284" s="1790">
        <f t="shared" si="116"/>
        <v>0</v>
      </c>
      <c r="AC284" s="1790">
        <f t="shared" si="115"/>
        <v>0</v>
      </c>
      <c r="AD284" s="1790">
        <f t="shared" si="115"/>
        <v>0</v>
      </c>
      <c r="AE284" s="1790">
        <f t="shared" si="115"/>
        <v>0</v>
      </c>
      <c r="AF284" s="1790">
        <f t="shared" si="115"/>
        <v>0</v>
      </c>
      <c r="AG284" s="1794">
        <v>730.09</v>
      </c>
      <c r="AH284" s="1794">
        <v>0</v>
      </c>
      <c r="AI284" s="1794">
        <v>0</v>
      </c>
      <c r="AJ284" s="1794">
        <v>0</v>
      </c>
      <c r="AK284" s="1794">
        <v>0</v>
      </c>
      <c r="AL284" s="1794">
        <v>0</v>
      </c>
      <c r="AM284" s="1794">
        <v>0</v>
      </c>
      <c r="AN284" s="1797"/>
      <c r="AO284" s="1797"/>
      <c r="AP284" s="1808">
        <f t="shared" si="131"/>
        <v>1.4413389413282687</v>
      </c>
      <c r="AQ284" s="1810">
        <f>IF(AP284&gt;[11]核心假设及结论!$B$59,[11]核心假设及结论!$D$59,IF(AP284&lt;=[11]核心假设及结论!$B$58,[11]核心假设及结论!$D$57,[11]核心假设及结论!$D$58))</f>
        <v>1.0069999999999999</v>
      </c>
      <c r="AR284" s="1809">
        <f t="shared" si="132"/>
        <v>730.09</v>
      </c>
      <c r="AS284" s="1811">
        <f>AH284*(AS$2&lt;=YEAR($K284))+AR284*$AQ284*(AS$2=YEAR($K284)+1)+INDEX([11]核心假设及结论!$E$17:$E$21,MATCH($D284,[11]核心假设及结论!$B$17:$B$21,0))*(AS$2&gt;YEAR($K284)+1)*AR284</f>
        <v>735.20062999999993</v>
      </c>
      <c r="AT284" s="1809">
        <f>AI284*(AT$2&lt;=YEAR($K284))+AS284*$AQ284*(AT$2=YEAR($K284)+1)+INDEX([11]核心假设及结论!$E$17:$E$21,MATCH($D284,[11]核心假设及结论!$B$17:$B$21,0))*(AT$2&gt;YEAR($K284)+1)*AS284</f>
        <v>755.1058128454448</v>
      </c>
      <c r="AU284" s="1809">
        <f>AJ284*(AU$2&lt;=YEAR($K284))+AT284*$AQ284*(AU$2=YEAR($K284)+1)+INDEX([11]核心假设及结论!$E$17:$E$21,MATCH($D284,[11]核心假设及结论!$B$17:$B$21,0))*(AU$2&gt;YEAR($K284)+1)*AT284</f>
        <v>775.54991838483591</v>
      </c>
      <c r="AV284" s="1809">
        <f>AK284*(AV$2&lt;=YEAR($K284))+AU284*$AQ284*(AV$2=YEAR($K284)+1)+INDEX([11]核心假设及结论!$E$17:$E$21,MATCH($D284,[11]核心假设及结论!$B$17:$B$21,0))*(AV$2&gt;YEAR($K284)+1)*AU284</f>
        <v>796.54753767580416</v>
      </c>
      <c r="AW284" s="1809">
        <f>AL284*(AW$2&lt;=YEAR($K284))+AV284*$AQ284*(AW$2=YEAR($K284)+1)+INDEX([11]核心假设及结论!$E$17:$E$21,MATCH($D284,[11]核心假设及结论!$B$17:$B$21,0))*(AW$2&gt;YEAR($K284)+1)*AV284</f>
        <v>818.11365682143889</v>
      </c>
      <c r="AX284" s="1809">
        <f>AM284*(AX$2&lt;=YEAR($K284))+AW284*$AQ284*(AX$2=YEAR($K284)+1)+INDEX([11]核心假设及结论!$E$17:$E$21,MATCH($D284,[11]核心假设及结论!$B$17:$B$21,0))*(AX$2&gt;YEAR($K284)+1)*AW284</f>
        <v>840.26366766594299</v>
      </c>
      <c r="AZ284" s="1746">
        <f t="shared" si="122"/>
        <v>45991</v>
      </c>
      <c r="BA284" s="1817">
        <f t="shared" si="123"/>
        <v>45658</v>
      </c>
      <c r="BB284" s="1817">
        <f t="shared" si="124"/>
        <v>45991</v>
      </c>
      <c r="BC284" s="1817">
        <f t="shared" si="125"/>
        <v>46022</v>
      </c>
      <c r="BD284" s="1818">
        <f t="shared" si="126"/>
        <v>334</v>
      </c>
      <c r="BE284" s="1818">
        <f t="shared" si="127"/>
        <v>31</v>
      </c>
      <c r="BG284" s="1777">
        <f t="shared" si="137"/>
        <v>108.70197916181918</v>
      </c>
      <c r="BH284" s="1777">
        <f t="shared" si="117"/>
        <v>109.64941162736839</v>
      </c>
      <c r="BI284" s="1777">
        <f t="shared" si="117"/>
        <v>112.61811363642164</v>
      </c>
      <c r="BJ284" s="1777">
        <f t="shared" si="117"/>
        <v>115.66719174132217</v>
      </c>
      <c r="BK284" s="1777">
        <f t="shared" si="117"/>
        <v>118.79882208395412</v>
      </c>
      <c r="BL284" s="1777">
        <f t="shared" si="117"/>
        <v>122.01523972413565</v>
      </c>
      <c r="BM284" s="1777">
        <f t="shared" si="117"/>
        <v>114.41214266318697</v>
      </c>
      <c r="BO284" s="1739">
        <f t="shared" si="128"/>
        <v>2025</v>
      </c>
      <c r="BP284" s="1742">
        <f>_xlfn.IFNA(INDEX($AR284:$AX284,MATCH(BO284,$AR$2:$AX$2,0))*12/365*[11]核心假设及结论!$C$70*$H284,0)</f>
        <v>89291.007123287665</v>
      </c>
      <c r="BR284" s="1739">
        <f t="shared" si="133"/>
        <v>2027</v>
      </c>
      <c r="BS284" s="1742">
        <f>_xlfn.IFNA(INDEX($AR284:$AX284,MATCH(BR284,$AR$2:$AX$2,0))*12/365*[11]核心假设及结论!$C$70*$H284,0)</f>
        <v>92350.475302522347</v>
      </c>
      <c r="BU284" s="1739">
        <f t="shared" si="134"/>
        <v>2029</v>
      </c>
      <c r="BV284" s="1742">
        <f>_xlfn.IFNA(INDEX($AR284:$AX284,MATCH(BU284,$AR$2:$AX$2,0))*12/365*[11]核心假设及结论!$C$70*$H284,0)</f>
        <v>97418.855018761373</v>
      </c>
      <c r="BX284" s="1739">
        <f t="shared" si="135"/>
        <v>2031</v>
      </c>
      <c r="BY284" s="1742">
        <f>_xlfn.IFNA(INDEX($AR284:$AX284,MATCH(BX284,$AR$2:$AX$2,0))*12/365*[11]核心假设及结论!$C$70*$H284,0)</f>
        <v>102765.39760166491</v>
      </c>
      <c r="CA284" s="1739">
        <f t="shared" si="136"/>
        <v>2033</v>
      </c>
      <c r="CB284" s="1742">
        <f>_xlfn.IFNA(INDEX($AR284:$AX284,MATCH(CA284,$AR$2:$AX$2,0))*12/365*[11]核心假设及结论!$C$70*$H284,0)</f>
        <v>0</v>
      </c>
    </row>
    <row r="285" spans="1:80" ht="30" customHeight="1">
      <c r="A285" s="1756" t="s">
        <v>1687</v>
      </c>
      <c r="B285" s="1757" t="s">
        <v>2264</v>
      </c>
      <c r="C285" s="1756" t="s">
        <v>2265</v>
      </c>
      <c r="D285" s="1756" t="s">
        <v>1685</v>
      </c>
      <c r="E285" s="1758" t="s">
        <v>1871</v>
      </c>
      <c r="F285" s="1762" t="s">
        <v>2266</v>
      </c>
      <c r="G285" s="1760" t="s">
        <v>1661</v>
      </c>
      <c r="H285" s="1761">
        <v>123</v>
      </c>
      <c r="I285" s="1761" t="s">
        <v>1913</v>
      </c>
      <c r="J285" s="1773">
        <v>45671</v>
      </c>
      <c r="K285" s="1773">
        <v>46371</v>
      </c>
      <c r="L285" s="1764">
        <f t="shared" si="118"/>
        <v>24</v>
      </c>
      <c r="M285" s="1774">
        <f t="shared" si="129"/>
        <v>106815.66</v>
      </c>
      <c r="N285" s="1775">
        <f t="shared" si="130"/>
        <v>760.42000000000007</v>
      </c>
      <c r="O285" s="1760">
        <v>93531.66</v>
      </c>
      <c r="P285" s="1776">
        <v>0.16</v>
      </c>
      <c r="Q285" s="1783">
        <f t="shared" si="119"/>
        <v>90</v>
      </c>
      <c r="R285" s="1784">
        <v>11070</v>
      </c>
      <c r="S285" s="1777">
        <f t="shared" si="120"/>
        <v>18</v>
      </c>
      <c r="T285" s="1784">
        <v>2214</v>
      </c>
      <c r="U285" s="1777"/>
      <c r="V285" s="1785">
        <v>92845.4363636364</v>
      </c>
      <c r="W285" s="1785">
        <f t="shared" si="121"/>
        <v>754.84094604582435</v>
      </c>
      <c r="X285" s="1786">
        <f>(N285+Q285)*H285/V285</f>
        <v>1.1266214484718391</v>
      </c>
      <c r="Y285" s="1789">
        <f>VLOOKUP(E285,[11]核心假设及结论!$C$25:$E$45,3,0)</f>
        <v>0.2</v>
      </c>
      <c r="Z285" s="1790">
        <f t="shared" si="116"/>
        <v>74824.590000000011</v>
      </c>
      <c r="AA285" s="1790">
        <f t="shared" si="116"/>
        <v>78566.25</v>
      </c>
      <c r="AB285" s="1790">
        <f t="shared" si="116"/>
        <v>0</v>
      </c>
      <c r="AC285" s="1790">
        <f t="shared" si="115"/>
        <v>0</v>
      </c>
      <c r="AD285" s="1790">
        <f t="shared" si="115"/>
        <v>0</v>
      </c>
      <c r="AE285" s="1790">
        <f t="shared" si="115"/>
        <v>0</v>
      </c>
      <c r="AF285" s="1790">
        <f t="shared" si="115"/>
        <v>0</v>
      </c>
      <c r="AG285" s="1794">
        <v>608.33000000000004</v>
      </c>
      <c r="AH285" s="1794">
        <v>638.75</v>
      </c>
      <c r="AI285" s="1794">
        <v>0</v>
      </c>
      <c r="AJ285" s="1794">
        <v>0</v>
      </c>
      <c r="AK285" s="1794">
        <v>0</v>
      </c>
      <c r="AL285" s="1794">
        <v>0</v>
      </c>
      <c r="AM285" s="1794">
        <v>0</v>
      </c>
      <c r="AN285" s="1797"/>
      <c r="AO285" s="1797"/>
      <c r="AP285" s="1808">
        <f t="shared" si="131"/>
        <v>5.6331072423591948</v>
      </c>
      <c r="AQ285" s="1810">
        <f>IF(AP285&gt;[11]核心假设及结论!$B$59,[11]核心假设及结论!$D$59,IF(AP285&lt;=[11]核心假设及结论!$B$58,[11]核心假设及结论!$D$57,[11]核心假设及结论!$D$58))</f>
        <v>1</v>
      </c>
      <c r="AR285" s="1809">
        <f t="shared" si="132"/>
        <v>608.33000000000004</v>
      </c>
      <c r="AS285" s="1809">
        <f>AH285*(AS$2&lt;=YEAR($K285))+AR285*$AQ285*(AS$2=YEAR($K285)+1)+INDEX([11]核心假设及结论!$E$17:$E$21,MATCH($D285,[11]核心假设及结论!$B$17:$B$21,0))*(AS$2&gt;YEAR($K285)+1)*AR285</f>
        <v>638.75</v>
      </c>
      <c r="AT285" s="1811">
        <f>AI285*(AT$2&lt;=YEAR($K285))+AS285*$AQ285*(AT$2=YEAR($K285)+1)+INDEX([11]核心假设及结论!$E$17:$E$21,MATCH($D285,[11]核心假设及结论!$B$17:$B$21,0))*(AT$2&gt;YEAR($K285)+1)*AS285</f>
        <v>638.75</v>
      </c>
      <c r="AU285" s="1809">
        <f>AJ285*(AU$2&lt;=YEAR($K285))+AT285*$AQ285*(AU$2=YEAR($K285)+1)+INDEX([11]核心假设及结论!$E$17:$E$21,MATCH($D285,[11]核心假设及结论!$B$17:$B$21,0))*(AU$2&gt;YEAR($K285)+1)*AT285</f>
        <v>656.04383113086817</v>
      </c>
      <c r="AV285" s="1809">
        <f>AK285*(AV$2&lt;=YEAR($K285))+AU285*$AQ285*(AV$2=YEAR($K285)+1)+INDEX([11]核心假设及结论!$E$17:$E$21,MATCH($D285,[11]核心假设及结论!$B$17:$B$21,0))*(AV$2&gt;YEAR($K285)+1)*AU285</f>
        <v>673.8058839371696</v>
      </c>
      <c r="AW285" s="1809">
        <f>AL285*(AW$2&lt;=YEAR($K285))+AV285*$AQ285*(AW$2=YEAR($K285)+1)+INDEX([11]核心假设及结论!$E$17:$E$21,MATCH($D285,[11]核心假设及结论!$B$17:$B$21,0))*(AW$2&gt;YEAR($K285)+1)*AV285</f>
        <v>692.04883528244522</v>
      </c>
      <c r="AX285" s="1809">
        <f>AM285*(AX$2&lt;=YEAR($K285))+AW285*$AQ285*(AX$2=YEAR($K285)+1)+INDEX([11]核心假设及结论!$E$17:$E$21,MATCH($D285,[11]核心假设及结论!$B$17:$B$21,0))*(AX$2&gt;YEAR($K285)+1)*AW285</f>
        <v>710.78570524986378</v>
      </c>
      <c r="AZ285" s="1746">
        <f t="shared" si="122"/>
        <v>46371</v>
      </c>
      <c r="BA285" s="1817">
        <f t="shared" si="123"/>
        <v>45658</v>
      </c>
      <c r="BB285" s="1817">
        <f t="shared" si="124"/>
        <v>46006</v>
      </c>
      <c r="BC285" s="1817">
        <f t="shared" si="125"/>
        <v>46022</v>
      </c>
      <c r="BD285" s="1818">
        <f t="shared" si="126"/>
        <v>349</v>
      </c>
      <c r="BE285" s="1818">
        <f t="shared" si="127"/>
        <v>16</v>
      </c>
      <c r="BG285" s="1777">
        <f t="shared" si="137"/>
        <v>89.986329567123292</v>
      </c>
      <c r="BH285" s="1777">
        <f t="shared" si="117"/>
        <v>94.279499999999999</v>
      </c>
      <c r="BI285" s="1777">
        <f t="shared" si="117"/>
        <v>94.391393456434685</v>
      </c>
      <c r="BJ285" s="1777">
        <f t="shared" si="117"/>
        <v>96.946992389730823</v>
      </c>
      <c r="BK285" s="1777">
        <f t="shared" si="117"/>
        <v>99.571782863364589</v>
      </c>
      <c r="BL285" s="1777">
        <f t="shared" si="117"/>
        <v>102.26763820307264</v>
      </c>
      <c r="BM285" s="1777">
        <f t="shared" si="117"/>
        <v>100.31308921400847</v>
      </c>
      <c r="BO285" s="1739">
        <f t="shared" si="128"/>
        <v>2026</v>
      </c>
      <c r="BP285" s="1742">
        <f>_xlfn.IFNA(INDEX($AR285:$AX285,MATCH(BO285,$AR$2:$AX$2,0))*12/365*[11]核心假设及结论!$C$70*$H285,0)</f>
        <v>77490</v>
      </c>
      <c r="BR285" s="1739">
        <f t="shared" si="133"/>
        <v>2028</v>
      </c>
      <c r="BS285" s="1742">
        <f>_xlfn.IFNA(INDEX($AR285:$AX285,MATCH(BR285,$AR$2:$AX$2,0))*12/365*[11]核心假设及结论!$C$70*$H285,0)</f>
        <v>79588.002308150259</v>
      </c>
      <c r="BU285" s="1739">
        <f t="shared" si="134"/>
        <v>2030</v>
      </c>
      <c r="BV285" s="1742">
        <f>_xlfn.IFNA(INDEX($AR285:$AX285,MATCH(BU285,$AR$2:$AX$2,0))*12/365*[11]核心假设及结论!$C$70*$H285,0)</f>
        <v>83955.951852895014</v>
      </c>
      <c r="BX285" s="1739">
        <f t="shared" si="135"/>
        <v>2032</v>
      </c>
      <c r="BY285" s="1742">
        <f>_xlfn.IFNA(INDEX($AR285:$AX285,MATCH(BX285,$AR$2:$AX$2,0))*12/365*[11]核心假设及结论!$C$70*$H285,0)</f>
        <v>0</v>
      </c>
      <c r="CA285" s="1739">
        <f t="shared" si="136"/>
        <v>2034</v>
      </c>
      <c r="CB285" s="1742">
        <f>_xlfn.IFNA(INDEX($AR285:$AX285,MATCH(CA285,$AR$2:$AX$2,0))*12/365*[11]核心假设及结论!$C$70*$H285,0)</f>
        <v>0</v>
      </c>
    </row>
    <row r="286" spans="1:80" ht="30" customHeight="1">
      <c r="A286" s="1756" t="s">
        <v>1687</v>
      </c>
      <c r="B286" s="1757" t="s">
        <v>2267</v>
      </c>
      <c r="C286" s="1756" t="s">
        <v>2268</v>
      </c>
      <c r="D286" s="1756" t="s">
        <v>1685</v>
      </c>
      <c r="E286" s="1758" t="s">
        <v>1718</v>
      </c>
      <c r="F286" s="1759"/>
      <c r="G286" s="1760" t="s">
        <v>1661</v>
      </c>
      <c r="H286" s="1761">
        <v>122</v>
      </c>
      <c r="I286" s="1761" t="s">
        <v>1913</v>
      </c>
      <c r="J286" s="1773">
        <v>45399</v>
      </c>
      <c r="K286" s="1773">
        <v>46493</v>
      </c>
      <c r="L286" s="1764">
        <f t="shared" si="118"/>
        <v>36</v>
      </c>
      <c r="M286" s="1774">
        <f t="shared" si="129"/>
        <v>113978.5</v>
      </c>
      <c r="N286" s="1775">
        <f t="shared" si="130"/>
        <v>821.25</v>
      </c>
      <c r="O286" s="1760">
        <v>100192.5</v>
      </c>
      <c r="P286" s="1776">
        <v>0.18</v>
      </c>
      <c r="Q286" s="1783">
        <f t="shared" si="119"/>
        <v>95</v>
      </c>
      <c r="R286" s="1784">
        <v>11590</v>
      </c>
      <c r="S286" s="1777">
        <f t="shared" si="120"/>
        <v>18</v>
      </c>
      <c r="T286" s="1784">
        <v>2196</v>
      </c>
      <c r="U286" s="1777"/>
      <c r="V286" s="1785">
        <v>315051.75</v>
      </c>
      <c r="W286" s="1785">
        <f t="shared" si="121"/>
        <v>2582.3913934426228</v>
      </c>
      <c r="X286" s="1786">
        <f>(N286+Q286+S286)*H286/V286</f>
        <v>0.36177707313163632</v>
      </c>
      <c r="Y286" s="1789">
        <f>VLOOKUP(E286,[11]核心假设及结论!$C$25:$E$45,3,0)</f>
        <v>0.2</v>
      </c>
      <c r="Z286" s="1790">
        <f t="shared" si="116"/>
        <v>100192.5</v>
      </c>
      <c r="AA286" s="1790">
        <f t="shared" si="116"/>
        <v>103903.73999999999</v>
      </c>
      <c r="AB286" s="1790">
        <f t="shared" si="116"/>
        <v>107613.76000000001</v>
      </c>
      <c r="AC286" s="1790">
        <f t="shared" si="115"/>
        <v>0</v>
      </c>
      <c r="AD286" s="1790">
        <f t="shared" si="115"/>
        <v>0</v>
      </c>
      <c r="AE286" s="1790">
        <f t="shared" si="115"/>
        <v>0</v>
      </c>
      <c r="AF286" s="1790">
        <f t="shared" si="115"/>
        <v>0</v>
      </c>
      <c r="AG286" s="1794">
        <v>821.25</v>
      </c>
      <c r="AH286" s="1794">
        <v>851.67</v>
      </c>
      <c r="AI286" s="1794">
        <v>882.08</v>
      </c>
      <c r="AJ286" s="1794">
        <v>0</v>
      </c>
      <c r="AK286" s="1794">
        <v>0</v>
      </c>
      <c r="AL286" s="1794">
        <v>0</v>
      </c>
      <c r="AM286" s="1794">
        <v>0</v>
      </c>
      <c r="AN286" s="1797"/>
      <c r="AO286" s="1797"/>
      <c r="AP286" s="1808">
        <f t="shared" si="131"/>
        <v>1.8088853656581816</v>
      </c>
      <c r="AQ286" s="1810">
        <f>IF(AP286&gt;[11]核心假设及结论!$B$59,[11]核心假设及结论!$D$59,IF(AP286&lt;=[11]核心假设及结论!$B$58,[11]核心假设及结论!$D$57,[11]核心假设及结论!$D$58))</f>
        <v>1</v>
      </c>
      <c r="AR286" s="1809">
        <f t="shared" si="132"/>
        <v>821.25</v>
      </c>
      <c r="AS286" s="1809">
        <f>AH286*(AS$2&lt;=YEAR($K286))+AR286*$AQ286*(AS$2=YEAR($K286)+1)+INDEX([11]核心假设及结论!$E$17:$E$21,MATCH($D286,[11]核心假设及结论!$B$17:$B$21,0))*(AS$2&gt;YEAR($K286)+1)*AR286</f>
        <v>851.67</v>
      </c>
      <c r="AT286" s="1809">
        <f>AI286*(AT$2&lt;=YEAR($K286))+AS286*$AQ286*(AT$2=YEAR($K286)+1)+INDEX([11]核心假设及结论!$E$17:$E$21,MATCH($D286,[11]核心假设及结论!$B$17:$B$21,0))*(AT$2&gt;YEAR($K286)+1)*AS286</f>
        <v>882.08</v>
      </c>
      <c r="AU286" s="1811">
        <f>AJ286*(AU$2&lt;=YEAR($K286))+AT286*$AQ286*(AU$2=YEAR($K286)+1)+INDEX([11]核心假设及结论!$E$17:$E$21,MATCH($D286,[11]核心假设及结论!$B$17:$B$21,0))*(AU$2&gt;YEAR($K286)+1)*AT286</f>
        <v>882.08</v>
      </c>
      <c r="AV286" s="1809">
        <f>AK286*(AV$2&lt;=YEAR($K286))+AU286*$AQ286*(AV$2=YEAR($K286)+1)+INDEX([11]核心假设及结论!$E$17:$E$21,MATCH($D286,[11]核心假设及结论!$B$17:$B$21,0))*(AV$2&gt;YEAR($K286)+1)*AU286</f>
        <v>905.96186702765749</v>
      </c>
      <c r="AW286" s="1809">
        <f>AL286*(AW$2&lt;=YEAR($K286))+AV286*$AQ286*(AW$2=YEAR($K286)+1)+INDEX([11]核心假设及结论!$E$17:$E$21,MATCH($D286,[11]核心假设及结论!$B$17:$B$21,0))*(AW$2&gt;YEAR($K286)+1)*AV286</f>
        <v>930.4903234493911</v>
      </c>
      <c r="AX286" s="1809">
        <f>AM286*(AX$2&lt;=YEAR($K286))+AW286*$AQ286*(AX$2=YEAR($K286)+1)+INDEX([11]核心假设及结论!$E$17:$E$21,MATCH($D286,[11]核心假设及结论!$B$17:$B$21,0))*(AX$2&gt;YEAR($K286)+1)*AW286</f>
        <v>955.68287534393619</v>
      </c>
      <c r="AZ286" s="1746">
        <f t="shared" si="122"/>
        <v>46493</v>
      </c>
      <c r="BA286" s="1817">
        <f t="shared" si="123"/>
        <v>45658</v>
      </c>
      <c r="BB286" s="1817">
        <f t="shared" si="124"/>
        <v>45763</v>
      </c>
      <c r="BC286" s="1817">
        <f t="shared" si="125"/>
        <v>46022</v>
      </c>
      <c r="BD286" s="1818">
        <f t="shared" si="126"/>
        <v>106</v>
      </c>
      <c r="BE286" s="1818">
        <f t="shared" si="127"/>
        <v>259</v>
      </c>
      <c r="BG286" s="1777">
        <f t="shared" si="137"/>
        <v>123.39114627945204</v>
      </c>
      <c r="BH286" s="1777">
        <f t="shared" si="117"/>
        <v>127.8435954410959</v>
      </c>
      <c r="BI286" s="1777">
        <f t="shared" si="117"/>
        <v>129.13651200000001</v>
      </c>
      <c r="BJ286" s="1777">
        <f t="shared" si="117"/>
        <v>131.6174519485148</v>
      </c>
      <c r="BK286" s="1777">
        <f t="shared" si="117"/>
        <v>135.1809274676894</v>
      </c>
      <c r="BL286" s="1777">
        <f t="shared" si="117"/>
        <v>138.8408822727624</v>
      </c>
      <c r="BM286" s="1777">
        <f t="shared" si="117"/>
        <v>40.631970226677645</v>
      </c>
      <c r="BO286" s="1739">
        <f t="shared" si="128"/>
        <v>2027</v>
      </c>
      <c r="BP286" s="1742">
        <f>_xlfn.IFNA(INDEX($AR286:$AX286,MATCH(BO286,$AR$2:$AX$2,0))*12/365*[11]核心假设及结论!$C$70*$H286,0)</f>
        <v>106139.5989041096</v>
      </c>
      <c r="BR286" s="1739">
        <f t="shared" si="133"/>
        <v>2030</v>
      </c>
      <c r="BS286" s="1742">
        <f>_xlfn.IFNA(INDEX($AR286:$AX286,MATCH(BR286,$AR$2:$AX$2,0))*12/365*[11]核心假设及结论!$C$70*$H286,0)</f>
        <v>111964.7534408144</v>
      </c>
      <c r="BU286" s="1739">
        <f t="shared" si="134"/>
        <v>2033</v>
      </c>
      <c r="BV286" s="1742">
        <f>_xlfn.IFNA(INDEX($AR286:$AX286,MATCH(BU286,$AR$2:$AX$2,0))*12/365*[11]核心假设及结论!$C$70*$H286,0)</f>
        <v>0</v>
      </c>
      <c r="BX286" s="1739">
        <f t="shared" si="135"/>
        <v>2036</v>
      </c>
      <c r="BY286" s="1742">
        <f>_xlfn.IFNA(INDEX($AR286:$AX286,MATCH(BX286,$AR$2:$AX$2,0))*12/365*[11]核心假设及结论!$C$70*$H286,0)</f>
        <v>0</v>
      </c>
      <c r="CA286" s="1739">
        <f t="shared" si="136"/>
        <v>2039</v>
      </c>
      <c r="CB286" s="1742">
        <f>_xlfn.IFNA(INDEX($AR286:$AX286,MATCH(CA286,$AR$2:$AX$2,0))*12/365*[11]核心假设及结论!$C$70*$H286,0)</f>
        <v>0</v>
      </c>
    </row>
    <row r="287" spans="1:80" ht="30" customHeight="1">
      <c r="A287" s="1756" t="s">
        <v>1687</v>
      </c>
      <c r="B287" s="1757" t="s">
        <v>2269</v>
      </c>
      <c r="C287" s="1756" t="s">
        <v>2270</v>
      </c>
      <c r="D287" s="1756" t="s">
        <v>1685</v>
      </c>
      <c r="E287" s="1758" t="s">
        <v>1718</v>
      </c>
      <c r="F287" s="1759"/>
      <c r="G287" s="1760" t="s">
        <v>1661</v>
      </c>
      <c r="H287" s="1761">
        <v>121</v>
      </c>
      <c r="I287" s="1761" t="s">
        <v>1913</v>
      </c>
      <c r="J287" s="1773">
        <v>44819</v>
      </c>
      <c r="K287" s="1773">
        <v>45914</v>
      </c>
      <c r="L287" s="1764">
        <f t="shared" si="118"/>
        <v>36</v>
      </c>
      <c r="M287" s="1774">
        <f t="shared" si="129"/>
        <v>83308.076499999996</v>
      </c>
      <c r="N287" s="1775">
        <f t="shared" si="130"/>
        <v>574.88</v>
      </c>
      <c r="O287" s="1760">
        <v>69560.479999999996</v>
      </c>
      <c r="P287" s="1776">
        <v>0.18</v>
      </c>
      <c r="Q287" s="1783">
        <f t="shared" si="119"/>
        <v>95</v>
      </c>
      <c r="R287" s="1784">
        <v>11495</v>
      </c>
      <c r="S287" s="1777">
        <f t="shared" si="120"/>
        <v>18.616500000000002</v>
      </c>
      <c r="T287" s="1784">
        <v>2252.5965000000001</v>
      </c>
      <c r="U287" s="1777"/>
      <c r="V287" s="1785">
        <v>266551.66666666698</v>
      </c>
      <c r="W287" s="1785">
        <f t="shared" si="121"/>
        <v>2202.9063360881569</v>
      </c>
      <c r="X287" s="1786">
        <f>(N287+Q287)*H287/V287</f>
        <v>0.30408918846252408</v>
      </c>
      <c r="Y287" s="1789">
        <f>VLOOKUP(E287,[11]核心假设及结论!$C$25:$E$45,3,0)</f>
        <v>0.2</v>
      </c>
      <c r="Z287" s="1790">
        <f t="shared" si="116"/>
        <v>73038.02</v>
      </c>
      <c r="AA287" s="1790">
        <f t="shared" si="116"/>
        <v>0</v>
      </c>
      <c r="AB287" s="1790">
        <f t="shared" si="116"/>
        <v>0</v>
      </c>
      <c r="AC287" s="1790">
        <f t="shared" si="115"/>
        <v>0</v>
      </c>
      <c r="AD287" s="1790">
        <f t="shared" si="115"/>
        <v>0</v>
      </c>
      <c r="AE287" s="1790">
        <f t="shared" si="115"/>
        <v>0</v>
      </c>
      <c r="AF287" s="1790">
        <f t="shared" si="115"/>
        <v>0</v>
      </c>
      <c r="AG287" s="1794">
        <v>603.62</v>
      </c>
      <c r="AH287" s="1794">
        <v>0</v>
      </c>
      <c r="AI287" s="1794">
        <v>0</v>
      </c>
      <c r="AJ287" s="1794">
        <v>0</v>
      </c>
      <c r="AK287" s="1794">
        <v>0</v>
      </c>
      <c r="AL287" s="1794">
        <v>0</v>
      </c>
      <c r="AM287" s="1794">
        <v>0</v>
      </c>
      <c r="AN287" s="1797"/>
      <c r="AO287" s="1797"/>
      <c r="AP287" s="1808">
        <f t="shared" si="131"/>
        <v>1.5204459423126204</v>
      </c>
      <c r="AQ287" s="1810">
        <f>IF(AP287&gt;[11]核心假设及结论!$B$59,[11]核心假设及结论!$D$59,IF(AP287&lt;=[11]核心假设及结论!$B$58,[11]核心假设及结论!$D$57,[11]核心假设及结论!$D$58))</f>
        <v>1</v>
      </c>
      <c r="AR287" s="1809">
        <f t="shared" si="132"/>
        <v>603.62</v>
      </c>
      <c r="AS287" s="1811">
        <f>AH287*(AS$2&lt;=YEAR($K287))+AR287*$AQ287*(AS$2=YEAR($K287)+1)+INDEX([11]核心假设及结论!$E$17:$E$21,MATCH($D287,[11]核心假设及结论!$B$17:$B$21,0))*(AS$2&gt;YEAR($K287)+1)*AR287</f>
        <v>603.62</v>
      </c>
      <c r="AT287" s="1809">
        <f>AI287*(AT$2&lt;=YEAR($K287))+AS287*$AQ287*(AT$2=YEAR($K287)+1)+INDEX([11]核心假设及结论!$E$17:$E$21,MATCH($D287,[11]核心假设及结论!$B$17:$B$21,0))*(AT$2&gt;YEAR($K287)+1)*AS287</f>
        <v>619.96270426178421</v>
      </c>
      <c r="AU287" s="1809">
        <f>AJ287*(AU$2&lt;=YEAR($K287))+AT287*$AQ287*(AU$2=YEAR($K287)+1)+INDEX([11]核心假设及结论!$E$17:$E$21,MATCH($D287,[11]核心假设及结论!$B$17:$B$21,0))*(AU$2&gt;YEAR($K287)+1)*AT287</f>
        <v>636.74787892313793</v>
      </c>
      <c r="AV287" s="1809">
        <f>AK287*(AV$2&lt;=YEAR($K287))+AU287*$AQ287*(AV$2=YEAR($K287)+1)+INDEX([11]核心假设及结论!$E$17:$E$21,MATCH($D287,[11]核心假设及结论!$B$17:$B$21,0))*(AV$2&gt;YEAR($K287)+1)*AU287</f>
        <v>653.98750364491525</v>
      </c>
      <c r="AW287" s="1809">
        <f>AL287*(AW$2&lt;=YEAR($K287))+AV287*$AQ287*(AW$2=YEAR($K287)+1)+INDEX([11]核心假设及结论!$E$17:$E$21,MATCH($D287,[11]核心假设及结论!$B$17:$B$21,0))*(AW$2&gt;YEAR($K287)+1)*AV287</f>
        <v>671.69388243119033</v>
      </c>
      <c r="AX287" s="1809">
        <f>AM287*(AX$2&lt;=YEAR($K287))+AW287*$AQ287*(AX$2=YEAR($K287)+1)+INDEX([11]核心假设及结论!$E$17:$E$21,MATCH($D287,[11]核心假设及结论!$B$17:$B$21,0))*(AX$2&gt;YEAR($K287)+1)*AW287</f>
        <v>689.87965241068503</v>
      </c>
      <c r="AZ287" s="1746">
        <f t="shared" si="122"/>
        <v>45914</v>
      </c>
      <c r="BA287" s="1817">
        <f t="shared" si="123"/>
        <v>45658</v>
      </c>
      <c r="BB287" s="1817">
        <f t="shared" si="124"/>
        <v>45914</v>
      </c>
      <c r="BC287" s="1817">
        <f t="shared" si="125"/>
        <v>46022</v>
      </c>
      <c r="BD287" s="1818">
        <f t="shared" si="126"/>
        <v>257</v>
      </c>
      <c r="BE287" s="1818">
        <f t="shared" si="127"/>
        <v>108</v>
      </c>
      <c r="BG287" s="1777">
        <f t="shared" si="137"/>
        <v>87.645623999999998</v>
      </c>
      <c r="BH287" s="1777">
        <f t="shared" si="117"/>
        <v>88.347760304524911</v>
      </c>
      <c r="BI287" s="1777">
        <f t="shared" si="117"/>
        <v>90.739730946398694</v>
      </c>
      <c r="BJ287" s="1777">
        <f t="shared" si="117"/>
        <v>93.196462975905433</v>
      </c>
      <c r="BK287" s="1777">
        <f t="shared" si="117"/>
        <v>95.719709774652245</v>
      </c>
      <c r="BL287" s="1777">
        <f t="shared" si="117"/>
        <v>98.311272196160729</v>
      </c>
      <c r="BM287" s="1777">
        <f t="shared" si="117"/>
        <v>70.531027564981059</v>
      </c>
      <c r="BO287" s="1739">
        <f t="shared" si="128"/>
        <v>2025</v>
      </c>
      <c r="BP287" s="1742">
        <f>_xlfn.IFNA(INDEX($AR287:$AX287,MATCH(BO287,$AR$2:$AX$2,0))*12/365*[11]核心假设及结论!$C$70*$H287,0)</f>
        <v>72037.499178082202</v>
      </c>
      <c r="BR287" s="1739">
        <f t="shared" si="133"/>
        <v>2028</v>
      </c>
      <c r="BS287" s="1742">
        <f>_xlfn.IFNA(INDEX($AR287:$AX287,MATCH(BR287,$AR$2:$AX$2,0))*12/365*[11]核心假设及结论!$C$70*$H287,0)</f>
        <v>75991.061933950376</v>
      </c>
      <c r="BU287" s="1739">
        <f t="shared" si="134"/>
        <v>2031</v>
      </c>
      <c r="BV287" s="1742">
        <f>_xlfn.IFNA(INDEX($AR287:$AX287,MATCH(BU287,$AR$2:$AX$2,0))*12/365*[11]核心假设及结论!$C$70*$H287,0)</f>
        <v>82331.938791806679</v>
      </c>
      <c r="BX287" s="1739">
        <f t="shared" si="135"/>
        <v>2034</v>
      </c>
      <c r="BY287" s="1742">
        <f>_xlfn.IFNA(INDEX($AR287:$AX287,MATCH(BX287,$AR$2:$AX$2,0))*12/365*[11]核心假设及结论!$C$70*$H287,0)</f>
        <v>0</v>
      </c>
      <c r="CA287" s="1739">
        <f t="shared" si="136"/>
        <v>2037</v>
      </c>
      <c r="CB287" s="1742">
        <f>_xlfn.IFNA(INDEX($AR287:$AX287,MATCH(CA287,$AR$2:$AX$2,0))*12/365*[11]核心假设及结论!$C$70*$H287,0)</f>
        <v>0</v>
      </c>
    </row>
    <row r="288" spans="1:80" ht="30" customHeight="1">
      <c r="A288" s="1756" t="s">
        <v>1687</v>
      </c>
      <c r="B288" s="1757" t="s">
        <v>2271</v>
      </c>
      <c r="C288" s="1756" t="s">
        <v>2272</v>
      </c>
      <c r="D288" s="1756" t="s">
        <v>1685</v>
      </c>
      <c r="E288" s="1758" t="s">
        <v>1692</v>
      </c>
      <c r="F288" s="1759"/>
      <c r="G288" s="1760" t="s">
        <v>1661</v>
      </c>
      <c r="H288" s="1761">
        <v>120</v>
      </c>
      <c r="I288" s="1761" t="s">
        <v>1913</v>
      </c>
      <c r="J288" s="1773">
        <v>45383</v>
      </c>
      <c r="K288" s="1773">
        <v>46695</v>
      </c>
      <c r="L288" s="1764">
        <f t="shared" si="118"/>
        <v>44</v>
      </c>
      <c r="M288" s="1774">
        <f t="shared" si="129"/>
        <v>121527.6</v>
      </c>
      <c r="N288" s="1775">
        <f t="shared" si="130"/>
        <v>899.73</v>
      </c>
      <c r="O288" s="1760">
        <v>107967.6</v>
      </c>
      <c r="P288" s="1776">
        <v>0.18</v>
      </c>
      <c r="Q288" s="1783">
        <f t="shared" si="119"/>
        <v>95</v>
      </c>
      <c r="R288" s="1784">
        <v>11400</v>
      </c>
      <c r="S288" s="1777">
        <f t="shared" si="120"/>
        <v>18</v>
      </c>
      <c r="T288" s="1777">
        <v>2160</v>
      </c>
      <c r="U288" s="1777"/>
      <c r="V288" s="1785">
        <v>456241.57916666701</v>
      </c>
      <c r="W288" s="1785">
        <f t="shared" si="121"/>
        <v>3802.0131597222253</v>
      </c>
      <c r="X288" s="1786">
        <f>(N288+Q288)*H288/V288</f>
        <v>0.26163244528924118</v>
      </c>
      <c r="Y288" s="1789">
        <f>VLOOKUP(E288,[11]核心假设及结论!$C$25:$E$45,3,0)</f>
        <v>0.2</v>
      </c>
      <c r="Z288" s="1790">
        <f t="shared" si="116"/>
        <v>110126.40000000001</v>
      </c>
      <c r="AA288" s="1790">
        <f t="shared" si="116"/>
        <v>110126.40000000001</v>
      </c>
      <c r="AB288" s="1790">
        <f t="shared" si="116"/>
        <v>112328.40000000001</v>
      </c>
      <c r="AC288" s="1790">
        <f t="shared" si="115"/>
        <v>0</v>
      </c>
      <c r="AD288" s="1790">
        <f t="shared" si="115"/>
        <v>0</v>
      </c>
      <c r="AE288" s="1790">
        <f t="shared" si="115"/>
        <v>0</v>
      </c>
      <c r="AF288" s="1790">
        <f t="shared" si="115"/>
        <v>0</v>
      </c>
      <c r="AG288" s="1794">
        <v>917.72</v>
      </c>
      <c r="AH288" s="1794">
        <v>917.72</v>
      </c>
      <c r="AI288" s="1794">
        <v>936.07</v>
      </c>
      <c r="AJ288" s="1794">
        <v>0</v>
      </c>
      <c r="AK288" s="1794">
        <v>0</v>
      </c>
      <c r="AL288" s="1794">
        <v>0</v>
      </c>
      <c r="AM288" s="1794">
        <v>0</v>
      </c>
      <c r="AN288" s="1795"/>
      <c r="AO288" s="1795"/>
      <c r="AP288" s="1808">
        <f t="shared" si="131"/>
        <v>1.3081622264462058</v>
      </c>
      <c r="AQ288" s="1810">
        <f>IF(AP288&gt;[11]核心假设及结论!$B$59,[11]核心假设及结论!$D$59,IF(AP288&lt;=[11]核心假设及结论!$B$58,[11]核心假设及结论!$D$57,[11]核心假设及结论!$D$58))</f>
        <v>1.0069999999999999</v>
      </c>
      <c r="AR288" s="1809">
        <f t="shared" si="132"/>
        <v>917.72</v>
      </c>
      <c r="AS288" s="1809">
        <f>AH288*(AS$2&lt;=YEAR($K288))+AR288*$AQ288*(AS$2=YEAR($K288)+1)+INDEX([11]核心假设及结论!$E$17:$E$21,MATCH($D288,[11]核心假设及结论!$B$17:$B$21,0))*(AS$2&gt;YEAR($K288)+1)*AR288</f>
        <v>917.72</v>
      </c>
      <c r="AT288" s="1809">
        <f>AI288*(AT$2&lt;=YEAR($K288))+AS288*$AQ288*(AT$2=YEAR($K288)+1)+INDEX([11]核心假设及结论!$E$17:$E$21,MATCH($D288,[11]核心假设及结论!$B$17:$B$21,0))*(AT$2&gt;YEAR($K288)+1)*AS288</f>
        <v>936.07</v>
      </c>
      <c r="AU288" s="1811">
        <f>AJ288*(AU$2&lt;=YEAR($K288))+AT288*$AQ288*(AU$2=YEAR($K288)+1)+INDEX([11]核心假设及结论!$E$17:$E$21,MATCH($D288,[11]核心假设及结论!$B$17:$B$21,0))*(AU$2&gt;YEAR($K288)+1)*AT288</f>
        <v>942.62248999999997</v>
      </c>
      <c r="AV288" s="1809">
        <f>AK288*(AV$2&lt;=YEAR($K288))+AU288*$AQ288*(AV$2=YEAR($K288)+1)+INDEX([11]核心假设及结论!$E$17:$E$21,MATCH($D288,[11]核心假设及结论!$B$17:$B$21,0))*(AV$2&gt;YEAR($K288)+1)*AU288</f>
        <v>968.1435141287177</v>
      </c>
      <c r="AW288" s="1809">
        <f>AL288*(AW$2&lt;=YEAR($K288))+AV288*$AQ288*(AW$2=YEAR($K288)+1)+INDEX([11]核心假设及结论!$E$17:$E$21,MATCH($D288,[11]核心假设及结论!$B$17:$B$21,0))*(AW$2&gt;YEAR($K288)+1)*AV288</f>
        <v>994.35550699570376</v>
      </c>
      <c r="AX288" s="1809">
        <f>AM288*(AX$2&lt;=YEAR($K288))+AW288*$AQ288*(AX$2=YEAR($K288)+1)+INDEX([11]核心假设及结论!$E$17:$E$21,MATCH($D288,[11]核心假设及结论!$B$17:$B$21,0))*(AX$2&gt;YEAR($K288)+1)*AW288</f>
        <v>1021.2771762278486</v>
      </c>
      <c r="AZ288" s="1746">
        <f t="shared" si="122"/>
        <v>46695</v>
      </c>
      <c r="BA288" s="1817">
        <f t="shared" si="123"/>
        <v>45658</v>
      </c>
      <c r="BB288" s="1817">
        <f t="shared" si="124"/>
        <v>45965</v>
      </c>
      <c r="BC288" s="1817">
        <f t="shared" si="125"/>
        <v>46022</v>
      </c>
      <c r="BD288" s="1818">
        <f t="shared" si="126"/>
        <v>308</v>
      </c>
      <c r="BE288" s="1818">
        <f t="shared" si="127"/>
        <v>57</v>
      </c>
      <c r="BG288" s="1777">
        <f t="shared" si="137"/>
        <v>132.15168</v>
      </c>
      <c r="BH288" s="1777">
        <f t="shared" si="117"/>
        <v>132.56432876712327</v>
      </c>
      <c r="BI288" s="1777">
        <f t="shared" si="117"/>
        <v>134.94143024087671</v>
      </c>
      <c r="BJ288" s="1777">
        <f t="shared" si="117"/>
        <v>136.31154696013292</v>
      </c>
      <c r="BK288" s="1777">
        <f t="shared" si="117"/>
        <v>140.00211271248662</v>
      </c>
      <c r="BL288" s="1777">
        <f t="shared" si="117"/>
        <v>143.79259865411407</v>
      </c>
      <c r="BM288" s="1777">
        <f t="shared" si="117"/>
        <v>124.09776800015761</v>
      </c>
      <c r="BO288" s="1739">
        <f t="shared" si="128"/>
        <v>2027</v>
      </c>
      <c r="BP288" s="1742">
        <f>_xlfn.IFNA(INDEX($AR288:$AX288,MATCH(BO288,$AR$2:$AX$2,0))*12/365*[11]核心假设及结论!$C$70*$H288,0)</f>
        <v>110789.65479452055</v>
      </c>
      <c r="BR288" s="1739">
        <f t="shared" si="133"/>
        <v>2031</v>
      </c>
      <c r="BS288" s="1742">
        <f>_xlfn.IFNA(INDEX($AR288:$AX288,MATCH(BR288,$AR$2:$AX$2,0))*12/365*[11]核心假设及结论!$C$70*$H288,0)</f>
        <v>120874.44935080291</v>
      </c>
      <c r="BU288" s="1739">
        <f t="shared" si="134"/>
        <v>2035</v>
      </c>
      <c r="BV288" s="1742">
        <f>_xlfn.IFNA(INDEX($AR288:$AX288,MATCH(BU288,$AR$2:$AX$2,0))*12/365*[11]核心假设及结论!$C$70*$H288,0)</f>
        <v>0</v>
      </c>
      <c r="BX288" s="1739">
        <f t="shared" si="135"/>
        <v>2039</v>
      </c>
      <c r="BY288" s="1742">
        <f>_xlfn.IFNA(INDEX($AR288:$AX288,MATCH(BX288,$AR$2:$AX$2,0))*12/365*[11]核心假设及结论!$C$70*$H288,0)</f>
        <v>0</v>
      </c>
      <c r="CA288" s="1739">
        <f t="shared" si="136"/>
        <v>2043</v>
      </c>
      <c r="CB288" s="1742">
        <f>_xlfn.IFNA(INDEX($AR288:$AX288,MATCH(CA288,$AR$2:$AX$2,0))*12/365*[11]核心假设及结论!$C$70*$H288,0)</f>
        <v>0</v>
      </c>
    </row>
    <row r="289" spans="1:80" ht="30" customHeight="1">
      <c r="A289" s="1756" t="s">
        <v>1687</v>
      </c>
      <c r="B289" s="1757" t="s">
        <v>2273</v>
      </c>
      <c r="C289" s="1756" t="s">
        <v>2274</v>
      </c>
      <c r="D289" s="1756" t="s">
        <v>1685</v>
      </c>
      <c r="E289" s="1758" t="s">
        <v>1692</v>
      </c>
      <c r="F289" s="1759"/>
      <c r="G289" s="1760" t="s">
        <v>1661</v>
      </c>
      <c r="H289" s="1761">
        <v>120</v>
      </c>
      <c r="I289" s="1761" t="s">
        <v>1913</v>
      </c>
      <c r="J289" s="1773">
        <v>44774</v>
      </c>
      <c r="K289" s="1773">
        <v>45869</v>
      </c>
      <c r="L289" s="1764">
        <f t="shared" si="118"/>
        <v>36</v>
      </c>
      <c r="M289" s="1774">
        <f t="shared" si="129"/>
        <v>115846.37999999999</v>
      </c>
      <c r="N289" s="1775">
        <f t="shared" si="130"/>
        <v>851.77</v>
      </c>
      <c r="O289" s="1760">
        <v>102212.4</v>
      </c>
      <c r="P289" s="1776">
        <v>0.18</v>
      </c>
      <c r="Q289" s="1783">
        <f t="shared" si="119"/>
        <v>95</v>
      </c>
      <c r="R289" s="1784">
        <v>11400</v>
      </c>
      <c r="S289" s="1777">
        <f t="shared" si="120"/>
        <v>18.616499999999998</v>
      </c>
      <c r="T289" s="1784">
        <v>2233.98</v>
      </c>
      <c r="U289" s="1777"/>
      <c r="V289" s="1785">
        <v>204411.093333333</v>
      </c>
      <c r="W289" s="1785">
        <f t="shared" si="121"/>
        <v>1703.425777777775</v>
      </c>
      <c r="X289" s="1786">
        <f>(N289+Q289)*H289/V289</f>
        <v>0.55580349455267741</v>
      </c>
      <c r="Y289" s="1789">
        <f>VLOOKUP(E289,[11]核心假设及结论!$C$25:$E$45,3,0)</f>
        <v>0.2</v>
      </c>
      <c r="Z289" s="1790">
        <f t="shared" si="116"/>
        <v>105854.39999999999</v>
      </c>
      <c r="AA289" s="1790">
        <f t="shared" si="116"/>
        <v>0</v>
      </c>
      <c r="AB289" s="1790">
        <f t="shared" si="116"/>
        <v>0</v>
      </c>
      <c r="AC289" s="1790">
        <f t="shared" si="115"/>
        <v>0</v>
      </c>
      <c r="AD289" s="1790">
        <f t="shared" si="115"/>
        <v>0</v>
      </c>
      <c r="AE289" s="1790">
        <f t="shared" si="115"/>
        <v>0</v>
      </c>
      <c r="AF289" s="1790">
        <f t="shared" si="115"/>
        <v>0</v>
      </c>
      <c r="AG289" s="1794">
        <v>882.12</v>
      </c>
      <c r="AH289" s="1794">
        <v>0</v>
      </c>
      <c r="AI289" s="1794">
        <v>0</v>
      </c>
      <c r="AJ289" s="1794">
        <v>0</v>
      </c>
      <c r="AK289" s="1794">
        <v>0</v>
      </c>
      <c r="AL289" s="1794">
        <v>0</v>
      </c>
      <c r="AM289" s="1794">
        <v>0</v>
      </c>
      <c r="AN289" s="1797"/>
      <c r="AO289" s="1797"/>
      <c r="AP289" s="1808">
        <f t="shared" si="131"/>
        <v>2.7790174727633867</v>
      </c>
      <c r="AQ289" s="1810">
        <f>IF(AP289&gt;[11]核心假设及结论!$B$59,[11]核心假设及结论!$D$59,IF(AP289&lt;=[11]核心假设及结论!$B$58,[11]核心假设及结论!$D$57,[11]核心假设及结论!$D$58))</f>
        <v>1</v>
      </c>
      <c r="AR289" s="1809">
        <f t="shared" si="132"/>
        <v>882.12</v>
      </c>
      <c r="AS289" s="1811">
        <f>AH289*(AS$2&lt;=YEAR($K289))+AR289*$AQ289*(AS$2=YEAR($K289)+1)+INDEX([11]核心假设及结论!$E$17:$E$21,MATCH($D289,[11]核心假设及结论!$B$17:$B$21,0))*(AS$2&gt;YEAR($K289)+1)*AR289</f>
        <v>882.12</v>
      </c>
      <c r="AT289" s="1809">
        <f>AI289*(AT$2&lt;=YEAR($K289))+AS289*$AQ289*(AT$2=YEAR($K289)+1)+INDEX([11]核心假设及结论!$E$17:$E$21,MATCH($D289,[11]核心假设及结论!$B$17:$B$21,0))*(AT$2&gt;YEAR($K289)+1)*AS289</f>
        <v>906.00295000729773</v>
      </c>
      <c r="AU289" s="1809">
        <f>AJ289*(AU$2&lt;=YEAR($K289))+AT289*$AQ289*(AU$2=YEAR($K289)+1)+INDEX([11]核心假设及结论!$E$17:$E$21,MATCH($D289,[11]核心假设及结论!$B$17:$B$21,0))*(AU$2&gt;YEAR($K289)+1)*AT289</f>
        <v>930.53251872979422</v>
      </c>
      <c r="AV289" s="1809">
        <f>AK289*(AV$2&lt;=YEAR($K289))+AU289*$AQ289*(AV$2=YEAR($K289)+1)+INDEX([11]核心假设及结论!$E$17:$E$21,MATCH($D289,[11]核心假设及结论!$B$17:$B$21,0))*(AV$2&gt;YEAR($K289)+1)*AU289</f>
        <v>955.72621304007919</v>
      </c>
      <c r="AW289" s="1809">
        <f>AL289*(AW$2&lt;=YEAR($K289))+AV289*$AQ289*(AW$2=YEAR($K289)+1)+INDEX([11]核心假设及结论!$E$17:$E$21,MATCH($D289,[11]核心假设及结论!$B$17:$B$21,0))*(AW$2&gt;YEAR($K289)+1)*AV289</f>
        <v>981.60201380040678</v>
      </c>
      <c r="AX289" s="1809">
        <f>AM289*(AX$2&lt;=YEAR($K289))+AW289*$AQ289*(AX$2=YEAR($K289)+1)+INDEX([11]核心假设及结论!$E$17:$E$21,MATCH($D289,[11]核心假设及结论!$B$17:$B$21,0))*(AX$2&gt;YEAR($K289)+1)*AW289</f>
        <v>1008.1783886957248</v>
      </c>
      <c r="AZ289" s="1746">
        <f t="shared" si="122"/>
        <v>45869</v>
      </c>
      <c r="BA289" s="1817">
        <f t="shared" si="123"/>
        <v>45658</v>
      </c>
      <c r="BB289" s="1817">
        <f t="shared" si="124"/>
        <v>45869</v>
      </c>
      <c r="BC289" s="1817">
        <f t="shared" si="125"/>
        <v>46022</v>
      </c>
      <c r="BD289" s="1818">
        <f t="shared" si="126"/>
        <v>212</v>
      </c>
      <c r="BE289" s="1818">
        <f t="shared" si="127"/>
        <v>153</v>
      </c>
      <c r="BG289" s="1777">
        <f t="shared" si="137"/>
        <v>127.02528000000001</v>
      </c>
      <c r="BH289" s="1777">
        <f t="shared" si="117"/>
        <v>128.46689412208434</v>
      </c>
      <c r="BI289" s="1777">
        <f t="shared" si="117"/>
        <v>131.9450698917195</v>
      </c>
      <c r="BJ289" s="1777">
        <f t="shared" si="117"/>
        <v>135.51741549995117</v>
      </c>
      <c r="BK289" s="1777">
        <f t="shared" si="117"/>
        <v>139.18648054722766</v>
      </c>
      <c r="BL289" s="1777">
        <f t="shared" si="117"/>
        <v>142.95488366313157</v>
      </c>
      <c r="BM289" s="1777">
        <f t="shared" si="117"/>
        <v>84.322383150967369</v>
      </c>
      <c r="BO289" s="1739">
        <f t="shared" si="128"/>
        <v>2025</v>
      </c>
      <c r="BP289" s="1742">
        <f>_xlfn.IFNA(INDEX($AR289:$AX289,MATCH(BO289,$AR$2:$AX$2,0))*12/365*[11]核心假设及结论!$C$70*$H289,0)</f>
        <v>104404.33972602741</v>
      </c>
      <c r="BR289" s="1739">
        <f t="shared" si="133"/>
        <v>2028</v>
      </c>
      <c r="BS289" s="1742">
        <f>_xlfn.IFNA(INDEX($AR289:$AX289,MATCH(BR289,$AR$2:$AX$2,0))*12/365*[11]核心假设及结论!$C$70*$H289,0)</f>
        <v>110134.25975103318</v>
      </c>
      <c r="BU289" s="1739">
        <f t="shared" si="134"/>
        <v>2031</v>
      </c>
      <c r="BV289" s="1742">
        <f>_xlfn.IFNA(INDEX($AR289:$AX289,MATCH(BU289,$AR$2:$AX$2,0))*12/365*[11]核心假设及结论!$C$70*$H289,0)</f>
        <v>119324.12710042551</v>
      </c>
      <c r="BX289" s="1739">
        <f t="shared" si="135"/>
        <v>2034</v>
      </c>
      <c r="BY289" s="1742">
        <f>_xlfn.IFNA(INDEX($AR289:$AX289,MATCH(BX289,$AR$2:$AX$2,0))*12/365*[11]核心假设及结论!$C$70*$H289,0)</f>
        <v>0</v>
      </c>
      <c r="CA289" s="1739">
        <f t="shared" si="136"/>
        <v>2037</v>
      </c>
      <c r="CB289" s="1742">
        <f>_xlfn.IFNA(INDEX($AR289:$AX289,MATCH(CA289,$AR$2:$AX$2,0))*12/365*[11]核心假设及结论!$C$70*$H289,0)</f>
        <v>0</v>
      </c>
    </row>
    <row r="290" spans="1:80" ht="30" customHeight="1">
      <c r="A290" s="1756" t="s">
        <v>1687</v>
      </c>
      <c r="B290" s="1757" t="s">
        <v>2275</v>
      </c>
      <c r="C290" s="1756" t="s">
        <v>2276</v>
      </c>
      <c r="D290" s="1756" t="s">
        <v>1676</v>
      </c>
      <c r="E290" s="1758" t="s">
        <v>1677</v>
      </c>
      <c r="F290" s="1759"/>
      <c r="G290" s="1760" t="s">
        <v>1661</v>
      </c>
      <c r="H290" s="1761">
        <v>120</v>
      </c>
      <c r="I290" s="1761" t="s">
        <v>1913</v>
      </c>
      <c r="J290" s="1773">
        <v>45271</v>
      </c>
      <c r="K290" s="1773">
        <v>46731</v>
      </c>
      <c r="L290" s="1764">
        <f t="shared" si="118"/>
        <v>48</v>
      </c>
      <c r="M290" s="1774">
        <f t="shared" si="129"/>
        <v>34860</v>
      </c>
      <c r="N290" s="1775">
        <f t="shared" si="130"/>
        <v>182.5</v>
      </c>
      <c r="O290" s="1760">
        <v>21900</v>
      </c>
      <c r="P290" s="1776">
        <v>0.1</v>
      </c>
      <c r="Q290" s="1783">
        <f t="shared" si="119"/>
        <v>90</v>
      </c>
      <c r="R290" s="1784">
        <v>10800</v>
      </c>
      <c r="S290" s="1777">
        <f t="shared" si="120"/>
        <v>18</v>
      </c>
      <c r="T290" s="1777">
        <v>2160</v>
      </c>
      <c r="U290" s="1777"/>
      <c r="V290" s="1785">
        <v>129160.714285714</v>
      </c>
      <c r="W290" s="1785">
        <f t="shared" si="121"/>
        <v>1076.3392857142833</v>
      </c>
      <c r="X290" s="1786">
        <f>(N290+Q290)*H290/V290</f>
        <v>0.25317295727913786</v>
      </c>
      <c r="Y290" s="1789">
        <f>VLOOKUP(E290,[11]核心假设及结论!$C$25:$E$45,3,0)</f>
        <v>0.25</v>
      </c>
      <c r="Z290" s="1790">
        <f t="shared" si="116"/>
        <v>22995.599999999999</v>
      </c>
      <c r="AA290" s="1790">
        <f t="shared" si="116"/>
        <v>24163.200000000001</v>
      </c>
      <c r="AB290" s="1790">
        <f t="shared" si="116"/>
        <v>25368</v>
      </c>
      <c r="AC290" s="1790">
        <f t="shared" si="115"/>
        <v>0</v>
      </c>
      <c r="AD290" s="1790">
        <f t="shared" si="115"/>
        <v>0</v>
      </c>
      <c r="AE290" s="1790">
        <f t="shared" si="115"/>
        <v>0</v>
      </c>
      <c r="AF290" s="1790">
        <f t="shared" si="115"/>
        <v>0</v>
      </c>
      <c r="AG290" s="1794">
        <v>191.63</v>
      </c>
      <c r="AH290" s="1794">
        <v>201.36</v>
      </c>
      <c r="AI290" s="1794">
        <v>211.4</v>
      </c>
      <c r="AJ290" s="1794">
        <v>0</v>
      </c>
      <c r="AK290" s="1794">
        <v>0</v>
      </c>
      <c r="AL290" s="1794">
        <v>0</v>
      </c>
      <c r="AM290" s="1794">
        <v>0</v>
      </c>
      <c r="AN290" s="1795"/>
      <c r="AO290" s="1795"/>
      <c r="AP290" s="1808">
        <f t="shared" si="131"/>
        <v>1.0126918291165514</v>
      </c>
      <c r="AQ290" s="1808">
        <f>IF(AP290&gt;[11]核心假设及结论!$B$65,[11]核心假设及结论!$D$65,IF(AP290&lt;=[11]核心假设及结论!$B$64,[11]核心假设及结论!$D$63,[11]核心假设及结论!$D$64))</f>
        <v>0.754</v>
      </c>
      <c r="AR290" s="1809">
        <f t="shared" si="132"/>
        <v>191.63</v>
      </c>
      <c r="AS290" s="1809">
        <f>AH290*(AS$2&lt;=YEAR($K290))+AR290*$AQ290*(AS$2=YEAR($K290)+1)+INDEX([11]核心假设及结论!$E$17:$E$21,MATCH($D290,[11]核心假设及结论!$B$17:$B$21,0))*(AS$2&gt;YEAR($K290)+1)*AR290</f>
        <v>201.36</v>
      </c>
      <c r="AT290" s="1809">
        <f>AI290*(AT$2&lt;=YEAR($K290))+AS290*$AQ290*(AT$2=YEAR($K290)+1)+INDEX([11]核心假设及结论!$E$17:$E$21,MATCH($D290,[11]核心假设及结论!$B$17:$B$21,0))*(AT$2&gt;YEAR($K290)+1)*AS290</f>
        <v>211.4</v>
      </c>
      <c r="AU290" s="1811">
        <f>AJ290*(AU$2&lt;=YEAR($K290))+AT290*$AQ290*(AU$2=YEAR($K290)+1)+INDEX([11]核心假设及结论!$E$17:$E$21,MATCH($D290,[11]核心假设及结论!$B$17:$B$21,0))*(AU$2&gt;YEAR($K290)+1)*AT290</f>
        <v>159.3956</v>
      </c>
      <c r="AV290" s="1809">
        <f>AK290*(AV$2&lt;=YEAR($K290))+AU290*$AQ290*(AV$2=YEAR($K290)+1)+INDEX([11]核心假设及结论!$E$17:$E$21,MATCH($D290,[11]核心假设及结论!$B$17:$B$21,0))*(AV$2&gt;YEAR($K290)+1)*AU290</f>
        <v>164.90671681671651</v>
      </c>
      <c r="AW290" s="1809">
        <f>AL290*(AW$2&lt;=YEAR($K290))+AV290*$AQ290*(AW$2=YEAR($K290)+1)+INDEX([11]核心假设及结论!$E$17:$E$21,MATCH($D290,[11]核心假设及结论!$B$17:$B$21,0))*(AW$2&gt;YEAR($K290)+1)*AV290</f>
        <v>170.60838097957992</v>
      </c>
      <c r="AX290" s="1809">
        <f>AM290*(AX$2&lt;=YEAR($K290))+AW290*$AQ290*(AX$2=YEAR($K290)+1)+INDEX([11]核心假设及结论!$E$17:$E$21,MATCH($D290,[11]核心假设及结论!$B$17:$B$21,0))*(AX$2&gt;YEAR($K290)+1)*AW290</f>
        <v>176.50718067975569</v>
      </c>
      <c r="AZ290" s="1746">
        <f t="shared" si="122"/>
        <v>46731</v>
      </c>
      <c r="BA290" s="1817">
        <f t="shared" si="123"/>
        <v>45658</v>
      </c>
      <c r="BB290" s="1817">
        <f t="shared" si="124"/>
        <v>46001</v>
      </c>
      <c r="BC290" s="1817">
        <f t="shared" si="125"/>
        <v>46022</v>
      </c>
      <c r="BD290" s="1818">
        <f t="shared" si="126"/>
        <v>344</v>
      </c>
      <c r="BE290" s="1818">
        <f t="shared" si="127"/>
        <v>21</v>
      </c>
      <c r="BG290" s="1777">
        <f t="shared" si="137"/>
        <v>27.675332383561646</v>
      </c>
      <c r="BH290" s="1777">
        <f t="shared" si="117"/>
        <v>29.079020712328777</v>
      </c>
      <c r="BI290" s="1777">
        <f t="shared" si="117"/>
        <v>30.010747107945203</v>
      </c>
      <c r="BJ290" s="1777">
        <f t="shared" si="117"/>
        <v>22.998625625352737</v>
      </c>
      <c r="BK290" s="1777">
        <f t="shared" ref="BK290:BM353" si="138">(AV290*$BD290*$H290*12/365+$BE290*AW290*$H290*12/365)/10000</f>
        <v>23.793805118671557</v>
      </c>
      <c r="BL290" s="1777">
        <f t="shared" si="138"/>
        <v>24.61647801254809</v>
      </c>
      <c r="BM290" s="1777">
        <f t="shared" si="138"/>
        <v>23.954684115485968</v>
      </c>
      <c r="BO290" s="1739">
        <f t="shared" si="128"/>
        <v>2027</v>
      </c>
      <c r="BP290" s="1742">
        <f>_xlfn.IFNA(INDEX($AR290:$AX290,MATCH(BO290,$AR$2:$AX$2,0))*12/365*[11]核心假设及结论!$C$70*$H290,0)</f>
        <v>25020.493150684932</v>
      </c>
      <c r="BR290" s="1739">
        <f t="shared" si="133"/>
        <v>2031</v>
      </c>
      <c r="BS290" s="1742">
        <f>_xlfn.IFNA(INDEX($AR290:$AX290,MATCH(BR290,$AR$2:$AX$2,0))*12/365*[11]核心假设及结论!$C$70*$H290,0)</f>
        <v>20890.712891412179</v>
      </c>
      <c r="BU290" s="1739">
        <f t="shared" si="134"/>
        <v>2035</v>
      </c>
      <c r="BV290" s="1742">
        <f>_xlfn.IFNA(INDEX($AR290:$AX290,MATCH(BU290,$AR$2:$AX$2,0))*12/365*[11]核心假设及结论!$C$70*$H290,0)</f>
        <v>0</v>
      </c>
      <c r="BX290" s="1739">
        <f t="shared" si="135"/>
        <v>2039</v>
      </c>
      <c r="BY290" s="1742">
        <f>_xlfn.IFNA(INDEX($AR290:$AX290,MATCH(BX290,$AR$2:$AX$2,0))*12/365*[11]核心假设及结论!$C$70*$H290,0)</f>
        <v>0</v>
      </c>
      <c r="CA290" s="1739">
        <f t="shared" si="136"/>
        <v>2043</v>
      </c>
      <c r="CB290" s="1742">
        <f>_xlfn.IFNA(INDEX($AR290:$AX290,MATCH(CA290,$AR$2:$AX$2,0))*12/365*[11]核心假设及结论!$C$70*$H290,0)</f>
        <v>0</v>
      </c>
    </row>
    <row r="291" spans="1:80" ht="30" customHeight="1">
      <c r="A291" s="1756" t="s">
        <v>1662</v>
      </c>
      <c r="B291" s="1757" t="s">
        <v>2277</v>
      </c>
      <c r="C291" s="1756" t="s">
        <v>2278</v>
      </c>
      <c r="D291" s="1756" t="s">
        <v>1685</v>
      </c>
      <c r="E291" s="1758" t="s">
        <v>1718</v>
      </c>
      <c r="F291" s="1759"/>
      <c r="G291" s="1760" t="s">
        <v>1661</v>
      </c>
      <c r="H291" s="1761">
        <v>119</v>
      </c>
      <c r="I291" s="1761" t="s">
        <v>1913</v>
      </c>
      <c r="J291" s="1773">
        <v>45370</v>
      </c>
      <c r="K291" s="1773">
        <v>46464</v>
      </c>
      <c r="L291" s="1764">
        <f t="shared" si="118"/>
        <v>36</v>
      </c>
      <c r="M291" s="1774">
        <f t="shared" si="129"/>
        <v>125654.48</v>
      </c>
      <c r="N291" s="1775">
        <f t="shared" si="130"/>
        <v>942.92</v>
      </c>
      <c r="O291" s="1760">
        <v>112207.48</v>
      </c>
      <c r="P291" s="1776">
        <v>0.18</v>
      </c>
      <c r="Q291" s="1783">
        <f t="shared" si="119"/>
        <v>95</v>
      </c>
      <c r="R291" s="1784">
        <v>11305</v>
      </c>
      <c r="S291" s="1777">
        <f t="shared" si="120"/>
        <v>18</v>
      </c>
      <c r="T291" s="1777">
        <v>2142</v>
      </c>
      <c r="U291" s="1777"/>
      <c r="V291" s="1785">
        <v>219940.75</v>
      </c>
      <c r="W291" s="1785">
        <f t="shared" si="121"/>
        <v>1848.2415966386554</v>
      </c>
      <c r="X291" s="1786">
        <f>(N291+Q291)*H291/V291</f>
        <v>0.56157160508000459</v>
      </c>
      <c r="Y291" s="1789">
        <f>VLOOKUP(E291,[11]核心假设及结论!$C$25:$E$45,3,0)</f>
        <v>0.2</v>
      </c>
      <c r="Z291" s="1790">
        <f t="shared" si="116"/>
        <v>112207.48</v>
      </c>
      <c r="AA291" s="1790">
        <f t="shared" si="116"/>
        <v>115826.27</v>
      </c>
      <c r="AB291" s="1790">
        <f t="shared" si="116"/>
        <v>119446.25</v>
      </c>
      <c r="AC291" s="1790">
        <f t="shared" si="115"/>
        <v>0</v>
      </c>
      <c r="AD291" s="1790">
        <f t="shared" si="115"/>
        <v>0</v>
      </c>
      <c r="AE291" s="1790">
        <f t="shared" si="115"/>
        <v>0</v>
      </c>
      <c r="AF291" s="1790">
        <f t="shared" si="115"/>
        <v>0</v>
      </c>
      <c r="AG291" s="1794">
        <v>942.92</v>
      </c>
      <c r="AH291" s="1794">
        <v>973.33</v>
      </c>
      <c r="AI291" s="1794">
        <v>1003.75</v>
      </c>
      <c r="AJ291" s="1794">
        <v>0</v>
      </c>
      <c r="AK291" s="1794">
        <v>0</v>
      </c>
      <c r="AL291" s="1794">
        <v>0</v>
      </c>
      <c r="AM291" s="1794">
        <v>0</v>
      </c>
      <c r="AN291" s="1795"/>
      <c r="AO291" s="1795"/>
      <c r="AP291" s="1808">
        <f t="shared" si="131"/>
        <v>2.8078580254000229</v>
      </c>
      <c r="AQ291" s="1810">
        <f>IF(AP291&gt;[11]核心假设及结论!$B$59,[11]核心假设及结论!$D$59,IF(AP291&lt;=[11]核心假设及结论!$B$58,[11]核心假设及结论!$D$57,[11]核心假设及结论!$D$58))</f>
        <v>1</v>
      </c>
      <c r="AR291" s="1809">
        <f t="shared" si="132"/>
        <v>942.92</v>
      </c>
      <c r="AS291" s="1809">
        <f>AH291*(AS$2&lt;=YEAR($K291))+AR291*$AQ291*(AS$2=YEAR($K291)+1)+INDEX([11]核心假设及结论!$E$17:$E$21,MATCH($D291,[11]核心假设及结论!$B$17:$B$21,0))*(AS$2&gt;YEAR($K291)+1)*AR291</f>
        <v>973.33</v>
      </c>
      <c r="AT291" s="1809">
        <f>AI291*(AT$2&lt;=YEAR($K291))+AS291*$AQ291*(AT$2=YEAR($K291)+1)+INDEX([11]核心假设及结论!$E$17:$E$21,MATCH($D291,[11]核心假设及结论!$B$17:$B$21,0))*(AT$2&gt;YEAR($K291)+1)*AS291</f>
        <v>1003.75</v>
      </c>
      <c r="AU291" s="1811">
        <f>AJ291*(AU$2&lt;=YEAR($K291))+AT291*$AQ291*(AU$2=YEAR($K291)+1)+INDEX([11]核心假设及结论!$E$17:$E$21,MATCH($D291,[11]核心假设及结论!$B$17:$B$21,0))*(AU$2&gt;YEAR($K291)+1)*AT291</f>
        <v>1003.75</v>
      </c>
      <c r="AV291" s="1809">
        <f>AK291*(AV$2&lt;=YEAR($K291))+AU291*$AQ291*(AV$2=YEAR($K291)+1)+INDEX([11]核心假设及结论!$E$17:$E$21,MATCH($D291,[11]核心假设及结论!$B$17:$B$21,0))*(AV$2&gt;YEAR($K291)+1)*AU291</f>
        <v>1030.9260203485071</v>
      </c>
      <c r="AW291" s="1809">
        <f>AL291*(AW$2&lt;=YEAR($K291))+AV291*$AQ291*(AW$2=YEAR($K291)+1)+INDEX([11]核心假设及结论!$E$17:$E$21,MATCH($D291,[11]核心假设及结论!$B$17:$B$21,0))*(AW$2&gt;YEAR($K291)+1)*AV291</f>
        <v>1058.8378176155522</v>
      </c>
      <c r="AX291" s="1809">
        <f>AM291*(AX$2&lt;=YEAR($K291))+AW291*$AQ291*(AX$2=YEAR($K291)+1)+INDEX([11]核心假设及结论!$E$17:$E$21,MATCH($D291,[11]核心假设及结论!$B$17:$B$21,0))*(AX$2&gt;YEAR($K291)+1)*AW291</f>
        <v>1087.5053125866996</v>
      </c>
      <c r="AZ291" s="1746">
        <f t="shared" si="122"/>
        <v>46464</v>
      </c>
      <c r="BA291" s="1817">
        <f t="shared" si="123"/>
        <v>45658</v>
      </c>
      <c r="BB291" s="1817">
        <f t="shared" si="124"/>
        <v>45734</v>
      </c>
      <c r="BC291" s="1817">
        <f t="shared" si="125"/>
        <v>46022</v>
      </c>
      <c r="BD291" s="1818">
        <f t="shared" si="126"/>
        <v>77</v>
      </c>
      <c r="BE291" s="1818">
        <f t="shared" si="127"/>
        <v>288</v>
      </c>
      <c r="BG291" s="1777">
        <f t="shared" si="137"/>
        <v>138.07542483287673</v>
      </c>
      <c r="BH291" s="1777">
        <f t="shared" ref="BH291:BM354" si="139">(AS291*$BD291*$H291*12/365+$BE291*AT291*$H291*12/365)/10000</f>
        <v>142.41909958356166</v>
      </c>
      <c r="BI291" s="1777">
        <f t="shared" si="139"/>
        <v>143.3355</v>
      </c>
      <c r="BJ291" s="1777">
        <f t="shared" si="139"/>
        <v>146.39755995413927</v>
      </c>
      <c r="BK291" s="1777">
        <f t="shared" si="138"/>
        <v>150.36119937459804</v>
      </c>
      <c r="BL291" s="1777">
        <f t="shared" si="138"/>
        <v>154.43215231490194</v>
      </c>
      <c r="BM291" s="1777">
        <f t="shared" si="138"/>
        <v>32.761023055009069</v>
      </c>
      <c r="BO291" s="1739">
        <f t="shared" si="128"/>
        <v>2027</v>
      </c>
      <c r="BP291" s="1742">
        <f>_xlfn.IFNA(INDEX($AR291:$AX291,MATCH(BO291,$AR$2:$AX$2,0))*12/365*[11]核心假设及结论!$C$70*$H291,0)</f>
        <v>117810</v>
      </c>
      <c r="BR291" s="1739">
        <f t="shared" si="133"/>
        <v>2030</v>
      </c>
      <c r="BS291" s="1742">
        <f>_xlfn.IFNA(INDEX($AR291:$AX291,MATCH(BR291,$AR$2:$AX$2,0))*12/365*[11]核心假设及结论!$C$70*$H291,0)</f>
        <v>124275.649607261</v>
      </c>
      <c r="BU291" s="1739">
        <f t="shared" si="134"/>
        <v>2033</v>
      </c>
      <c r="BV291" s="1742">
        <f>_xlfn.IFNA(INDEX($AR291:$AX291,MATCH(BU291,$AR$2:$AX$2,0))*12/365*[11]核心假设及结论!$C$70*$H291,0)</f>
        <v>0</v>
      </c>
      <c r="BX291" s="1739">
        <f t="shared" si="135"/>
        <v>2036</v>
      </c>
      <c r="BY291" s="1742">
        <f>_xlfn.IFNA(INDEX($AR291:$AX291,MATCH(BX291,$AR$2:$AX$2,0))*12/365*[11]核心假设及结论!$C$70*$H291,0)</f>
        <v>0</v>
      </c>
      <c r="CA291" s="1739">
        <f t="shared" si="136"/>
        <v>2039</v>
      </c>
      <c r="CB291" s="1742">
        <f>_xlfn.IFNA(INDEX($AR291:$AX291,MATCH(CA291,$AR$2:$AX$2,0))*12/365*[11]核心假设及结论!$C$70*$H291,0)</f>
        <v>0</v>
      </c>
    </row>
    <row r="292" spans="1:80" ht="30" customHeight="1">
      <c r="A292" s="1756" t="s">
        <v>1687</v>
      </c>
      <c r="B292" s="1757" t="s">
        <v>2279</v>
      </c>
      <c r="C292" s="1756" t="s">
        <v>2280</v>
      </c>
      <c r="D292" s="1756" t="s">
        <v>1685</v>
      </c>
      <c r="E292" s="1758" t="s">
        <v>1692</v>
      </c>
      <c r="F292" s="1759"/>
      <c r="G292" s="1760" t="s">
        <v>1661</v>
      </c>
      <c r="H292" s="1761">
        <v>119</v>
      </c>
      <c r="I292" s="1761" t="s">
        <v>1913</v>
      </c>
      <c r="J292" s="1773">
        <v>45215</v>
      </c>
      <c r="K292" s="1773">
        <v>46310</v>
      </c>
      <c r="L292" s="1764">
        <f t="shared" si="118"/>
        <v>36</v>
      </c>
      <c r="M292" s="1774">
        <f t="shared" si="129"/>
        <v>107555.77</v>
      </c>
      <c r="N292" s="1775">
        <f t="shared" si="130"/>
        <v>790.83</v>
      </c>
      <c r="O292" s="1760">
        <v>94108.77</v>
      </c>
      <c r="P292" s="1776">
        <v>0.18</v>
      </c>
      <c r="Q292" s="1783">
        <f t="shared" si="119"/>
        <v>95</v>
      </c>
      <c r="R292" s="1784">
        <v>11305</v>
      </c>
      <c r="S292" s="1777">
        <f t="shared" si="120"/>
        <v>18</v>
      </c>
      <c r="T292" s="1784">
        <v>2142</v>
      </c>
      <c r="U292" s="1777"/>
      <c r="V292" s="1785">
        <v>292212.11749999999</v>
      </c>
      <c r="W292" s="1785">
        <f t="shared" si="121"/>
        <v>2455.5640126050421</v>
      </c>
      <c r="X292" s="1786">
        <f>(N292+Q292+S292)*H292/V292</f>
        <v>0.3680742979455669</v>
      </c>
      <c r="Y292" s="1789">
        <f>VLOOKUP(E292,[11]核心假设及结论!$C$25:$E$45,3,0)</f>
        <v>0.2</v>
      </c>
      <c r="Z292" s="1790">
        <f t="shared" si="116"/>
        <v>95918.76</v>
      </c>
      <c r="AA292" s="1790">
        <f t="shared" si="116"/>
        <v>97728.75</v>
      </c>
      <c r="AB292" s="1790">
        <f t="shared" si="116"/>
        <v>0</v>
      </c>
      <c r="AC292" s="1790">
        <f t="shared" si="115"/>
        <v>0</v>
      </c>
      <c r="AD292" s="1790">
        <f t="shared" si="115"/>
        <v>0</v>
      </c>
      <c r="AE292" s="1790">
        <f t="shared" si="115"/>
        <v>0</v>
      </c>
      <c r="AF292" s="1790">
        <f t="shared" si="115"/>
        <v>0</v>
      </c>
      <c r="AG292" s="1794">
        <v>806.04</v>
      </c>
      <c r="AH292" s="1794">
        <v>821.25</v>
      </c>
      <c r="AI292" s="1794">
        <v>0</v>
      </c>
      <c r="AJ292" s="1794">
        <v>0</v>
      </c>
      <c r="AK292" s="1794">
        <v>0</v>
      </c>
      <c r="AL292" s="1794">
        <v>0</v>
      </c>
      <c r="AM292" s="1794">
        <v>0</v>
      </c>
      <c r="AN292" s="1797"/>
      <c r="AO292" s="1797"/>
      <c r="AP292" s="1808">
        <f t="shared" si="131"/>
        <v>1.8403714897278345</v>
      </c>
      <c r="AQ292" s="1810">
        <f>IF(AP292&gt;[11]核心假设及结论!$B$59,[11]核心假设及结论!$D$59,IF(AP292&lt;=[11]核心假设及结论!$B$58,[11]核心假设及结论!$D$57,[11]核心假设及结论!$D$58))</f>
        <v>1</v>
      </c>
      <c r="AR292" s="1809">
        <f t="shared" si="132"/>
        <v>806.04</v>
      </c>
      <c r="AS292" s="1809">
        <f>AH292*(AS$2&lt;=YEAR($K292))+AR292*$AQ292*(AS$2=YEAR($K292)+1)+INDEX([11]核心假设及结论!$E$17:$E$21,MATCH($D292,[11]核心假设及结论!$B$17:$B$21,0))*(AS$2&gt;YEAR($K292)+1)*AR292</f>
        <v>821.25</v>
      </c>
      <c r="AT292" s="1811">
        <f>AI292*(AT$2&lt;=YEAR($K292))+AS292*$AQ292*(AT$2=YEAR($K292)+1)+INDEX([11]核心假设及结论!$E$17:$E$21,MATCH($D292,[11]核心假设及结论!$B$17:$B$21,0))*(AT$2&gt;YEAR($K292)+1)*AS292</f>
        <v>821.25</v>
      </c>
      <c r="AU292" s="1809">
        <f>AJ292*(AU$2&lt;=YEAR($K292))+AT292*$AQ292*(AU$2=YEAR($K292)+1)+INDEX([11]核心假设及结论!$E$17:$E$21,MATCH($D292,[11]核心假设及结论!$B$17:$B$21,0))*(AU$2&gt;YEAR($K292)+1)*AT292</f>
        <v>843.4849257396877</v>
      </c>
      <c r="AV292" s="1809">
        <f>AK292*(AV$2&lt;=YEAR($K292))+AU292*$AQ292*(AV$2=YEAR($K292)+1)+INDEX([11]核心假设及结论!$E$17:$E$21,MATCH($D292,[11]核心假设及结论!$B$17:$B$21,0))*(AV$2&gt;YEAR($K292)+1)*AU292</f>
        <v>866.32185077636098</v>
      </c>
      <c r="AW292" s="1809">
        <f>AL292*(AW$2&lt;=YEAR($K292))+AV292*$AQ292*(AW$2=YEAR($K292)+1)+INDEX([11]核心假设及结论!$E$17:$E$21,MATCH($D292,[11]核心假设及结论!$B$17:$B$21,0))*(AW$2&gt;YEAR($K292)+1)*AV292</f>
        <v>889.7770739345724</v>
      </c>
      <c r="AX292" s="1809">
        <f>AM292*(AX$2&lt;=YEAR($K292))+AW292*$AQ292*(AX$2=YEAR($K292)+1)+INDEX([11]核心假设及结论!$E$17:$E$21,MATCH($D292,[11]核心假设及结论!$B$17:$B$21,0))*(AX$2&gt;YEAR($K292)+1)*AW292</f>
        <v>913.86733532125345</v>
      </c>
      <c r="AZ292" s="1746">
        <f t="shared" si="122"/>
        <v>46310</v>
      </c>
      <c r="BA292" s="1817">
        <f t="shared" si="123"/>
        <v>45658</v>
      </c>
      <c r="BB292" s="1817">
        <f t="shared" si="124"/>
        <v>45945</v>
      </c>
      <c r="BC292" s="1817">
        <f t="shared" si="125"/>
        <v>46022</v>
      </c>
      <c r="BD292" s="1818">
        <f t="shared" si="126"/>
        <v>288</v>
      </c>
      <c r="BE292" s="1818">
        <f t="shared" si="127"/>
        <v>77</v>
      </c>
      <c r="BG292" s="1777">
        <f t="shared" si="137"/>
        <v>115.56071220821917</v>
      </c>
      <c r="BH292" s="1777">
        <f t="shared" si="139"/>
        <v>117.2745</v>
      </c>
      <c r="BI292" s="1777">
        <f t="shared" si="139"/>
        <v>117.94432561496797</v>
      </c>
      <c r="BJ292" s="1777">
        <f t="shared" si="139"/>
        <v>121.13760819818424</v>
      </c>
      <c r="BK292" s="1777">
        <f t="shared" si="138"/>
        <v>124.41734728198333</v>
      </c>
      <c r="BL292" s="1777">
        <f t="shared" si="138"/>
        <v>127.78588363211281</v>
      </c>
      <c r="BM292" s="1777">
        <f t="shared" si="138"/>
        <v>102.97006460097535</v>
      </c>
      <c r="BO292" s="1739">
        <f t="shared" si="128"/>
        <v>2026</v>
      </c>
      <c r="BP292" s="1742">
        <f>_xlfn.IFNA(INDEX($AR292:$AX292,MATCH(BO292,$AR$2:$AX$2,0))*12/365*[11]核心假设及结论!$C$70*$H292,0)</f>
        <v>96390</v>
      </c>
      <c r="BR292" s="1739">
        <f t="shared" si="133"/>
        <v>2029</v>
      </c>
      <c r="BS292" s="1742">
        <f>_xlfn.IFNA(INDEX($AR292:$AX292,MATCH(BR292,$AR$2:$AX$2,0))*12/365*[11]核心假设及结论!$C$70*$H292,0)</f>
        <v>101680.07695139536</v>
      </c>
      <c r="BU292" s="1739">
        <f t="shared" si="134"/>
        <v>2032</v>
      </c>
      <c r="BV292" s="1742">
        <f>_xlfn.IFNA(INDEX($AR292:$AX292,MATCH(BU292,$AR$2:$AX$2,0))*12/365*[11]核心假设及结论!$C$70*$H292,0)</f>
        <v>0</v>
      </c>
      <c r="BX292" s="1739">
        <f t="shared" si="135"/>
        <v>2035</v>
      </c>
      <c r="BY292" s="1742">
        <f>_xlfn.IFNA(INDEX($AR292:$AX292,MATCH(BX292,$AR$2:$AX$2,0))*12/365*[11]核心假设及结论!$C$70*$H292,0)</f>
        <v>0</v>
      </c>
      <c r="CA292" s="1739">
        <f t="shared" si="136"/>
        <v>2038</v>
      </c>
      <c r="CB292" s="1742">
        <f>_xlfn.IFNA(INDEX($AR292:$AX292,MATCH(CA292,$AR$2:$AX$2,0))*12/365*[11]核心假设及结论!$C$70*$H292,0)</f>
        <v>0</v>
      </c>
    </row>
    <row r="293" spans="1:80" ht="30" customHeight="1">
      <c r="A293" s="1756" t="s">
        <v>1662</v>
      </c>
      <c r="B293" s="1757" t="s">
        <v>2281</v>
      </c>
      <c r="C293" s="1756" t="s">
        <v>2282</v>
      </c>
      <c r="D293" s="1756" t="s">
        <v>1685</v>
      </c>
      <c r="E293" s="1758" t="s">
        <v>1871</v>
      </c>
      <c r="F293" s="1759"/>
      <c r="G293" s="1760" t="s">
        <v>1661</v>
      </c>
      <c r="H293" s="1761">
        <v>119</v>
      </c>
      <c r="I293" s="1761" t="s">
        <v>1913</v>
      </c>
      <c r="J293" s="1773">
        <v>45063</v>
      </c>
      <c r="K293" s="1773">
        <v>46523</v>
      </c>
      <c r="L293" s="1764">
        <f t="shared" si="118"/>
        <v>48</v>
      </c>
      <c r="M293" s="1774">
        <f t="shared" si="129"/>
        <v>100317</v>
      </c>
      <c r="N293" s="1775">
        <f t="shared" si="130"/>
        <v>730</v>
      </c>
      <c r="O293" s="1760">
        <v>86870</v>
      </c>
      <c r="P293" s="1776">
        <v>0.18</v>
      </c>
      <c r="Q293" s="1783">
        <f t="shared" si="119"/>
        <v>95</v>
      </c>
      <c r="R293" s="1784">
        <v>11305</v>
      </c>
      <c r="S293" s="1777">
        <f t="shared" si="120"/>
        <v>18</v>
      </c>
      <c r="T293" s="1784">
        <v>2142</v>
      </c>
      <c r="U293" s="1777"/>
      <c r="V293" s="1785">
        <v>204947.75</v>
      </c>
      <c r="W293" s="1785">
        <f t="shared" si="121"/>
        <v>1722.25</v>
      </c>
      <c r="X293" s="1786">
        <f>(N293+Q293+S293)*H293/V293</f>
        <v>0.48947597619393235</v>
      </c>
      <c r="Y293" s="1789">
        <f>VLOOKUP(E293,[11]核心假设及结论!$C$25:$E$45,3,0)</f>
        <v>0.2</v>
      </c>
      <c r="Z293" s="1790">
        <f t="shared" si="116"/>
        <v>86870</v>
      </c>
      <c r="AA293" s="1790">
        <f t="shared" si="116"/>
        <v>90489.98</v>
      </c>
      <c r="AB293" s="1790">
        <f t="shared" si="116"/>
        <v>94108.77</v>
      </c>
      <c r="AC293" s="1790">
        <f t="shared" si="115"/>
        <v>0</v>
      </c>
      <c r="AD293" s="1790">
        <f t="shared" si="115"/>
        <v>0</v>
      </c>
      <c r="AE293" s="1790">
        <f t="shared" si="115"/>
        <v>0</v>
      </c>
      <c r="AF293" s="1790">
        <f t="shared" si="115"/>
        <v>0</v>
      </c>
      <c r="AG293" s="1794">
        <v>730</v>
      </c>
      <c r="AH293" s="1794">
        <v>760.42</v>
      </c>
      <c r="AI293" s="1794">
        <v>790.83</v>
      </c>
      <c r="AJ293" s="1794">
        <v>0</v>
      </c>
      <c r="AK293" s="1794">
        <v>0</v>
      </c>
      <c r="AL293" s="1794">
        <v>0</v>
      </c>
      <c r="AM293" s="1794">
        <v>0</v>
      </c>
      <c r="AN293" s="1797"/>
      <c r="AO293" s="1797"/>
      <c r="AP293" s="1808">
        <f t="shared" si="131"/>
        <v>2.4473798809696614</v>
      </c>
      <c r="AQ293" s="1810">
        <f>IF(AP293&gt;[11]核心假设及结论!$B$59,[11]核心假设及结论!$D$59,IF(AP293&lt;=[11]核心假设及结论!$B$58,[11]核心假设及结论!$D$57,[11]核心假设及结论!$D$58))</f>
        <v>1</v>
      </c>
      <c r="AR293" s="1809">
        <f t="shared" si="132"/>
        <v>730</v>
      </c>
      <c r="AS293" s="1809">
        <f>AH293*(AS$2&lt;=YEAR($K293))+AR293*$AQ293*(AS$2=YEAR($K293)+1)+INDEX([11]核心假设及结论!$E$17:$E$21,MATCH($D293,[11]核心假设及结论!$B$17:$B$21,0))*(AS$2&gt;YEAR($K293)+1)*AR293</f>
        <v>760.42</v>
      </c>
      <c r="AT293" s="1809">
        <f>AI293*(AT$2&lt;=YEAR($K293))+AS293*$AQ293*(AT$2=YEAR($K293)+1)+INDEX([11]核心假设及结论!$E$17:$E$21,MATCH($D293,[11]核心假设及结论!$B$17:$B$21,0))*(AT$2&gt;YEAR($K293)+1)*AS293</f>
        <v>790.83</v>
      </c>
      <c r="AU293" s="1811">
        <f>AJ293*(AU$2&lt;=YEAR($K293))+AT293*$AQ293*(AU$2=YEAR($K293)+1)+INDEX([11]核心假设及结论!$E$17:$E$21,MATCH($D293,[11]核心假设及结论!$B$17:$B$21,0))*(AU$2&gt;YEAR($K293)+1)*AT293</f>
        <v>790.83</v>
      </c>
      <c r="AV293" s="1809">
        <f>AK293*(AV$2&lt;=YEAR($K293))+AU293*$AQ293*(AV$2=YEAR($K293)+1)+INDEX([11]核心假设及结论!$E$17:$E$21,MATCH($D293,[11]核心假设及结论!$B$17:$B$21,0))*(AV$2&gt;YEAR($K293)+1)*AU293</f>
        <v>812.24131972324778</v>
      </c>
      <c r="AW293" s="1809">
        <f>AL293*(AW$2&lt;=YEAR($K293))+AV293*$AQ293*(AW$2=YEAR($K293)+1)+INDEX([11]核心假设及结论!$E$17:$E$21,MATCH($D293,[11]核心假设及结论!$B$17:$B$21,0))*(AW$2&gt;YEAR($K293)+1)*AV293</f>
        <v>834.23234002979552</v>
      </c>
      <c r="AX293" s="1809">
        <f>AM293*(AX$2&lt;=YEAR($K293))+AW293*$AQ293*(AX$2=YEAR($K293)+1)+INDEX([11]核心假设及结论!$E$17:$E$21,MATCH($D293,[11]核心假设及结论!$B$17:$B$21,0))*(AX$2&gt;YEAR($K293)+1)*AW293</f>
        <v>856.81875601787272</v>
      </c>
      <c r="AZ293" s="1746">
        <f t="shared" si="122"/>
        <v>46523</v>
      </c>
      <c r="BA293" s="1817">
        <f t="shared" si="123"/>
        <v>45658</v>
      </c>
      <c r="BB293" s="1817">
        <f t="shared" si="124"/>
        <v>45793</v>
      </c>
      <c r="BC293" s="1817">
        <f t="shared" si="125"/>
        <v>46022</v>
      </c>
      <c r="BD293" s="1818">
        <f t="shared" si="126"/>
        <v>136</v>
      </c>
      <c r="BE293" s="1818">
        <f t="shared" si="127"/>
        <v>229</v>
      </c>
      <c r="BG293" s="1777">
        <f t="shared" si="137"/>
        <v>106.96939864109586</v>
      </c>
      <c r="BH293" s="1777">
        <f t="shared" si="139"/>
        <v>111.31247871780822</v>
      </c>
      <c r="BI293" s="1777">
        <f t="shared" si="139"/>
        <v>112.93052400000002</v>
      </c>
      <c r="BJ293" s="1777">
        <f t="shared" si="139"/>
        <v>114.84881399598322</v>
      </c>
      <c r="BK293" s="1777">
        <f t="shared" si="138"/>
        <v>117.95828717770848</v>
      </c>
      <c r="BL293" s="1777">
        <f t="shared" si="138"/>
        <v>121.15194776312963</v>
      </c>
      <c r="BM293" s="1777">
        <f t="shared" si="138"/>
        <v>45.589330676361378</v>
      </c>
      <c r="BO293" s="1739">
        <f t="shared" si="128"/>
        <v>2027</v>
      </c>
      <c r="BP293" s="1742">
        <f>_xlfn.IFNA(INDEX($AR293:$AX293,MATCH(BO293,$AR$2:$AX$2,0))*12/365*[11]核心假设及结论!$C$70*$H293,0)</f>
        <v>92819.608767123296</v>
      </c>
      <c r="BR293" s="1739">
        <f t="shared" si="133"/>
        <v>2031</v>
      </c>
      <c r="BS293" s="1742">
        <f>_xlfn.IFNA(INDEX($AR293:$AX293,MATCH(BR293,$AR$2:$AX$2,0))*12/365*[11]核心假设及结论!$C$70*$H293,0)</f>
        <v>100564.70002138539</v>
      </c>
      <c r="BU293" s="1739">
        <f t="shared" si="134"/>
        <v>2035</v>
      </c>
      <c r="BV293" s="1742">
        <f>_xlfn.IFNA(INDEX($AR293:$AX293,MATCH(BU293,$AR$2:$AX$2,0))*12/365*[11]核心假设及结论!$C$70*$H293,0)</f>
        <v>0</v>
      </c>
      <c r="BX293" s="1739">
        <f t="shared" si="135"/>
        <v>2039</v>
      </c>
      <c r="BY293" s="1742">
        <f>_xlfn.IFNA(INDEX($AR293:$AX293,MATCH(BX293,$AR$2:$AX$2,0))*12/365*[11]核心假设及结论!$C$70*$H293,0)</f>
        <v>0</v>
      </c>
      <c r="CA293" s="1739">
        <f t="shared" si="136"/>
        <v>2043</v>
      </c>
      <c r="CB293" s="1742">
        <f>_xlfn.IFNA(INDEX($AR293:$AX293,MATCH(CA293,$AR$2:$AX$2,0))*12/365*[11]核心假设及结论!$C$70*$H293,0)</f>
        <v>0</v>
      </c>
    </row>
    <row r="294" spans="1:80" ht="30" customHeight="1">
      <c r="A294" s="1756" t="s">
        <v>1662</v>
      </c>
      <c r="B294" s="3283" t="s">
        <v>2283</v>
      </c>
      <c r="C294" s="1756" t="s">
        <v>2284</v>
      </c>
      <c r="D294" s="1756" t="s">
        <v>1685</v>
      </c>
      <c r="E294" s="1758" t="s">
        <v>1838</v>
      </c>
      <c r="F294" s="1759"/>
      <c r="G294" s="1760" t="s">
        <v>1661</v>
      </c>
      <c r="H294" s="1761">
        <v>119</v>
      </c>
      <c r="I294" s="1761" t="s">
        <v>1913</v>
      </c>
      <c r="J294" s="1773">
        <v>43983</v>
      </c>
      <c r="K294" s="1773">
        <v>45808</v>
      </c>
      <c r="L294" s="1764">
        <f t="shared" si="118"/>
        <v>60</v>
      </c>
      <c r="M294" s="1774">
        <f t="shared" si="129"/>
        <v>98580.78</v>
      </c>
      <c r="N294" s="1775">
        <f t="shared" si="130"/>
        <v>714.7899159663865</v>
      </c>
      <c r="O294" s="1760">
        <v>85060</v>
      </c>
      <c r="P294" s="1776">
        <v>0.08</v>
      </c>
      <c r="Q294" s="1783">
        <f t="shared" si="119"/>
        <v>95</v>
      </c>
      <c r="R294" s="1784">
        <v>11305</v>
      </c>
      <c r="S294" s="1777">
        <f t="shared" si="120"/>
        <v>18.62</v>
      </c>
      <c r="T294" s="1784">
        <v>2215.7800000000002</v>
      </c>
      <c r="U294" s="1777"/>
      <c r="V294" s="1785">
        <v>823561.66666666698</v>
      </c>
      <c r="W294" s="1785">
        <f t="shared" si="121"/>
        <v>6920.6862745098069</v>
      </c>
      <c r="X294" s="1786">
        <f>(N294+Q294)*H294/V294</f>
        <v>0.11701005996312759</v>
      </c>
      <c r="Y294" s="1789">
        <f>VLOOKUP(E294,[11]核心假设及结论!$C$25:$E$45,3,0)</f>
        <v>0.2</v>
      </c>
      <c r="Z294" s="1790">
        <f t="shared" si="116"/>
        <v>90488.999999999956</v>
      </c>
      <c r="AA294" s="1790">
        <f t="shared" si="116"/>
        <v>0</v>
      </c>
      <c r="AB294" s="1790">
        <f t="shared" si="116"/>
        <v>0</v>
      </c>
      <c r="AC294" s="1790">
        <f t="shared" si="115"/>
        <v>0</v>
      </c>
      <c r="AD294" s="1790">
        <f t="shared" si="115"/>
        <v>0</v>
      </c>
      <c r="AE294" s="1790">
        <f t="shared" si="115"/>
        <v>0</v>
      </c>
      <c r="AF294" s="1790">
        <f t="shared" si="115"/>
        <v>0</v>
      </c>
      <c r="AG294" s="1794">
        <v>760.41176470588198</v>
      </c>
      <c r="AH294" s="1794">
        <v>0</v>
      </c>
      <c r="AI294" s="1794">
        <v>0</v>
      </c>
      <c r="AJ294" s="1794">
        <v>0</v>
      </c>
      <c r="AK294" s="1794">
        <v>0</v>
      </c>
      <c r="AL294" s="1794">
        <v>0</v>
      </c>
      <c r="AM294" s="1794">
        <v>0</v>
      </c>
      <c r="AN294" s="1797"/>
      <c r="AO294" s="1797"/>
      <c r="AP294" s="1808">
        <f t="shared" si="131"/>
        <v>0.58505029981563794</v>
      </c>
      <c r="AQ294" s="1810">
        <f>IF(AP294&gt;[11]核心假设及结论!$B$59,[11]核心假设及结论!$D$59,IF(AP294&lt;=[11]核心假设及结论!$B$58,[11]核心假设及结论!$D$57,[11]核心假设及结论!$D$58))</f>
        <v>1.0342640124442799</v>
      </c>
      <c r="AR294" s="1809">
        <f t="shared" si="132"/>
        <v>760.41176470588198</v>
      </c>
      <c r="AS294" s="1811">
        <f>AH294*(AS$2&lt;=YEAR($K294))+AR294*$AQ294*(AS$2=YEAR($K294)+1)+INDEX([11]核心假设及结论!$E$17:$E$21,MATCH($D294,[11]核心假设及结论!$B$17:$B$21,0))*(AS$2&gt;YEAR($K294)+1)*AR294</f>
        <v>786.46652287454117</v>
      </c>
      <c r="AT294" s="1809">
        <f>AI294*(AT$2&lt;=YEAR($K294))+AS294*$AQ294*(AT$2=YEAR($K294)+1)+INDEX([11]核心假设及结论!$E$17:$E$21,MATCH($D294,[11]核心假设及结论!$B$17:$B$21,0))*(AT$2&gt;YEAR($K294)+1)*AS294</f>
        <v>807.75970367559546</v>
      </c>
      <c r="AU294" s="1809">
        <f>AJ294*(AU$2&lt;=YEAR($K294))+AT294*$AQ294*(AU$2=YEAR($K294)+1)+INDEX([11]核心假设及结论!$E$17:$E$21,MATCH($D294,[11]核心假设及结论!$B$17:$B$21,0))*(AU$2&gt;YEAR($K294)+1)*AT294</f>
        <v>829.62938650876322</v>
      </c>
      <c r="AV294" s="1809">
        <f>AK294*(AV$2&lt;=YEAR($K294))+AU294*$AQ294*(AV$2=YEAR($K294)+1)+INDEX([11]核心假设及结论!$E$17:$E$21,MATCH($D294,[11]核心假设及结论!$B$17:$B$21,0))*(AV$2&gt;YEAR($K294)+1)*AU294</f>
        <v>852.09117987312845</v>
      </c>
      <c r="AW294" s="1809">
        <f>AL294*(AW$2&lt;=YEAR($K294))+AV294*$AQ294*(AW$2=YEAR($K294)+1)+INDEX([11]核心假设及结论!$E$17:$E$21,MATCH($D294,[11]核心假设及结论!$B$17:$B$21,0))*(AW$2&gt;YEAR($K294)+1)*AV294</f>
        <v>875.1611148599435</v>
      </c>
      <c r="AX294" s="1809">
        <f>AM294*(AX$2&lt;=YEAR($K294))+AW294*$AQ294*(AX$2=YEAR($K294)+1)+INDEX([11]核心假设及结论!$E$17:$E$21,MATCH($D294,[11]核心假设及结论!$B$17:$B$21,0))*(AX$2&gt;YEAR($K294)+1)*AW294</f>
        <v>898.85565659409644</v>
      </c>
      <c r="AZ294" s="1746">
        <f t="shared" si="122"/>
        <v>45808</v>
      </c>
      <c r="BA294" s="1817">
        <f t="shared" si="123"/>
        <v>45658</v>
      </c>
      <c r="BB294" s="1817">
        <f t="shared" si="124"/>
        <v>45808</v>
      </c>
      <c r="BC294" s="1817">
        <f t="shared" si="125"/>
        <v>46022</v>
      </c>
      <c r="BD294" s="1818">
        <f t="shared" si="126"/>
        <v>151</v>
      </c>
      <c r="BE294" s="1818">
        <f t="shared" si="127"/>
        <v>214</v>
      </c>
      <c r="BG294" s="1777">
        <f t="shared" si="137"/>
        <v>110.76820428993884</v>
      </c>
      <c r="BH294" s="1777">
        <f t="shared" si="139"/>
        <v>114.09016623562304</v>
      </c>
      <c r="BI294" s="1777">
        <f t="shared" si="139"/>
        <v>117.17909941538281</v>
      </c>
      <c r="BJ294" s="1777">
        <f t="shared" si="139"/>
        <v>120.35166388873991</v>
      </c>
      <c r="BK294" s="1777">
        <f t="shared" si="138"/>
        <v>123.61012393040077</v>
      </c>
      <c r="BL294" s="1777">
        <f t="shared" si="138"/>
        <v>126.95680511915698</v>
      </c>
      <c r="BM294" s="1777">
        <f t="shared" si="138"/>
        <v>53.100944526047073</v>
      </c>
      <c r="BO294" s="1739">
        <f t="shared" si="128"/>
        <v>2025</v>
      </c>
      <c r="BP294" s="1742">
        <f>_xlfn.IFNA(INDEX($AR294:$AX294,MATCH(BO294,$AR$2:$AX$2,0))*12/365*[11]核心假设及结论!$C$70*$H294,0)</f>
        <v>89249.424657534197</v>
      </c>
      <c r="BR294" s="1739">
        <f t="shared" si="133"/>
        <v>2030</v>
      </c>
      <c r="BS294" s="1742">
        <f>_xlfn.IFNA(INDEX($AR294:$AX294,MATCH(BR294,$AR$2:$AX$2,0))*12/365*[11]核心假设及结论!$C$70*$H294,0)</f>
        <v>102717.54016602733</v>
      </c>
      <c r="BU294" s="1739">
        <f t="shared" si="134"/>
        <v>2035</v>
      </c>
      <c r="BV294" s="1742">
        <f>_xlfn.IFNA(INDEX($AR294:$AX294,MATCH(BU294,$AR$2:$AX$2,0))*12/365*[11]核心假设及结论!$C$70*$H294,0)</f>
        <v>0</v>
      </c>
      <c r="BX294" s="1739">
        <f t="shared" si="135"/>
        <v>2040</v>
      </c>
      <c r="BY294" s="1742">
        <f>_xlfn.IFNA(INDEX($AR294:$AX294,MATCH(BX294,$AR$2:$AX$2,0))*12/365*[11]核心假设及结论!$C$70*$H294,0)</f>
        <v>0</v>
      </c>
      <c r="CA294" s="1739">
        <f t="shared" si="136"/>
        <v>2045</v>
      </c>
      <c r="CB294" s="1742">
        <f>_xlfn.IFNA(INDEX($AR294:$AX294,MATCH(CA294,$AR$2:$AX$2,0))*12/365*[11]核心假设及结论!$C$70*$H294,0)</f>
        <v>0</v>
      </c>
    </row>
    <row r="295" spans="1:80" ht="30" customHeight="1">
      <c r="A295" s="1756" t="s">
        <v>1666</v>
      </c>
      <c r="B295" s="1757" t="s">
        <v>2285</v>
      </c>
      <c r="C295" s="1756" t="s">
        <v>2286</v>
      </c>
      <c r="D295" s="1756" t="s">
        <v>1685</v>
      </c>
      <c r="E295" s="1758" t="s">
        <v>1692</v>
      </c>
      <c r="F295" s="1759"/>
      <c r="G295" s="1760" t="s">
        <v>1661</v>
      </c>
      <c r="H295" s="1761">
        <v>119</v>
      </c>
      <c r="I295" s="1761" t="s">
        <v>1913</v>
      </c>
      <c r="J295" s="1773">
        <v>45350</v>
      </c>
      <c r="K295" s="1773">
        <v>46445</v>
      </c>
      <c r="L295" s="1764">
        <f t="shared" si="118"/>
        <v>36</v>
      </c>
      <c r="M295" s="1774">
        <f t="shared" si="129"/>
        <v>96102.02</v>
      </c>
      <c r="N295" s="1775">
        <f t="shared" si="130"/>
        <v>699.58</v>
      </c>
      <c r="O295" s="1760">
        <v>83250.02</v>
      </c>
      <c r="P295" s="1776">
        <v>0.18</v>
      </c>
      <c r="Q295" s="1783">
        <f t="shared" si="119"/>
        <v>90</v>
      </c>
      <c r="R295" s="1784">
        <v>10710</v>
      </c>
      <c r="S295" s="1777">
        <f t="shared" si="120"/>
        <v>18</v>
      </c>
      <c r="T295" s="1777">
        <v>2142</v>
      </c>
      <c r="U295" s="1777"/>
      <c r="V295" s="1785">
        <v>199416.4</v>
      </c>
      <c r="W295" s="1785">
        <f t="shared" si="121"/>
        <v>1675.7680672268907</v>
      </c>
      <c r="X295" s="1786">
        <f>(N295+Q295+S295)*H295/V295</f>
        <v>0.48191633185635691</v>
      </c>
      <c r="Y295" s="1789">
        <f>VLOOKUP(E295,[11]核心假设及结论!$C$25:$E$45,3,0)</f>
        <v>0.2</v>
      </c>
      <c r="Z295" s="1790">
        <f t="shared" si="116"/>
        <v>83250.02</v>
      </c>
      <c r="AA295" s="1790">
        <f t="shared" si="116"/>
        <v>85060.01</v>
      </c>
      <c r="AB295" s="1790">
        <f t="shared" si="116"/>
        <v>86870</v>
      </c>
      <c r="AC295" s="1790">
        <f t="shared" si="115"/>
        <v>0</v>
      </c>
      <c r="AD295" s="1790">
        <f t="shared" si="115"/>
        <v>0</v>
      </c>
      <c r="AE295" s="1790">
        <f t="shared" si="115"/>
        <v>0</v>
      </c>
      <c r="AF295" s="1790">
        <f t="shared" si="115"/>
        <v>0</v>
      </c>
      <c r="AG295" s="1794">
        <v>699.58</v>
      </c>
      <c r="AH295" s="1794">
        <v>714.79</v>
      </c>
      <c r="AI295" s="1794">
        <v>730</v>
      </c>
      <c r="AJ295" s="1794">
        <v>0</v>
      </c>
      <c r="AK295" s="1794">
        <v>0</v>
      </c>
      <c r="AL295" s="1794">
        <v>0</v>
      </c>
      <c r="AM295" s="1794">
        <v>0</v>
      </c>
      <c r="AN295" s="1795"/>
      <c r="AO295" s="1795"/>
      <c r="AP295" s="1808">
        <f t="shared" si="131"/>
        <v>2.4095816592817845</v>
      </c>
      <c r="AQ295" s="1810">
        <f>IF(AP295&gt;[11]核心假设及结论!$B$59,[11]核心假设及结论!$D$59,IF(AP295&lt;=[11]核心假设及结论!$B$58,[11]核心假设及结论!$D$57,[11]核心假设及结论!$D$58))</f>
        <v>1</v>
      </c>
      <c r="AR295" s="1809">
        <f t="shared" si="132"/>
        <v>699.58</v>
      </c>
      <c r="AS295" s="1809">
        <f>AH295*(AS$2&lt;=YEAR($K295))+AR295*$AQ295*(AS$2=YEAR($K295)+1)+INDEX([11]核心假设及结论!$E$17:$E$21,MATCH($D295,[11]核心假设及结论!$B$17:$B$21,0))*(AS$2&gt;YEAR($K295)+1)*AR295</f>
        <v>714.79</v>
      </c>
      <c r="AT295" s="1809">
        <f>AI295*(AT$2&lt;=YEAR($K295))+AS295*$AQ295*(AT$2=YEAR($K295)+1)+INDEX([11]核心假设及结论!$E$17:$E$21,MATCH($D295,[11]核心假设及结论!$B$17:$B$21,0))*(AT$2&gt;YEAR($K295)+1)*AS295</f>
        <v>730</v>
      </c>
      <c r="AU295" s="1811">
        <f>AJ295*(AU$2&lt;=YEAR($K295))+AT295*$AQ295*(AU$2=YEAR($K295)+1)+INDEX([11]核心假设及结论!$E$17:$E$21,MATCH($D295,[11]核心假设及结论!$B$17:$B$21,0))*(AU$2&gt;YEAR($K295)+1)*AT295</f>
        <v>730</v>
      </c>
      <c r="AV295" s="1809">
        <f>AK295*(AV$2&lt;=YEAR($K295))+AU295*$AQ295*(AV$2=YEAR($K295)+1)+INDEX([11]核心假设及结论!$E$17:$E$21,MATCH($D295,[11]核心假设及结论!$B$17:$B$21,0))*(AV$2&gt;YEAR($K295)+1)*AU295</f>
        <v>749.76437843527788</v>
      </c>
      <c r="AW295" s="1809">
        <f>AL295*(AW$2&lt;=YEAR($K295))+AV295*$AQ295*(AW$2=YEAR($K295)+1)+INDEX([11]核心假设及结论!$E$17:$E$21,MATCH($D295,[11]核心假设及结论!$B$17:$B$21,0))*(AW$2&gt;YEAR($K295)+1)*AV295</f>
        <v>770.06386735676517</v>
      </c>
      <c r="AX295" s="1809">
        <f>AM295*(AX$2&lt;=YEAR($K295))+AW295*$AQ295*(AX$2=YEAR($K295)+1)+INDEX([11]核心假设及结论!$E$17:$E$21,MATCH($D295,[11]核心假设及结论!$B$17:$B$21,0))*(AX$2&gt;YEAR($K295)+1)*AW295</f>
        <v>790.9129546085087</v>
      </c>
      <c r="AZ295" s="1746">
        <f t="shared" si="122"/>
        <v>46445</v>
      </c>
      <c r="BA295" s="1817">
        <f t="shared" si="123"/>
        <v>45658</v>
      </c>
      <c r="BB295" s="1817">
        <f t="shared" si="124"/>
        <v>45715</v>
      </c>
      <c r="BC295" s="1817">
        <f t="shared" si="125"/>
        <v>46022</v>
      </c>
      <c r="BD295" s="1818">
        <f t="shared" si="126"/>
        <v>58</v>
      </c>
      <c r="BE295" s="1818">
        <f t="shared" si="127"/>
        <v>307</v>
      </c>
      <c r="BG295" s="1777">
        <f t="shared" si="137"/>
        <v>101.72687418082192</v>
      </c>
      <c r="BH295" s="1777">
        <f t="shared" si="139"/>
        <v>103.89886218082192</v>
      </c>
      <c r="BI295" s="1777">
        <f t="shared" si="139"/>
        <v>104.244</v>
      </c>
      <c r="BJ295" s="1777">
        <f t="shared" si="139"/>
        <v>106.61786971192113</v>
      </c>
      <c r="BK295" s="1777">
        <f t="shared" si="138"/>
        <v>109.50449426664655</v>
      </c>
      <c r="BL295" s="1777">
        <f t="shared" si="138"/>
        <v>112.46927271192013</v>
      </c>
      <c r="BM295" s="1777">
        <f t="shared" si="138"/>
        <v>17.947006726710992</v>
      </c>
      <c r="BO295" s="1739">
        <f t="shared" si="128"/>
        <v>2027</v>
      </c>
      <c r="BP295" s="1742">
        <f>_xlfn.IFNA(INDEX($AR295:$AX295,MATCH(BO295,$AR$2:$AX$2,0))*12/365*[11]核心假设及结论!$C$70*$H295,0)</f>
        <v>85680</v>
      </c>
      <c r="BR295" s="1739">
        <f t="shared" si="133"/>
        <v>2030</v>
      </c>
      <c r="BS295" s="1742">
        <f>_xlfn.IFNA(INDEX($AR295:$AX295,MATCH(BR295,$AR$2:$AX$2,0))*12/365*[11]核心假设及结论!$C$70*$H295,0)</f>
        <v>90382.290623462526</v>
      </c>
      <c r="BU295" s="1739">
        <f t="shared" si="134"/>
        <v>2033</v>
      </c>
      <c r="BV295" s="1742">
        <f>_xlfn.IFNA(INDEX($AR295:$AX295,MATCH(BU295,$AR$2:$AX$2,0))*12/365*[11]核心假设及结论!$C$70*$H295,0)</f>
        <v>0</v>
      </c>
      <c r="BX295" s="1739">
        <f t="shared" si="135"/>
        <v>2036</v>
      </c>
      <c r="BY295" s="1742">
        <f>_xlfn.IFNA(INDEX($AR295:$AX295,MATCH(BX295,$AR$2:$AX$2,0))*12/365*[11]核心假设及结论!$C$70*$H295,0)</f>
        <v>0</v>
      </c>
      <c r="CA295" s="1739">
        <f t="shared" si="136"/>
        <v>2039</v>
      </c>
      <c r="CB295" s="1742">
        <f>_xlfn.IFNA(INDEX($AR295:$AX295,MATCH(CA295,$AR$2:$AX$2,0))*12/365*[11]核心假设及结论!$C$70*$H295,0)</f>
        <v>0</v>
      </c>
    </row>
    <row r="296" spans="1:80" ht="30" customHeight="1">
      <c r="A296" s="1756" t="s">
        <v>1687</v>
      </c>
      <c r="B296" s="1757" t="s">
        <v>2287</v>
      </c>
      <c r="C296" s="1756" t="s">
        <v>2288</v>
      </c>
      <c r="D296" s="1756" t="s">
        <v>1685</v>
      </c>
      <c r="E296" s="1758" t="s">
        <v>1692</v>
      </c>
      <c r="F296" s="1759"/>
      <c r="G296" s="1760" t="s">
        <v>1661</v>
      </c>
      <c r="H296" s="1761">
        <v>119</v>
      </c>
      <c r="I296" s="1761" t="s">
        <v>1913</v>
      </c>
      <c r="J296" s="1773">
        <v>45286</v>
      </c>
      <c r="K296" s="1773">
        <v>46381</v>
      </c>
      <c r="L296" s="1764">
        <f t="shared" si="118"/>
        <v>36</v>
      </c>
      <c r="M296" s="1774">
        <f t="shared" si="129"/>
        <v>92483.23</v>
      </c>
      <c r="N296" s="1775">
        <f t="shared" si="130"/>
        <v>669.17</v>
      </c>
      <c r="O296" s="1760">
        <v>79631.23</v>
      </c>
      <c r="P296" s="1776">
        <v>0.18</v>
      </c>
      <c r="Q296" s="1783">
        <f t="shared" si="119"/>
        <v>90</v>
      </c>
      <c r="R296" s="1784">
        <v>10710</v>
      </c>
      <c r="S296" s="1777">
        <f t="shared" si="120"/>
        <v>18</v>
      </c>
      <c r="T296" s="1777">
        <v>2142</v>
      </c>
      <c r="U296" s="1777"/>
      <c r="V296" s="1785">
        <v>177535.6875</v>
      </c>
      <c r="W296" s="1785">
        <f t="shared" si="121"/>
        <v>1491.8965336134454</v>
      </c>
      <c r="X296" s="1786">
        <f>(N296+Q296+S296)*H296/V296</f>
        <v>0.52092754590538304</v>
      </c>
      <c r="Y296" s="1789">
        <f>VLOOKUP(E296,[11]核心假设及结论!$C$25:$E$45,3,0)</f>
        <v>0.2</v>
      </c>
      <c r="Z296" s="1790">
        <f t="shared" si="116"/>
        <v>86870</v>
      </c>
      <c r="AA296" s="1790">
        <f t="shared" si="116"/>
        <v>94108.77</v>
      </c>
      <c r="AB296" s="1790">
        <f t="shared" si="116"/>
        <v>0</v>
      </c>
      <c r="AC296" s="1790">
        <f t="shared" si="115"/>
        <v>0</v>
      </c>
      <c r="AD296" s="1790">
        <f t="shared" si="115"/>
        <v>0</v>
      </c>
      <c r="AE296" s="1790">
        <f t="shared" si="115"/>
        <v>0</v>
      </c>
      <c r="AF296" s="1790">
        <f t="shared" si="115"/>
        <v>0</v>
      </c>
      <c r="AG296" s="1794">
        <v>730</v>
      </c>
      <c r="AH296" s="1794">
        <v>790.83</v>
      </c>
      <c r="AI296" s="1794">
        <v>0</v>
      </c>
      <c r="AJ296" s="1794">
        <v>0</v>
      </c>
      <c r="AK296" s="1794">
        <v>0</v>
      </c>
      <c r="AL296" s="1794">
        <v>0</v>
      </c>
      <c r="AM296" s="1794">
        <v>0</v>
      </c>
      <c r="AN296" s="1795"/>
      <c r="AO296" s="1795"/>
      <c r="AP296" s="1808">
        <f t="shared" si="131"/>
        <v>2.6046377295269152</v>
      </c>
      <c r="AQ296" s="1810">
        <f>IF(AP296&gt;[11]核心假设及结论!$B$59,[11]核心假设及结论!$D$59,IF(AP296&lt;=[11]核心假设及结论!$B$58,[11]核心假设及结论!$D$57,[11]核心假设及结论!$D$58))</f>
        <v>1</v>
      </c>
      <c r="AR296" s="1809">
        <f t="shared" si="132"/>
        <v>730</v>
      </c>
      <c r="AS296" s="1809">
        <f>AH296*(AS$2&lt;=YEAR($K296))+AR296*$AQ296*(AS$2=YEAR($K296)+1)+INDEX([11]核心假设及结论!$E$17:$E$21,MATCH($D296,[11]核心假设及结论!$B$17:$B$21,0))*(AS$2&gt;YEAR($K296)+1)*AR296</f>
        <v>790.83</v>
      </c>
      <c r="AT296" s="1811">
        <f>AI296*(AT$2&lt;=YEAR($K296))+AS296*$AQ296*(AT$2=YEAR($K296)+1)+INDEX([11]核心假设及结论!$E$17:$E$21,MATCH($D296,[11]核心假设及结论!$B$17:$B$21,0))*(AT$2&gt;YEAR($K296)+1)*AS296</f>
        <v>790.83</v>
      </c>
      <c r="AU296" s="1809">
        <f>AJ296*(AU$2&lt;=YEAR($K296))+AT296*$AQ296*(AU$2=YEAR($K296)+1)+INDEX([11]核心假设及结论!$E$17:$E$21,MATCH($D296,[11]核心假设及结论!$B$17:$B$21,0))*(AU$2&gt;YEAR($K296)+1)*AT296</f>
        <v>812.24131972324778</v>
      </c>
      <c r="AV296" s="1809">
        <f>AK296*(AV$2&lt;=YEAR($K296))+AU296*$AQ296*(AV$2=YEAR($K296)+1)+INDEX([11]核心假设及结论!$E$17:$E$21,MATCH($D296,[11]核心假设及结论!$B$17:$B$21,0))*(AV$2&gt;YEAR($K296)+1)*AU296</f>
        <v>834.23234002979552</v>
      </c>
      <c r="AW296" s="1809">
        <f>AL296*(AW$2&lt;=YEAR($K296))+AV296*$AQ296*(AW$2=YEAR($K296)+1)+INDEX([11]核心假设及结论!$E$17:$E$21,MATCH($D296,[11]核心假设及结论!$B$17:$B$21,0))*(AW$2&gt;YEAR($K296)+1)*AV296</f>
        <v>856.81875601787272</v>
      </c>
      <c r="AX296" s="1809">
        <f>AM296*(AX$2&lt;=YEAR($K296))+AW296*$AQ296*(AX$2=YEAR($K296)+1)+INDEX([11]核心假设及结论!$E$17:$E$21,MATCH($D296,[11]核心假设及结论!$B$17:$B$21,0))*(AX$2&gt;YEAR($K296)+1)*AW296</f>
        <v>880.01668772250468</v>
      </c>
      <c r="AZ296" s="1746">
        <f t="shared" si="122"/>
        <v>46381</v>
      </c>
      <c r="BA296" s="1817">
        <f t="shared" si="123"/>
        <v>45658</v>
      </c>
      <c r="BB296" s="1817">
        <f t="shared" si="124"/>
        <v>46016</v>
      </c>
      <c r="BC296" s="1817">
        <f t="shared" si="125"/>
        <v>46022</v>
      </c>
      <c r="BD296" s="1818">
        <f t="shared" si="126"/>
        <v>359</v>
      </c>
      <c r="BE296" s="1818">
        <f t="shared" si="127"/>
        <v>6</v>
      </c>
      <c r="BG296" s="1777">
        <f t="shared" si="137"/>
        <v>104.38679217534246</v>
      </c>
      <c r="BH296" s="1777">
        <f t="shared" si="139"/>
        <v>112.93052400000002</v>
      </c>
      <c r="BI296" s="1777">
        <f t="shared" si="139"/>
        <v>112.98078487325722</v>
      </c>
      <c r="BJ296" s="1777">
        <f t="shared" si="139"/>
        <v>116.03968211729801</v>
      </c>
      <c r="BK296" s="1777">
        <f t="shared" si="138"/>
        <v>119.18139744726464</v>
      </c>
      <c r="BL296" s="1777">
        <f t="shared" si="138"/>
        <v>122.40817312067968</v>
      </c>
      <c r="BM296" s="1777">
        <f t="shared" si="138"/>
        <v>123.6006342450185</v>
      </c>
      <c r="BO296" s="1739">
        <f t="shared" si="128"/>
        <v>2026</v>
      </c>
      <c r="BP296" s="1742">
        <f>_xlfn.IFNA(INDEX($AR296:$AX296,MATCH(BO296,$AR$2:$AX$2,0))*12/365*[11]核心假设及结论!$C$70*$H296,0)</f>
        <v>92819.608767123296</v>
      </c>
      <c r="BR296" s="1739">
        <f t="shared" si="133"/>
        <v>2029</v>
      </c>
      <c r="BS296" s="1742">
        <f>_xlfn.IFNA(INDEX($AR296:$AX296,MATCH(BR296,$AR$2:$AX$2,0))*12/365*[11]核心假设及结论!$C$70*$H296,0)</f>
        <v>97913.73547089436</v>
      </c>
      <c r="BU296" s="1739">
        <f t="shared" si="134"/>
        <v>2032</v>
      </c>
      <c r="BV296" s="1742">
        <f>_xlfn.IFNA(INDEX($AR296:$AX296,MATCH(BU296,$AR$2:$AX$2,0))*12/365*[11]核心假设及结论!$C$70*$H296,0)</f>
        <v>0</v>
      </c>
      <c r="BX296" s="1739">
        <f t="shared" si="135"/>
        <v>2035</v>
      </c>
      <c r="BY296" s="1742">
        <f>_xlfn.IFNA(INDEX($AR296:$AX296,MATCH(BX296,$AR$2:$AX$2,0))*12/365*[11]核心假设及结论!$C$70*$H296,0)</f>
        <v>0</v>
      </c>
      <c r="CA296" s="1739">
        <f t="shared" si="136"/>
        <v>2038</v>
      </c>
      <c r="CB296" s="1742">
        <f>_xlfn.IFNA(INDEX($AR296:$AX296,MATCH(CA296,$AR$2:$AX$2,0))*12/365*[11]核心假设及结论!$C$70*$H296,0)</f>
        <v>0</v>
      </c>
    </row>
    <row r="297" spans="1:80" ht="30" customHeight="1">
      <c r="A297" s="1756" t="s">
        <v>1687</v>
      </c>
      <c r="B297" s="1757" t="s">
        <v>2289</v>
      </c>
      <c r="C297" s="1756" t="s">
        <v>2290</v>
      </c>
      <c r="D297" s="1756" t="s">
        <v>1685</v>
      </c>
      <c r="E297" s="1758" t="s">
        <v>1735</v>
      </c>
      <c r="F297" s="1759"/>
      <c r="G297" s="1760" t="s">
        <v>1661</v>
      </c>
      <c r="H297" s="1761">
        <v>119</v>
      </c>
      <c r="I297" s="1761" t="s">
        <v>1913</v>
      </c>
      <c r="J297" s="1773">
        <v>45276</v>
      </c>
      <c r="K297" s="1773">
        <v>45718</v>
      </c>
      <c r="L297" s="1764">
        <f t="shared" si="118"/>
        <v>15</v>
      </c>
      <c r="M297" s="1774">
        <f t="shared" si="129"/>
        <v>82219.48</v>
      </c>
      <c r="N297" s="1775">
        <f t="shared" si="130"/>
        <v>577.91999999999996</v>
      </c>
      <c r="O297" s="1760">
        <v>68772.479999999996</v>
      </c>
      <c r="P297" s="1776">
        <v>0.15</v>
      </c>
      <c r="Q297" s="1783">
        <f t="shared" si="119"/>
        <v>95</v>
      </c>
      <c r="R297" s="1784">
        <v>11305</v>
      </c>
      <c r="S297" s="1777">
        <f t="shared" si="120"/>
        <v>18</v>
      </c>
      <c r="T297" s="1777">
        <v>2142</v>
      </c>
      <c r="U297" s="1777"/>
      <c r="V297" s="1785">
        <v>297221.78416666703</v>
      </c>
      <c r="W297" s="1785">
        <f t="shared" si="121"/>
        <v>2497.6620518207314</v>
      </c>
      <c r="X297" s="1786">
        <f>(N297+Q297+S297)*H297/V297</f>
        <v>0.27662669555168085</v>
      </c>
      <c r="Y297" s="1789">
        <f>VLOOKUP(E297,[11]核心假设及结论!$C$25:$E$45,3,0)</f>
        <v>0.2</v>
      </c>
      <c r="Z297" s="1790">
        <f t="shared" si="116"/>
        <v>68772.479999999996</v>
      </c>
      <c r="AA297" s="1790">
        <f t="shared" si="116"/>
        <v>0</v>
      </c>
      <c r="AB297" s="1790">
        <f t="shared" si="116"/>
        <v>0</v>
      </c>
      <c r="AC297" s="1790">
        <f t="shared" si="115"/>
        <v>0</v>
      </c>
      <c r="AD297" s="1790">
        <f t="shared" si="115"/>
        <v>0</v>
      </c>
      <c r="AE297" s="1790">
        <f t="shared" si="115"/>
        <v>0</v>
      </c>
      <c r="AF297" s="1790">
        <f t="shared" si="115"/>
        <v>0</v>
      </c>
      <c r="AG297" s="1794">
        <v>577.91999999999996</v>
      </c>
      <c r="AH297" s="1794">
        <v>0</v>
      </c>
      <c r="AI297" s="1794">
        <v>0</v>
      </c>
      <c r="AJ297" s="1794">
        <v>0</v>
      </c>
      <c r="AK297" s="1794">
        <v>0</v>
      </c>
      <c r="AL297" s="1794">
        <v>0</v>
      </c>
      <c r="AM297" s="1794">
        <v>0</v>
      </c>
      <c r="AN297" s="1795"/>
      <c r="AO297" s="1795"/>
      <c r="AP297" s="1808">
        <f t="shared" si="131"/>
        <v>1.3831334777584041</v>
      </c>
      <c r="AQ297" s="1810">
        <f>IF(AP297&gt;[11]核心假设及结论!$B$59,[11]核心假设及结论!$D$59,IF(AP297&lt;=[11]核心假设及结论!$B$58,[11]核心假设及结论!$D$57,[11]核心假设及结论!$D$58))</f>
        <v>1.0069999999999999</v>
      </c>
      <c r="AR297" s="1809">
        <f t="shared" si="132"/>
        <v>577.91999999999996</v>
      </c>
      <c r="AS297" s="1811">
        <f>AH297*(AS$2&lt;=YEAR($K297))+AR297*$AQ297*(AS$2=YEAR($K297)+1)+INDEX([11]核心假设及结论!$E$17:$E$21,MATCH($D297,[11]核心假设及结论!$B$17:$B$21,0))*(AS$2&gt;YEAR($K297)+1)*AR297</f>
        <v>581.96543999999994</v>
      </c>
      <c r="AT297" s="1809">
        <f>AI297*(AT$2&lt;=YEAR($K297))+AS297*$AQ297*(AT$2=YEAR($K297)+1)+INDEX([11]核心假设及结论!$E$17:$E$21,MATCH($D297,[11]核心假设及结论!$B$17:$B$21,0))*(AT$2&gt;YEAR($K297)+1)*AS297</f>
        <v>597.72185807179858</v>
      </c>
      <c r="AU297" s="1809">
        <f>AJ297*(AU$2&lt;=YEAR($K297))+AT297*$AQ297*(AU$2=YEAR($K297)+1)+INDEX([11]核心假设及结论!$E$17:$E$21,MATCH($D297,[11]核心假设及结论!$B$17:$B$21,0))*(AU$2&gt;YEAR($K297)+1)*AT297</f>
        <v>613.90487314298832</v>
      </c>
      <c r="AV297" s="1809">
        <f>AK297*(AV$2&lt;=YEAR($K297))+AU297*$AQ297*(AV$2=YEAR($K297)+1)+INDEX([11]核心假设及结论!$E$17:$E$21,MATCH($D297,[11]核心假设及结论!$B$17:$B$21,0))*(AV$2&gt;YEAR($K297)+1)*AU297</f>
        <v>630.52603511019288</v>
      </c>
      <c r="AW297" s="1809">
        <f>AL297*(AW$2&lt;=YEAR($K297))+AV297*$AQ297*(AW$2=YEAR($K297)+1)+INDEX([11]核心假设及结论!$E$17:$E$21,MATCH($D297,[11]核心假设及结论!$B$17:$B$21,0))*(AW$2&gt;YEAR($K297)+1)*AV297</f>
        <v>647.59720657760818</v>
      </c>
      <c r="AX297" s="1809">
        <f>AM297*(AX$2&lt;=YEAR($K297))+AW297*$AQ297*(AX$2=YEAR($K297)+1)+INDEX([11]核心假设及结论!$E$17:$E$21,MATCH($D297,[11]核心假设及结论!$B$17:$B$21,0))*(AX$2&gt;YEAR($K297)+1)*AW297</f>
        <v>665.13057132340089</v>
      </c>
      <c r="AZ297" s="1746">
        <f t="shared" si="122"/>
        <v>45718</v>
      </c>
      <c r="BA297" s="1817">
        <f t="shared" si="123"/>
        <v>45658</v>
      </c>
      <c r="BB297" s="1817">
        <f t="shared" si="124"/>
        <v>45718</v>
      </c>
      <c r="BC297" s="1817">
        <f t="shared" si="125"/>
        <v>46022</v>
      </c>
      <c r="BD297" s="1818">
        <f t="shared" si="126"/>
        <v>61</v>
      </c>
      <c r="BE297" s="1818">
        <f t="shared" si="127"/>
        <v>304</v>
      </c>
      <c r="BG297" s="1777">
        <f t="shared" si="137"/>
        <v>83.008119575145187</v>
      </c>
      <c r="BH297" s="1777">
        <f t="shared" si="139"/>
        <v>84.978651177749214</v>
      </c>
      <c r="BI297" s="1777">
        <f t="shared" si="139"/>
        <v>87.279404904867718</v>
      </c>
      <c r="BJ297" s="1777">
        <f t="shared" si="139"/>
        <v>89.642450368080944</v>
      </c>
      <c r="BK297" s="1777">
        <f t="shared" si="138"/>
        <v>92.069474084437616</v>
      </c>
      <c r="BL297" s="1777">
        <f t="shared" si="138"/>
        <v>94.562208232577134</v>
      </c>
      <c r="BM297" s="1777">
        <f t="shared" si="138"/>
        <v>15.873477755298303</v>
      </c>
      <c r="BO297" s="1739">
        <f t="shared" si="128"/>
        <v>2025</v>
      </c>
      <c r="BP297" s="1742">
        <f>_xlfn.IFNA(INDEX($AR297:$AX297,MATCH(BO297,$AR$2:$AX$2,0))*12/365*[11]核心假设及结论!$C$70*$H297,0)</f>
        <v>67830.391232876704</v>
      </c>
      <c r="BR297" s="1739">
        <f t="shared" si="133"/>
        <v>2026</v>
      </c>
      <c r="BS297" s="1742">
        <f>_xlfn.IFNA(INDEX($AR297:$AX297,MATCH(BR297,$AR$2:$AX$2,0))*12/365*[11]核心假设及结论!$C$70*$H297,0)</f>
        <v>68305.203971506839</v>
      </c>
      <c r="BU297" s="1739">
        <f t="shared" si="134"/>
        <v>2027</v>
      </c>
      <c r="BV297" s="1742">
        <f>_xlfn.IFNA(INDEX($AR297:$AX297,MATCH(BU297,$AR$2:$AX$2,0))*12/365*[11]核心假设及结论!$C$70*$H297,0)</f>
        <v>70154.532602180421</v>
      </c>
      <c r="BX297" s="1739">
        <f t="shared" si="135"/>
        <v>2028</v>
      </c>
      <c r="BY297" s="1742">
        <f>_xlfn.IFNA(INDEX($AR297:$AX297,MATCH(BX297,$AR$2:$AX$2,0))*12/365*[11]核心假设及结论!$C$70*$H297,0)</f>
        <v>72053.930864234571</v>
      </c>
      <c r="CA297" s="1739">
        <f t="shared" si="136"/>
        <v>2029</v>
      </c>
      <c r="CB297" s="1742">
        <f>_xlfn.IFNA(INDEX($AR297:$AX297,MATCH(CA297,$AR$2:$AX$2,0))*12/365*[11]核心假设及结论!$C$70*$H297,0)</f>
        <v>74004.754367453876</v>
      </c>
    </row>
    <row r="298" spans="1:80" ht="30" customHeight="1">
      <c r="A298" s="1756" t="s">
        <v>1687</v>
      </c>
      <c r="B298" s="1757" t="s">
        <v>2291</v>
      </c>
      <c r="C298" s="1756" t="s">
        <v>2292</v>
      </c>
      <c r="D298" s="1756" t="s">
        <v>1685</v>
      </c>
      <c r="E298" s="1758" t="s">
        <v>1692</v>
      </c>
      <c r="F298" s="1759"/>
      <c r="G298" s="1760" t="s">
        <v>1661</v>
      </c>
      <c r="H298" s="1761">
        <v>118</v>
      </c>
      <c r="I298" s="1761" t="s">
        <v>1913</v>
      </c>
      <c r="J298" s="1773">
        <v>45262</v>
      </c>
      <c r="K298" s="1773">
        <v>46357</v>
      </c>
      <c r="L298" s="1764">
        <f t="shared" si="118"/>
        <v>36</v>
      </c>
      <c r="M298" s="1774">
        <f t="shared" si="129"/>
        <v>120650.28</v>
      </c>
      <c r="N298" s="1775">
        <f t="shared" si="130"/>
        <v>909.46</v>
      </c>
      <c r="O298" s="1760">
        <v>107316.28</v>
      </c>
      <c r="P298" s="1776">
        <v>0.18</v>
      </c>
      <c r="Q298" s="1783">
        <f t="shared" si="119"/>
        <v>95</v>
      </c>
      <c r="R298" s="1784">
        <v>11210</v>
      </c>
      <c r="S298" s="1777">
        <f t="shared" si="120"/>
        <v>18</v>
      </c>
      <c r="T298" s="1777">
        <v>2124</v>
      </c>
      <c r="U298" s="1777"/>
      <c r="V298" s="1785">
        <v>396243.66666666698</v>
      </c>
      <c r="W298" s="1785">
        <f t="shared" si="121"/>
        <v>3357.9971751412454</v>
      </c>
      <c r="X298" s="1786">
        <f>(N298+Q298+S298)*H298/V298</f>
        <v>0.30448506853106355</v>
      </c>
      <c r="Y298" s="1789">
        <f>VLOOKUP(E298,[11]核心假设及结论!$C$25:$E$45,3,0)</f>
        <v>0.2</v>
      </c>
      <c r="Z298" s="1790">
        <f t="shared" si="116"/>
        <v>107316.28</v>
      </c>
      <c r="AA298" s="1790">
        <f t="shared" si="116"/>
        <v>110905.84</v>
      </c>
      <c r="AB298" s="1790">
        <f t="shared" si="116"/>
        <v>0</v>
      </c>
      <c r="AC298" s="1790">
        <f t="shared" si="115"/>
        <v>0</v>
      </c>
      <c r="AD298" s="1790">
        <f t="shared" si="115"/>
        <v>0</v>
      </c>
      <c r="AE298" s="1790">
        <f t="shared" si="115"/>
        <v>0</v>
      </c>
      <c r="AF298" s="1790">
        <f t="shared" si="115"/>
        <v>0</v>
      </c>
      <c r="AG298" s="1794">
        <v>909.46</v>
      </c>
      <c r="AH298" s="1794">
        <v>939.88</v>
      </c>
      <c r="AI298" s="1794">
        <v>0</v>
      </c>
      <c r="AJ298" s="1794">
        <v>0</v>
      </c>
      <c r="AK298" s="1794">
        <v>0</v>
      </c>
      <c r="AL298" s="1794">
        <v>0</v>
      </c>
      <c r="AM298" s="1794">
        <v>0</v>
      </c>
      <c r="AN298" s="1795"/>
      <c r="AO298" s="1795"/>
      <c r="AP298" s="1808">
        <f t="shared" si="131"/>
        <v>1.5224253426553176</v>
      </c>
      <c r="AQ298" s="1810">
        <f>IF(AP298&gt;[11]核心假设及结论!$B$59,[11]核心假设及结论!$D$59,IF(AP298&lt;=[11]核心假设及结论!$B$58,[11]核心假设及结论!$D$57,[11]核心假设及结论!$D$58))</f>
        <v>1</v>
      </c>
      <c r="AR298" s="1809">
        <f t="shared" si="132"/>
        <v>909.46</v>
      </c>
      <c r="AS298" s="1809">
        <f>AH298*(AS$2&lt;=YEAR($K298))+AR298*$AQ298*(AS$2=YEAR($K298)+1)+INDEX([11]核心假设及结论!$E$17:$E$21,MATCH($D298,[11]核心假设及结论!$B$17:$B$21,0))*(AS$2&gt;YEAR($K298)+1)*AR298</f>
        <v>939.88</v>
      </c>
      <c r="AT298" s="1811">
        <f>AI298*(AT$2&lt;=YEAR($K298))+AS298*$AQ298*(AT$2=YEAR($K298)+1)+INDEX([11]核心假设及结论!$E$17:$E$21,MATCH($D298,[11]核心假设及结论!$B$17:$B$21,0))*(AT$2&gt;YEAR($K298)+1)*AS298</f>
        <v>939.88</v>
      </c>
      <c r="AU298" s="1809">
        <f>AJ298*(AU$2&lt;=YEAR($K298))+AT298*$AQ298*(AU$2=YEAR($K298)+1)+INDEX([11]核心假设及结论!$E$17:$E$21,MATCH($D298,[11]核心假设及结论!$B$17:$B$21,0))*(AU$2&gt;YEAR($K298)+1)*AT298</f>
        <v>965.32677260787534</v>
      </c>
      <c r="AV298" s="1809">
        <f>AK298*(AV$2&lt;=YEAR($K298))+AU298*$AQ298*(AV$2=YEAR($K298)+1)+INDEX([11]核心假设及结论!$E$17:$E$21,MATCH($D298,[11]核心假设及结论!$B$17:$B$21,0))*(AV$2&gt;YEAR($K298)+1)*AU298</f>
        <v>991.46250363188562</v>
      </c>
      <c r="AW298" s="1809">
        <f>AL298*(AW$2&lt;=YEAR($K298))+AV298*$AQ298*(AW$2=YEAR($K298)+1)+INDEX([11]核心假设及结论!$E$17:$E$21,MATCH($D298,[11]核心假设及结论!$B$17:$B$21,0))*(AW$2&gt;YEAR($K298)+1)*AV298</f>
        <v>1018.3058462704729</v>
      </c>
      <c r="AX298" s="1809">
        <f>AM298*(AX$2&lt;=YEAR($K298))+AW298*$AQ298*(AX$2=YEAR($K298)+1)+INDEX([11]核心假设及结论!$E$17:$E$21,MATCH($D298,[11]核心假设及结论!$B$17:$B$21,0))*(AX$2&gt;YEAR($K298)+1)*AW298</f>
        <v>1045.8759587479326</v>
      </c>
      <c r="AZ298" s="1746">
        <f t="shared" si="122"/>
        <v>46357</v>
      </c>
      <c r="BA298" s="1817">
        <f t="shared" si="123"/>
        <v>45658</v>
      </c>
      <c r="BB298" s="1817">
        <f t="shared" si="124"/>
        <v>45992</v>
      </c>
      <c r="BC298" s="1817">
        <f t="shared" si="125"/>
        <v>46022</v>
      </c>
      <c r="BD298" s="1818">
        <f t="shared" si="126"/>
        <v>335</v>
      </c>
      <c r="BE298" s="1818">
        <f t="shared" si="127"/>
        <v>30</v>
      </c>
      <c r="BG298" s="1777">
        <f t="shared" si="137"/>
        <v>129.13357479452054</v>
      </c>
      <c r="BH298" s="1777">
        <f t="shared" si="139"/>
        <v>133.087008</v>
      </c>
      <c r="BI298" s="1777">
        <f t="shared" si="139"/>
        <v>133.38316660284451</v>
      </c>
      <c r="BJ298" s="1777">
        <f t="shared" si="139"/>
        <v>136.99444794754911</v>
      </c>
      <c r="BK298" s="1777">
        <f t="shared" si="138"/>
        <v>140.70350289654544</v>
      </c>
      <c r="BL298" s="1777">
        <f t="shared" si="138"/>
        <v>144.51297862040377</v>
      </c>
      <c r="BM298" s="1777">
        <f t="shared" si="138"/>
        <v>135.9237588470327</v>
      </c>
      <c r="BO298" s="1739">
        <f t="shared" si="128"/>
        <v>2026</v>
      </c>
      <c r="BP298" s="1742">
        <f>_xlfn.IFNA(INDEX($AR298:$AX298,MATCH(BO298,$AR$2:$AX$2,0))*12/365*[11]核心假设及结论!$C$70*$H298,0)</f>
        <v>109386.58191780822</v>
      </c>
      <c r="BR298" s="1739">
        <f t="shared" si="133"/>
        <v>2029</v>
      </c>
      <c r="BS298" s="1742">
        <f>_xlfn.IFNA(INDEX($AR298:$AX298,MATCH(BR298,$AR$2:$AX$2,0))*12/365*[11]核心假设及结论!$C$70*$H298,0)</f>
        <v>115389.93740899317</v>
      </c>
      <c r="BU298" s="1739">
        <f t="shared" si="134"/>
        <v>2032</v>
      </c>
      <c r="BV298" s="1742">
        <f>_xlfn.IFNA(INDEX($AR298:$AX298,MATCH(BU298,$AR$2:$AX$2,0))*12/365*[11]核心假设及结论!$C$70*$H298,0)</f>
        <v>0</v>
      </c>
      <c r="BX298" s="1739">
        <f t="shared" si="135"/>
        <v>2035</v>
      </c>
      <c r="BY298" s="1742">
        <f>_xlfn.IFNA(INDEX($AR298:$AX298,MATCH(BX298,$AR$2:$AX$2,0))*12/365*[11]核心假设及结论!$C$70*$H298,0)</f>
        <v>0</v>
      </c>
      <c r="CA298" s="1739">
        <f t="shared" si="136"/>
        <v>2038</v>
      </c>
      <c r="CB298" s="1742">
        <f>_xlfn.IFNA(INDEX($AR298:$AX298,MATCH(CA298,$AR$2:$AX$2,0))*12/365*[11]核心假设及结论!$C$70*$H298,0)</f>
        <v>0</v>
      </c>
    </row>
    <row r="299" spans="1:80" ht="30" customHeight="1">
      <c r="A299" s="1756" t="s">
        <v>1687</v>
      </c>
      <c r="B299" s="1757" t="s">
        <v>2293</v>
      </c>
      <c r="C299" s="1756" t="s">
        <v>2294</v>
      </c>
      <c r="D299" s="1756" t="s">
        <v>1685</v>
      </c>
      <c r="E299" s="1758" t="s">
        <v>1692</v>
      </c>
      <c r="F299" s="1759"/>
      <c r="G299" s="1760" t="s">
        <v>1661</v>
      </c>
      <c r="H299" s="1761">
        <v>118</v>
      </c>
      <c r="I299" s="1761" t="s">
        <v>1913</v>
      </c>
      <c r="J299" s="1773">
        <v>44829</v>
      </c>
      <c r="K299" s="1773">
        <v>46654</v>
      </c>
      <c r="L299" s="1764">
        <f t="shared" si="118"/>
        <v>60</v>
      </c>
      <c r="M299" s="1774">
        <f t="shared" si="129"/>
        <v>118552.24</v>
      </c>
      <c r="N299" s="1775">
        <f t="shared" si="130"/>
        <v>891.06000000000006</v>
      </c>
      <c r="O299" s="1760">
        <v>105145.08</v>
      </c>
      <c r="P299" s="1776">
        <v>0.18</v>
      </c>
      <c r="Q299" s="1783">
        <f t="shared" si="119"/>
        <v>95</v>
      </c>
      <c r="R299" s="1784">
        <v>11210</v>
      </c>
      <c r="S299" s="1777">
        <f t="shared" si="120"/>
        <v>18.619999999999997</v>
      </c>
      <c r="T299" s="1784">
        <v>2197.16</v>
      </c>
      <c r="U299" s="1777"/>
      <c r="V299" s="1785">
        <v>493635.58333333302</v>
      </c>
      <c r="W299" s="1785">
        <f t="shared" si="121"/>
        <v>4183.3524011299405</v>
      </c>
      <c r="X299" s="1786">
        <f>(N299+Q299)*H299/V299</f>
        <v>0.23571047940729573</v>
      </c>
      <c r="Y299" s="1789">
        <f>VLOOKUP(E299,[11]核心假设及结论!$C$25:$E$45,3,0)</f>
        <v>0.2</v>
      </c>
      <c r="Z299" s="1790">
        <f t="shared" si="116"/>
        <v>111264.56</v>
      </c>
      <c r="AA299" s="1790">
        <f t="shared" si="116"/>
        <v>113059.34</v>
      </c>
      <c r="AB299" s="1790">
        <f t="shared" si="116"/>
        <v>118442.5</v>
      </c>
      <c r="AC299" s="1790">
        <f t="shared" si="115"/>
        <v>0</v>
      </c>
      <c r="AD299" s="1790">
        <f t="shared" si="115"/>
        <v>0</v>
      </c>
      <c r="AE299" s="1790">
        <f t="shared" si="115"/>
        <v>0</v>
      </c>
      <c r="AF299" s="1790">
        <f t="shared" si="115"/>
        <v>0</v>
      </c>
      <c r="AG299" s="1794">
        <v>942.92</v>
      </c>
      <c r="AH299" s="1794">
        <v>958.13</v>
      </c>
      <c r="AI299" s="1794">
        <v>1003.75</v>
      </c>
      <c r="AJ299" s="1794">
        <v>0</v>
      </c>
      <c r="AK299" s="1794">
        <v>0</v>
      </c>
      <c r="AL299" s="1794">
        <v>0</v>
      </c>
      <c r="AM299" s="1794">
        <v>0</v>
      </c>
      <c r="AN299" s="1797"/>
      <c r="AO299" s="1797"/>
      <c r="AP299" s="1808">
        <f t="shared" si="131"/>
        <v>1.1785523970364786</v>
      </c>
      <c r="AQ299" s="1810">
        <f>IF(AP299&gt;[11]核心假设及结论!$B$59,[11]核心假设及结论!$D$59,IF(AP299&lt;=[11]核心假设及结论!$B$58,[11]核心假设及结论!$D$57,[11]核心假设及结论!$D$58))</f>
        <v>1.0069999999999999</v>
      </c>
      <c r="AR299" s="1809">
        <f t="shared" si="132"/>
        <v>942.92</v>
      </c>
      <c r="AS299" s="1809">
        <f>AH299*(AS$2&lt;=YEAR($K299))+AR299*$AQ299*(AS$2=YEAR($K299)+1)+INDEX([11]核心假设及结论!$E$17:$E$21,MATCH($D299,[11]核心假设及结论!$B$17:$B$21,0))*(AS$2&gt;YEAR($K299)+1)*AR299</f>
        <v>958.13</v>
      </c>
      <c r="AT299" s="1809">
        <f>AI299*(AT$2&lt;=YEAR($K299))+AS299*$AQ299*(AT$2=YEAR($K299)+1)+INDEX([11]核心假设及结论!$E$17:$E$21,MATCH($D299,[11]核心假设及结论!$B$17:$B$21,0))*(AT$2&gt;YEAR($K299)+1)*AS299</f>
        <v>1003.75</v>
      </c>
      <c r="AU299" s="1811">
        <f>AJ299*(AU$2&lt;=YEAR($K299))+AT299*$AQ299*(AU$2=YEAR($K299)+1)+INDEX([11]核心假设及结论!$E$17:$E$21,MATCH($D299,[11]核心假设及结论!$B$17:$B$21,0))*(AU$2&gt;YEAR($K299)+1)*AT299</f>
        <v>1010.7762499999999</v>
      </c>
      <c r="AV299" s="1809">
        <f>AK299*(AV$2&lt;=YEAR($K299))+AU299*$AQ299*(AV$2=YEAR($K299)+1)+INDEX([11]核心假设及结论!$E$17:$E$21,MATCH($D299,[11]核心假设及结论!$B$17:$B$21,0))*(AV$2&gt;YEAR($K299)+1)*AU299</f>
        <v>1038.1425024909465</v>
      </c>
      <c r="AW299" s="1809">
        <f>AL299*(AW$2&lt;=YEAR($K299))+AV299*$AQ299*(AW$2=YEAR($K299)+1)+INDEX([11]核心假设及结论!$E$17:$E$21,MATCH($D299,[11]核心假设及结论!$B$17:$B$21,0))*(AW$2&gt;YEAR($K299)+1)*AV299</f>
        <v>1066.249682338861</v>
      </c>
      <c r="AX299" s="1809">
        <f>AM299*(AX$2&lt;=YEAR($K299))+AW299*$AQ299*(AX$2=YEAR($K299)+1)+INDEX([11]核心假设及结论!$E$17:$E$21,MATCH($D299,[11]核心假设及结论!$B$17:$B$21,0))*(AX$2&gt;YEAR($K299)+1)*AW299</f>
        <v>1095.1178497748065</v>
      </c>
      <c r="AZ299" s="1746">
        <f t="shared" si="122"/>
        <v>46654</v>
      </c>
      <c r="BA299" s="1817">
        <f t="shared" si="123"/>
        <v>45658</v>
      </c>
      <c r="BB299" s="1817">
        <f t="shared" si="124"/>
        <v>45924</v>
      </c>
      <c r="BC299" s="1817">
        <f t="shared" si="125"/>
        <v>46022</v>
      </c>
      <c r="BD299" s="1818">
        <f t="shared" si="126"/>
        <v>267</v>
      </c>
      <c r="BE299" s="1818">
        <f t="shared" si="127"/>
        <v>98</v>
      </c>
      <c r="BG299" s="1777">
        <f t="shared" si="137"/>
        <v>134.09573536438356</v>
      </c>
      <c r="BH299" s="1777">
        <f t="shared" si="139"/>
        <v>137.40561790684933</v>
      </c>
      <c r="BI299" s="1777">
        <f t="shared" si="139"/>
        <v>142.39812839999999</v>
      </c>
      <c r="BJ299" s="1777">
        <f t="shared" si="139"/>
        <v>144.16634443168869</v>
      </c>
      <c r="BK299" s="1777">
        <f t="shared" si="138"/>
        <v>148.06957482754962</v>
      </c>
      <c r="BL299" s="1777">
        <f t="shared" si="138"/>
        <v>152.07848319966254</v>
      </c>
      <c r="BM299" s="1777">
        <f t="shared" si="138"/>
        <v>113.4338070411125</v>
      </c>
      <c r="BO299" s="1739">
        <f t="shared" si="128"/>
        <v>2027</v>
      </c>
      <c r="BP299" s="1742">
        <f>_xlfn.IFNA(INDEX($AR299:$AX299,MATCH(BO299,$AR$2:$AX$2,0))*12/365*[11]核心假设及结论!$C$70*$H299,0)</f>
        <v>116820</v>
      </c>
      <c r="BR299" s="1739">
        <f t="shared" si="133"/>
        <v>2032</v>
      </c>
      <c r="BS299" s="1742">
        <f>_xlfn.IFNA(INDEX($AR299:$AX299,MATCH(BR299,$AR$2:$AX$2,0))*12/365*[11]核心假设及结论!$C$70*$H299,0)</f>
        <v>0</v>
      </c>
      <c r="BU299" s="1739">
        <f t="shared" si="134"/>
        <v>2037</v>
      </c>
      <c r="BV299" s="1742">
        <f>_xlfn.IFNA(INDEX($AR299:$AX299,MATCH(BU299,$AR$2:$AX$2,0))*12/365*[11]核心假设及结论!$C$70*$H299,0)</f>
        <v>0</v>
      </c>
      <c r="BX299" s="1739">
        <f t="shared" si="135"/>
        <v>2042</v>
      </c>
      <c r="BY299" s="1742">
        <f>_xlfn.IFNA(INDEX($AR299:$AX299,MATCH(BX299,$AR$2:$AX$2,0))*12/365*[11]核心假设及结论!$C$70*$H299,0)</f>
        <v>0</v>
      </c>
      <c r="CA299" s="1739">
        <f t="shared" si="136"/>
        <v>2047</v>
      </c>
      <c r="CB299" s="1742">
        <f>_xlfn.IFNA(INDEX($AR299:$AX299,MATCH(CA299,$AR$2:$AX$2,0))*12/365*[11]核心假设及结论!$C$70*$H299,0)</f>
        <v>0</v>
      </c>
    </row>
    <row r="300" spans="1:80" ht="30" customHeight="1">
      <c r="A300" s="1756" t="s">
        <v>1687</v>
      </c>
      <c r="B300" s="1757" t="s">
        <v>2295</v>
      </c>
      <c r="C300" s="1756" t="s">
        <v>2296</v>
      </c>
      <c r="D300" s="1756" t="s">
        <v>1685</v>
      </c>
      <c r="E300" s="1758" t="s">
        <v>1692</v>
      </c>
      <c r="F300" s="1759"/>
      <c r="G300" s="1760" t="s">
        <v>1661</v>
      </c>
      <c r="H300" s="1761">
        <v>118</v>
      </c>
      <c r="I300" s="1761" t="s">
        <v>1913</v>
      </c>
      <c r="J300" s="1773">
        <v>45520</v>
      </c>
      <c r="K300" s="1773">
        <v>46037</v>
      </c>
      <c r="L300" s="1764">
        <f t="shared" si="118"/>
        <v>17</v>
      </c>
      <c r="M300" s="1774">
        <f t="shared" si="129"/>
        <v>95884.44</v>
      </c>
      <c r="N300" s="1775">
        <f t="shared" si="130"/>
        <v>699.58</v>
      </c>
      <c r="O300" s="1760">
        <v>82550.44</v>
      </c>
      <c r="P300" s="1776">
        <v>0.18</v>
      </c>
      <c r="Q300" s="1783">
        <f t="shared" si="119"/>
        <v>95</v>
      </c>
      <c r="R300" s="1784">
        <v>11210</v>
      </c>
      <c r="S300" s="1777">
        <f t="shared" si="120"/>
        <v>18</v>
      </c>
      <c r="T300" s="1784">
        <v>2124</v>
      </c>
      <c r="U300" s="1777"/>
      <c r="V300" s="1785">
        <v>325622.21500000003</v>
      </c>
      <c r="W300" s="1785">
        <f t="shared" si="121"/>
        <v>2759.5102966101699</v>
      </c>
      <c r="X300" s="1786">
        <f>(N300+Q300)*H300/V300</f>
        <v>0.28794239361095186</v>
      </c>
      <c r="Y300" s="1789">
        <f>VLOOKUP(E300,[11]核心假设及结论!$C$25:$E$45,3,0)</f>
        <v>0.2</v>
      </c>
      <c r="Z300" s="1790">
        <f t="shared" si="116"/>
        <v>82550.44</v>
      </c>
      <c r="AA300" s="1790">
        <f t="shared" si="116"/>
        <v>39480.439999999995</v>
      </c>
      <c r="AB300" s="1790">
        <f t="shared" si="116"/>
        <v>0</v>
      </c>
      <c r="AC300" s="1790">
        <f t="shared" si="115"/>
        <v>0</v>
      </c>
      <c r="AD300" s="1790">
        <f t="shared" si="115"/>
        <v>0</v>
      </c>
      <c r="AE300" s="1790">
        <f t="shared" si="115"/>
        <v>0</v>
      </c>
      <c r="AF300" s="1790">
        <f t="shared" si="115"/>
        <v>0</v>
      </c>
      <c r="AG300" s="1794">
        <v>699.58</v>
      </c>
      <c r="AH300" s="1794">
        <v>334.58</v>
      </c>
      <c r="AI300" s="1794">
        <v>0</v>
      </c>
      <c r="AJ300" s="1794">
        <v>0</v>
      </c>
      <c r="AK300" s="1794">
        <v>0</v>
      </c>
      <c r="AL300" s="1794">
        <v>0</v>
      </c>
      <c r="AM300" s="1794">
        <v>0</v>
      </c>
      <c r="AN300" s="1797"/>
      <c r="AO300" s="1797"/>
      <c r="AP300" s="1808">
        <f t="shared" si="131"/>
        <v>1.4397119680547592</v>
      </c>
      <c r="AQ300" s="1810">
        <f>IF(AP300&gt;[11]核心假设及结论!$B$59,[11]核心假设及结论!$D$59,IF(AP300&lt;=[11]核心假设及结论!$B$58,[11]核心假设及结论!$D$57,[11]核心假设及结论!$D$58))</f>
        <v>1.0069999999999999</v>
      </c>
      <c r="AR300" s="1809">
        <f t="shared" si="132"/>
        <v>699.58</v>
      </c>
      <c r="AS300" s="1809">
        <f>AH300*(AS$2&lt;=YEAR($K300))+AR300*$AQ300*(AS$2=YEAR($K300)+1)+INDEX([11]核心假设及结论!$E$17:$E$21,MATCH($D300,[11]核心假设及结论!$B$17:$B$21,0))*(AS$2&gt;YEAR($K300)+1)*AR300</f>
        <v>334.58</v>
      </c>
      <c r="AT300" s="1811">
        <f>AI300*(AT$2&lt;=YEAR($K300))+AS300*$AQ300*(AT$2=YEAR($K300)+1)+INDEX([11]核心假设及结论!$E$17:$E$21,MATCH($D300,[11]核心假设及结论!$B$17:$B$21,0))*(AT$2&gt;YEAR($K300)+1)*AS300</f>
        <v>336.92205999999993</v>
      </c>
      <c r="AU300" s="1809">
        <f>AJ300*(AU$2&lt;=YEAR($K300))+AT300*$AQ300*(AU$2=YEAR($K300)+1)+INDEX([11]核心假设及结论!$E$17:$E$21,MATCH($D300,[11]核心假设及结论!$B$17:$B$21,0))*(AU$2&gt;YEAR($K300)+1)*AT300</f>
        <v>346.04405328360735</v>
      </c>
      <c r="AV300" s="1809">
        <f>AK300*(AV$2&lt;=YEAR($K300))+AU300*$AQ300*(AV$2=YEAR($K300)+1)+INDEX([11]核心假设及结论!$E$17:$E$21,MATCH($D300,[11]核心假设及结论!$B$17:$B$21,0))*(AV$2&gt;YEAR($K300)+1)*AU300</f>
        <v>355.41301989233983</v>
      </c>
      <c r="AW300" s="1809">
        <f>AL300*(AW$2&lt;=YEAR($K300))+AV300*$AQ300*(AW$2=YEAR($K300)+1)+INDEX([11]核心假设及结论!$E$17:$E$21,MATCH($D300,[11]核心假设及结论!$B$17:$B$21,0))*(AW$2&gt;YEAR($K300)+1)*AV300</f>
        <v>365.03564650326746</v>
      </c>
      <c r="AX300" s="1809">
        <f>AM300*(AX$2&lt;=YEAR($K300))+AW300*$AQ300*(AX$2=YEAR($K300)+1)+INDEX([11]核心假设及结论!$E$17:$E$21,MATCH($D300,[11]核心假设及结论!$B$17:$B$21,0))*(AX$2&gt;YEAR($K300)+1)*AW300</f>
        <v>374.91880083183855</v>
      </c>
      <c r="AZ300" s="1746">
        <f t="shared" si="122"/>
        <v>46037</v>
      </c>
      <c r="BA300" s="1817">
        <f t="shared" si="123"/>
        <v>45658</v>
      </c>
      <c r="BB300" s="1817">
        <f t="shared" si="124"/>
        <v>45672</v>
      </c>
      <c r="BC300" s="1817">
        <f t="shared" si="125"/>
        <v>46022</v>
      </c>
      <c r="BD300" s="1818">
        <f t="shared" si="126"/>
        <v>15</v>
      </c>
      <c r="BE300" s="1818">
        <f t="shared" si="127"/>
        <v>350</v>
      </c>
      <c r="BG300" s="1777">
        <f t="shared" si="137"/>
        <v>49.500528000000003</v>
      </c>
      <c r="BH300" s="1777">
        <f t="shared" si="139"/>
        <v>47.694534831780821</v>
      </c>
      <c r="BI300" s="1777">
        <f t="shared" si="139"/>
        <v>48.946755441576933</v>
      </c>
      <c r="BJ300" s="1777">
        <f t="shared" si="139"/>
        <v>50.271963931612994</v>
      </c>
      <c r="BK300" s="1777">
        <f t="shared" si="138"/>
        <v>51.633051766995244</v>
      </c>
      <c r="BL300" s="1777">
        <f t="shared" si="138"/>
        <v>53.030990362736603</v>
      </c>
      <c r="BM300" s="1777">
        <f t="shared" si="138"/>
        <v>2.1817192684022606</v>
      </c>
      <c r="BO300" s="1739">
        <f t="shared" si="128"/>
        <v>2026</v>
      </c>
      <c r="BP300" s="1742">
        <f>_xlfn.IFNA(INDEX($AR300:$AX300,MATCH(BO300,$AR$2:$AX$2,0))*12/365*[11]核心假设及结论!$C$70*$H300,0)</f>
        <v>38939.612054794525</v>
      </c>
      <c r="BR300" s="1739">
        <f t="shared" si="133"/>
        <v>2027</v>
      </c>
      <c r="BS300" s="1742">
        <f>_xlfn.IFNA(INDEX($AR300:$AX300,MATCH(BR300,$AR$2:$AX$2,0))*12/365*[11]核心假设及结论!$C$70*$H300,0)</f>
        <v>39212.189339178076</v>
      </c>
      <c r="BU300" s="1739">
        <f t="shared" si="134"/>
        <v>2028</v>
      </c>
      <c r="BV300" s="1742">
        <f>_xlfn.IFNA(INDEX($AR300:$AX300,MATCH(BU300,$AR$2:$AX$2,0))*12/365*[11]核心假设及结论!$C$70*$H300,0)</f>
        <v>40273.839406815452</v>
      </c>
      <c r="BX300" s="1739">
        <f t="shared" si="135"/>
        <v>2029</v>
      </c>
      <c r="BY300" s="1742">
        <f>_xlfn.IFNA(INDEX($AR300:$AX300,MATCH(BX300,$AR$2:$AX$2,0))*12/365*[11]核心假设及结论!$C$70*$H300,0)</f>
        <v>41364.233109661902</v>
      </c>
      <c r="CA300" s="1739">
        <f t="shared" si="136"/>
        <v>2030</v>
      </c>
      <c r="CB300" s="1742">
        <f>_xlfn.IFNA(INDEX($AR300:$AX300,MATCH(CA300,$AR$2:$AX$2,0))*12/365*[11]核心假设及结论!$C$70*$H300,0)</f>
        <v>42484.14866701042</v>
      </c>
    </row>
    <row r="301" spans="1:80" ht="30" customHeight="1">
      <c r="A301" s="1756" t="s">
        <v>1687</v>
      </c>
      <c r="B301" s="1757" t="s">
        <v>2297</v>
      </c>
      <c r="C301" s="1756" t="s">
        <v>2298</v>
      </c>
      <c r="D301" s="1756" t="s">
        <v>1685</v>
      </c>
      <c r="E301" s="1758" t="s">
        <v>1692</v>
      </c>
      <c r="F301" s="1759"/>
      <c r="G301" s="1760" t="s">
        <v>1661</v>
      </c>
      <c r="H301" s="1761">
        <v>117</v>
      </c>
      <c r="I301" s="1761" t="s">
        <v>1913</v>
      </c>
      <c r="J301" s="1773">
        <v>44812</v>
      </c>
      <c r="K301" s="1773">
        <v>46637</v>
      </c>
      <c r="L301" s="1764">
        <f t="shared" si="118"/>
        <v>60</v>
      </c>
      <c r="M301" s="1774">
        <f t="shared" si="129"/>
        <v>119951.91</v>
      </c>
      <c r="N301" s="1775">
        <f t="shared" si="130"/>
        <v>912.5</v>
      </c>
      <c r="O301" s="1760">
        <v>106762.5</v>
      </c>
      <c r="P301" s="1776">
        <v>0.18</v>
      </c>
      <c r="Q301" s="1783">
        <f t="shared" si="119"/>
        <v>95</v>
      </c>
      <c r="R301" s="1784">
        <v>11115</v>
      </c>
      <c r="S301" s="1777">
        <f t="shared" si="120"/>
        <v>17.73</v>
      </c>
      <c r="T301" s="1784">
        <v>2074.41</v>
      </c>
      <c r="U301" s="1777"/>
      <c r="V301" s="1785">
        <v>402257.77250000002</v>
      </c>
      <c r="W301" s="1785">
        <f t="shared" si="121"/>
        <v>3438.1006196581197</v>
      </c>
      <c r="X301" s="1786">
        <f>(N301+Q301+S301)*H301/V301</f>
        <v>0.29819662465316316</v>
      </c>
      <c r="Y301" s="1789">
        <f>VLOOKUP(E301,[11]核心假设及结论!$C$25:$E$45,3,0)</f>
        <v>0.2</v>
      </c>
      <c r="Z301" s="1790">
        <f t="shared" si="116"/>
        <v>106762.5</v>
      </c>
      <c r="AA301" s="1790">
        <f t="shared" si="116"/>
        <v>110321.64</v>
      </c>
      <c r="AB301" s="1790">
        <f t="shared" si="116"/>
        <v>113879.61</v>
      </c>
      <c r="AC301" s="1790">
        <f t="shared" si="115"/>
        <v>0</v>
      </c>
      <c r="AD301" s="1790">
        <f t="shared" si="115"/>
        <v>0</v>
      </c>
      <c r="AE301" s="1790">
        <f t="shared" si="115"/>
        <v>0</v>
      </c>
      <c r="AF301" s="1790">
        <f t="shared" si="115"/>
        <v>0</v>
      </c>
      <c r="AG301" s="1794">
        <v>912.5</v>
      </c>
      <c r="AH301" s="1794">
        <v>942.92</v>
      </c>
      <c r="AI301" s="1794">
        <v>973.33</v>
      </c>
      <c r="AJ301" s="1794">
        <v>0</v>
      </c>
      <c r="AK301" s="1794">
        <v>0</v>
      </c>
      <c r="AL301" s="1794">
        <v>0</v>
      </c>
      <c r="AM301" s="1794">
        <v>0</v>
      </c>
      <c r="AN301" s="1797"/>
      <c r="AO301" s="1797"/>
      <c r="AP301" s="1808">
        <f t="shared" si="131"/>
        <v>1.4909831232658157</v>
      </c>
      <c r="AQ301" s="1810">
        <f>IF(AP301&gt;[11]核心假设及结论!$B$59,[11]核心假设及结论!$D$59,IF(AP301&lt;=[11]核心假设及结论!$B$58,[11]核心假设及结论!$D$57,[11]核心假设及结论!$D$58))</f>
        <v>1.0069999999999999</v>
      </c>
      <c r="AR301" s="1809">
        <f t="shared" si="132"/>
        <v>912.5</v>
      </c>
      <c r="AS301" s="1809">
        <f>AH301*(AS$2&lt;=YEAR($K301))+AR301*$AQ301*(AS$2=YEAR($K301)+1)+INDEX([11]核心假设及结论!$E$17:$E$21,MATCH($D301,[11]核心假设及结论!$B$17:$B$21,0))*(AS$2&gt;YEAR($K301)+1)*AR301</f>
        <v>942.92</v>
      </c>
      <c r="AT301" s="1809">
        <f>AI301*(AT$2&lt;=YEAR($K301))+AS301*$AQ301*(AT$2=YEAR($K301)+1)+INDEX([11]核心假设及结论!$E$17:$E$21,MATCH($D301,[11]核心假设及结论!$B$17:$B$21,0))*(AT$2&gt;YEAR($K301)+1)*AS301</f>
        <v>973.33</v>
      </c>
      <c r="AU301" s="1811">
        <f>AJ301*(AU$2&lt;=YEAR($K301))+AT301*$AQ301*(AU$2=YEAR($K301)+1)+INDEX([11]核心假设及结论!$E$17:$E$21,MATCH($D301,[11]核心假设及结论!$B$17:$B$21,0))*(AU$2&gt;YEAR($K301)+1)*AT301</f>
        <v>980.14330999999993</v>
      </c>
      <c r="AV301" s="1809">
        <f>AK301*(AV$2&lt;=YEAR($K301))+AU301*$AQ301*(AV$2=YEAR($K301)+1)+INDEX([11]核心假设及结论!$E$17:$E$21,MATCH($D301,[11]核心假设及结论!$B$17:$B$21,0))*(AV$2&gt;YEAR($K301)+1)*AU301</f>
        <v>1006.6801912323916</v>
      </c>
      <c r="AW301" s="1809">
        <f>AL301*(AW$2&lt;=YEAR($K301))+AV301*$AQ301*(AW$2=YEAR($K301)+1)+INDEX([11]核心假设及结论!$E$17:$E$21,MATCH($D301,[11]核心假设及结论!$B$17:$B$21,0))*(AW$2&gt;YEAR($K301)+1)*AV301</f>
        <v>1033.9355450170697</v>
      </c>
      <c r="AX301" s="1809">
        <f>AM301*(AX$2&lt;=YEAR($K301))+AW301*$AQ301*(AX$2=YEAR($K301)+1)+INDEX([11]核心假设及结论!$E$17:$E$21,MATCH($D301,[11]核心假设及结论!$B$17:$B$21,0))*(AX$2&gt;YEAR($K301)+1)*AW301</f>
        <v>1061.9288236326897</v>
      </c>
      <c r="AZ301" s="1746">
        <f t="shared" si="122"/>
        <v>46637</v>
      </c>
      <c r="BA301" s="1817">
        <f t="shared" si="123"/>
        <v>45658</v>
      </c>
      <c r="BB301" s="1817">
        <f t="shared" si="124"/>
        <v>45907</v>
      </c>
      <c r="BC301" s="1817">
        <f t="shared" si="125"/>
        <v>46022</v>
      </c>
      <c r="BD301" s="1818">
        <f t="shared" si="126"/>
        <v>250</v>
      </c>
      <c r="BE301" s="1818">
        <f t="shared" si="127"/>
        <v>115</v>
      </c>
      <c r="BG301" s="1777">
        <f t="shared" si="137"/>
        <v>129.46064745205479</v>
      </c>
      <c r="BH301" s="1777">
        <f t="shared" si="139"/>
        <v>133.73117309589043</v>
      </c>
      <c r="BI301" s="1777">
        <f t="shared" si="139"/>
        <v>136.9569229678356</v>
      </c>
      <c r="BJ301" s="1777">
        <f t="shared" si="139"/>
        <v>138.78599602366629</v>
      </c>
      <c r="BK301" s="1777">
        <f t="shared" si="138"/>
        <v>142.5435562249385</v>
      </c>
      <c r="BL301" s="1777">
        <f t="shared" si="138"/>
        <v>146.4028504560892</v>
      </c>
      <c r="BM301" s="1777">
        <f t="shared" si="138"/>
        <v>102.11973071097918</v>
      </c>
      <c r="BO301" s="1739">
        <f t="shared" si="128"/>
        <v>2027</v>
      </c>
      <c r="BP301" s="1742">
        <f>_xlfn.IFNA(INDEX($AR301:$AX301,MATCH(BO301,$AR$2:$AX$2,0))*12/365*[11]核心假设及结论!$C$70*$H301,0)</f>
        <v>112319.61534246577</v>
      </c>
      <c r="BR301" s="1739">
        <f t="shared" si="133"/>
        <v>2032</v>
      </c>
      <c r="BS301" s="1742">
        <f>_xlfn.IFNA(INDEX($AR301:$AX301,MATCH(BR301,$AR$2:$AX$2,0))*12/365*[11]核心假设及结论!$C$70*$H301,0)</f>
        <v>0</v>
      </c>
      <c r="BU301" s="1739">
        <f t="shared" si="134"/>
        <v>2037</v>
      </c>
      <c r="BV301" s="1742">
        <f>_xlfn.IFNA(INDEX($AR301:$AX301,MATCH(BU301,$AR$2:$AX$2,0))*12/365*[11]核心假设及结论!$C$70*$H301,0)</f>
        <v>0</v>
      </c>
      <c r="BX301" s="1739">
        <f t="shared" si="135"/>
        <v>2042</v>
      </c>
      <c r="BY301" s="1742">
        <f>_xlfn.IFNA(INDEX($AR301:$AX301,MATCH(BX301,$AR$2:$AX$2,0))*12/365*[11]核心假设及结论!$C$70*$H301,0)</f>
        <v>0</v>
      </c>
      <c r="CA301" s="1739">
        <f t="shared" si="136"/>
        <v>2047</v>
      </c>
      <c r="CB301" s="1742">
        <f>_xlfn.IFNA(INDEX($AR301:$AX301,MATCH(CA301,$AR$2:$AX$2,0))*12/365*[11]核心假设及结论!$C$70*$H301,0)</f>
        <v>0</v>
      </c>
    </row>
    <row r="302" spans="1:80" ht="30" customHeight="1">
      <c r="A302" s="1756" t="s">
        <v>1687</v>
      </c>
      <c r="B302" s="1757" t="s">
        <v>2299</v>
      </c>
      <c r="C302" s="1756" t="s">
        <v>2300</v>
      </c>
      <c r="D302" s="1756" t="s">
        <v>1698</v>
      </c>
      <c r="E302" s="1758" t="s">
        <v>1698</v>
      </c>
      <c r="F302" s="1759"/>
      <c r="G302" s="1760" t="s">
        <v>1661</v>
      </c>
      <c r="H302" s="1761">
        <v>117</v>
      </c>
      <c r="I302" s="1761" t="s">
        <v>1913</v>
      </c>
      <c r="J302" s="1773">
        <v>45489</v>
      </c>
      <c r="K302" s="1773">
        <v>46583</v>
      </c>
      <c r="L302" s="1764">
        <f t="shared" si="118"/>
        <v>36</v>
      </c>
      <c r="M302" s="1774">
        <f t="shared" si="129"/>
        <v>66602.25</v>
      </c>
      <c r="N302" s="1775">
        <f t="shared" si="130"/>
        <v>456.25</v>
      </c>
      <c r="O302" s="1760">
        <v>53381.25</v>
      </c>
      <c r="P302" s="1776">
        <v>0.14000000000000001</v>
      </c>
      <c r="Q302" s="1783">
        <f t="shared" si="119"/>
        <v>95</v>
      </c>
      <c r="R302" s="1784">
        <v>11115</v>
      </c>
      <c r="S302" s="1777">
        <f t="shared" si="120"/>
        <v>18</v>
      </c>
      <c r="T302" s="1784">
        <v>2106</v>
      </c>
      <c r="U302" s="1777"/>
      <c r="V302" s="1785">
        <v>140756.46</v>
      </c>
      <c r="W302" s="1785">
        <f t="shared" si="121"/>
        <v>1203.0466666666666</v>
      </c>
      <c r="X302" s="1786">
        <f>(N302+Q302)*H302/V302</f>
        <v>0.4582116515291732</v>
      </c>
      <c r="Y302" s="1789">
        <f>VLOOKUP(E302,[11]核心假设及结论!$C$25:$E$45,3,0)</f>
        <v>0.2</v>
      </c>
      <c r="Z302" s="1790">
        <f t="shared" si="116"/>
        <v>53381.25</v>
      </c>
      <c r="AA302" s="1790">
        <f t="shared" si="116"/>
        <v>56940.39</v>
      </c>
      <c r="AB302" s="1790">
        <f t="shared" si="116"/>
        <v>60498.360000000008</v>
      </c>
      <c r="AC302" s="1790">
        <f t="shared" si="115"/>
        <v>0</v>
      </c>
      <c r="AD302" s="1790">
        <f t="shared" si="115"/>
        <v>0</v>
      </c>
      <c r="AE302" s="1790">
        <f t="shared" si="115"/>
        <v>0</v>
      </c>
      <c r="AF302" s="1790">
        <f t="shared" si="115"/>
        <v>0</v>
      </c>
      <c r="AG302" s="1794">
        <v>456.25</v>
      </c>
      <c r="AH302" s="1794">
        <v>486.67</v>
      </c>
      <c r="AI302" s="1794">
        <v>517.08000000000004</v>
      </c>
      <c r="AJ302" s="1794">
        <v>0</v>
      </c>
      <c r="AK302" s="1794">
        <v>0</v>
      </c>
      <c r="AL302" s="1794">
        <v>0</v>
      </c>
      <c r="AM302" s="1794">
        <v>0</v>
      </c>
      <c r="AN302" s="1797"/>
      <c r="AO302" s="1797"/>
      <c r="AP302" s="1808">
        <f t="shared" si="131"/>
        <v>2.291058257645866</v>
      </c>
      <c r="AQ302" s="1812">
        <f>IF(AP302&gt;[11]核心假设及结论!$B$62,[11]核心假设及结论!$D$62,IF(AP302&lt;=[11]核心假设及结论!$B$61,[11]核心假设及结论!$D$60,[11]核心假设及结论!$D$61))</f>
        <v>1</v>
      </c>
      <c r="AR302" s="1809">
        <f t="shared" si="132"/>
        <v>456.25</v>
      </c>
      <c r="AS302" s="1809">
        <f>AH302*(AS$2&lt;=YEAR($K302))+AR302*$AQ302*(AS$2=YEAR($K302)+1)+INDEX([11]核心假设及结论!$E$17:$E$21,MATCH($D302,[11]核心假设及结论!$B$17:$B$21,0))*(AS$2&gt;YEAR($K302)+1)*AR302</f>
        <v>486.67</v>
      </c>
      <c r="AT302" s="1809">
        <f>AI302*(AT$2&lt;=YEAR($K302))+AS302*$AQ302*(AT$2=YEAR($K302)+1)+INDEX([11]核心假设及结论!$E$17:$E$21,MATCH($D302,[11]核心假设及结论!$B$17:$B$21,0))*(AT$2&gt;YEAR($K302)+1)*AS302</f>
        <v>517.08000000000004</v>
      </c>
      <c r="AU302" s="1811">
        <f>AJ302*(AU$2&lt;=YEAR($K302))+AT302*$AQ302*(AU$2=YEAR($K302)+1)+INDEX([11]核心假设及结论!$E$17:$E$21,MATCH($D302,[11]核心假设及结论!$B$17:$B$21,0))*(AU$2&gt;YEAR($K302)+1)*AT302</f>
        <v>517.08000000000004</v>
      </c>
      <c r="AV302" s="1809">
        <f>AK302*(AV$2&lt;=YEAR($K302))+AU302*$AQ302*(AV$2=YEAR($K302)+1)+INDEX([11]核心假设及结论!$E$17:$E$21,MATCH($D302,[11]核心假设及结论!$B$17:$B$21,0))*(AV$2&gt;YEAR($K302)+1)*AU302</f>
        <v>532.91164796567921</v>
      </c>
      <c r="AW302" s="1809">
        <f>AL302*(AW$2&lt;=YEAR($K302))+AV302*$AQ302*(AW$2=YEAR($K302)+1)+INDEX([11]核心假设及结论!$E$17:$E$21,MATCH($D302,[11]核心假设及结论!$B$17:$B$21,0))*(AW$2&gt;YEAR($K302)+1)*AV302</f>
        <v>549.22801991470556</v>
      </c>
      <c r="AX302" s="1809">
        <f>AM302*(AX$2&lt;=YEAR($K302))+AW302*$AQ302*(AX$2=YEAR($K302)+1)+INDEX([11]核心假设及结论!$E$17:$E$21,MATCH($D302,[11]核心假设及结论!$B$17:$B$21,0))*(AX$2&gt;YEAR($K302)+1)*AW302</f>
        <v>566.04395683776704</v>
      </c>
      <c r="AZ302" s="1746">
        <f t="shared" si="122"/>
        <v>46583</v>
      </c>
      <c r="BA302" s="1817">
        <f t="shared" si="123"/>
        <v>45658</v>
      </c>
      <c r="BB302" s="1817">
        <f t="shared" si="124"/>
        <v>45853</v>
      </c>
      <c r="BC302" s="1817">
        <f t="shared" si="125"/>
        <v>46022</v>
      </c>
      <c r="BD302" s="1818">
        <f t="shared" si="126"/>
        <v>196</v>
      </c>
      <c r="BE302" s="1818">
        <f t="shared" si="127"/>
        <v>169</v>
      </c>
      <c r="BG302" s="1777">
        <f t="shared" si="137"/>
        <v>66.035016690410956</v>
      </c>
      <c r="BH302" s="1777">
        <f t="shared" si="139"/>
        <v>70.305334619178083</v>
      </c>
      <c r="BI302" s="1777">
        <f t="shared" si="139"/>
        <v>72.598032000000003</v>
      </c>
      <c r="BJ302" s="1777">
        <f t="shared" si="139"/>
        <v>73.627201891151927</v>
      </c>
      <c r="BK302" s="1777">
        <f t="shared" si="138"/>
        <v>75.881475777279206</v>
      </c>
      <c r="BL302" s="1777">
        <f t="shared" si="138"/>
        <v>78.204769680779819</v>
      </c>
      <c r="BM302" s="1777">
        <f t="shared" si="138"/>
        <v>42.675682251628515</v>
      </c>
      <c r="BO302" s="1739">
        <f t="shared" si="128"/>
        <v>2027</v>
      </c>
      <c r="BP302" s="1742">
        <f>_xlfn.IFNA(INDEX($AR302:$AX302,MATCH(BO302,$AR$2:$AX$2,0))*12/365*[11]核心假设及结论!$C$70*$H302,0)</f>
        <v>59669.615342465768</v>
      </c>
      <c r="BR302" s="1739">
        <f t="shared" si="133"/>
        <v>2030</v>
      </c>
      <c r="BS302" s="1742">
        <f>_xlfn.IFNA(INDEX($AR302:$AX302,MATCH(BR302,$AR$2:$AX$2,0))*12/365*[11]核心假设及结论!$C$70*$H302,0)</f>
        <v>63379.408763855885</v>
      </c>
      <c r="BU302" s="1739">
        <f t="shared" si="134"/>
        <v>2033</v>
      </c>
      <c r="BV302" s="1742">
        <f>_xlfn.IFNA(INDEX($AR302:$AX302,MATCH(BU302,$AR$2:$AX$2,0))*12/365*[11]核心假设及结论!$C$70*$H302,0)</f>
        <v>0</v>
      </c>
      <c r="BX302" s="1739">
        <f t="shared" si="135"/>
        <v>2036</v>
      </c>
      <c r="BY302" s="1742">
        <f>_xlfn.IFNA(INDEX($AR302:$AX302,MATCH(BX302,$AR$2:$AX$2,0))*12/365*[11]核心假设及结论!$C$70*$H302,0)</f>
        <v>0</v>
      </c>
      <c r="CA302" s="1739">
        <f t="shared" si="136"/>
        <v>2039</v>
      </c>
      <c r="CB302" s="1742">
        <f>_xlfn.IFNA(INDEX($AR302:$AX302,MATCH(CA302,$AR$2:$AX$2,0))*12/365*[11]核心假设及结论!$C$70*$H302,0)</f>
        <v>0</v>
      </c>
    </row>
    <row r="303" spans="1:80" ht="30" customHeight="1">
      <c r="A303" s="1756" t="s">
        <v>1687</v>
      </c>
      <c r="B303" s="1757" t="s">
        <v>2301</v>
      </c>
      <c r="C303" s="1756" t="s">
        <v>2302</v>
      </c>
      <c r="D303" s="1756" t="s">
        <v>1685</v>
      </c>
      <c r="E303" s="1758" t="s">
        <v>1692</v>
      </c>
      <c r="F303" s="1759"/>
      <c r="G303" s="1760" t="s">
        <v>1661</v>
      </c>
      <c r="H303" s="1761">
        <v>117</v>
      </c>
      <c r="I303" s="1761" t="s">
        <v>1913</v>
      </c>
      <c r="J303" s="1773">
        <v>45419</v>
      </c>
      <c r="K303" s="1773">
        <v>46513</v>
      </c>
      <c r="L303" s="1764">
        <f t="shared" si="118"/>
        <v>36</v>
      </c>
      <c r="M303" s="1774">
        <f t="shared" si="129"/>
        <v>52366.86</v>
      </c>
      <c r="N303" s="1775">
        <f t="shared" si="130"/>
        <v>334.58</v>
      </c>
      <c r="O303" s="1760">
        <v>39145.86</v>
      </c>
      <c r="P303" s="1776">
        <v>0.12</v>
      </c>
      <c r="Q303" s="1783">
        <f t="shared" si="119"/>
        <v>95</v>
      </c>
      <c r="R303" s="1784">
        <v>11115</v>
      </c>
      <c r="S303" s="1777">
        <f t="shared" si="120"/>
        <v>18</v>
      </c>
      <c r="T303" s="1784">
        <v>2106</v>
      </c>
      <c r="U303" s="1777"/>
      <c r="V303" s="1785">
        <v>640330.27</v>
      </c>
      <c r="W303" s="1785">
        <f t="shared" si="121"/>
        <v>5472.9082905982905</v>
      </c>
      <c r="X303" s="1786">
        <f>(N303+Q303)*H303/V303</f>
        <v>7.8492088153196318E-2</v>
      </c>
      <c r="Y303" s="1789">
        <f>VLOOKUP(E303,[11]核心假设及结论!$C$25:$E$45,3,0)</f>
        <v>0.2</v>
      </c>
      <c r="Z303" s="1790">
        <f t="shared" ref="Z303:AF339" si="140">AG303*$H303</f>
        <v>39145.86</v>
      </c>
      <c r="AA303" s="1790">
        <f t="shared" si="140"/>
        <v>40925.43</v>
      </c>
      <c r="AB303" s="1790">
        <f t="shared" si="140"/>
        <v>42705</v>
      </c>
      <c r="AC303" s="1790">
        <f t="shared" si="140"/>
        <v>0</v>
      </c>
      <c r="AD303" s="1790">
        <f t="shared" si="140"/>
        <v>0</v>
      </c>
      <c r="AE303" s="1790">
        <f t="shared" si="140"/>
        <v>0</v>
      </c>
      <c r="AF303" s="1790">
        <f t="shared" si="140"/>
        <v>0</v>
      </c>
      <c r="AG303" s="1794">
        <v>334.58</v>
      </c>
      <c r="AH303" s="1794">
        <v>349.79</v>
      </c>
      <c r="AI303" s="1794">
        <v>365</v>
      </c>
      <c r="AJ303" s="1794">
        <v>0</v>
      </c>
      <c r="AK303" s="1794">
        <v>0</v>
      </c>
      <c r="AL303" s="1794">
        <v>0</v>
      </c>
      <c r="AM303" s="1794">
        <v>0</v>
      </c>
      <c r="AN303" s="1797"/>
      <c r="AO303" s="1797"/>
      <c r="AP303" s="1808">
        <f t="shared" si="131"/>
        <v>0.39246044076598158</v>
      </c>
      <c r="AQ303" s="1810">
        <f>IF(AP303&gt;[11]核心假设及结论!$B$59,[11]核心假设及结论!$D$59,IF(AP303&lt;=[11]核心假设及结论!$B$58,[11]核心假设及结论!$D$57,[11]核心假设及结论!$D$58))</f>
        <v>1.0342640124442799</v>
      </c>
      <c r="AR303" s="1809">
        <f t="shared" si="132"/>
        <v>334.58</v>
      </c>
      <c r="AS303" s="1809">
        <f>AH303*(AS$2&lt;=YEAR($K303))+AR303*$AQ303*(AS$2=YEAR($K303)+1)+INDEX([11]核心假设及结论!$E$17:$E$21,MATCH($D303,[11]核心假设及结论!$B$17:$B$21,0))*(AS$2&gt;YEAR($K303)+1)*AR303</f>
        <v>349.79</v>
      </c>
      <c r="AT303" s="1809">
        <f>AI303*(AT$2&lt;=YEAR($K303))+AS303*$AQ303*(AT$2=YEAR($K303)+1)+INDEX([11]核心假设及结论!$E$17:$E$21,MATCH($D303,[11]核心假设及结论!$B$17:$B$21,0))*(AT$2&gt;YEAR($K303)+1)*AS303</f>
        <v>365</v>
      </c>
      <c r="AU303" s="1811">
        <f>AJ303*(AU$2&lt;=YEAR($K303))+AT303*$AQ303*(AU$2=YEAR($K303)+1)+INDEX([11]核心假设及结论!$E$17:$E$21,MATCH($D303,[11]核心假设及结论!$B$17:$B$21,0))*(AU$2&gt;YEAR($K303)+1)*AT303</f>
        <v>377.50636454216215</v>
      </c>
      <c r="AV303" s="1809">
        <f>AK303*(AV$2&lt;=YEAR($K303))+AU303*$AQ303*(AV$2=YEAR($K303)+1)+INDEX([11]核心假设及结论!$E$17:$E$21,MATCH($D303,[11]核心假设及结论!$B$17:$B$21,0))*(AV$2&gt;YEAR($K303)+1)*AU303</f>
        <v>387.72715721413101</v>
      </c>
      <c r="AW303" s="1809">
        <f>AL303*(AW$2&lt;=YEAR($K303))+AV303*$AQ303*(AW$2=YEAR($K303)+1)+INDEX([11]核心假设及结论!$E$17:$E$21,MATCH($D303,[11]核心假设及结论!$B$17:$B$21,0))*(AW$2&gt;YEAR($K303)+1)*AV303</f>
        <v>398.22467264538386</v>
      </c>
      <c r="AX303" s="1809">
        <f>AM303*(AX$2&lt;=YEAR($K303))+AW303*$AQ303*(AX$2=YEAR($K303)+1)+INDEX([11]核心假设及结论!$E$17:$E$21,MATCH($D303,[11]核心假设及结论!$B$17:$B$21,0))*(AX$2&gt;YEAR($K303)+1)*AW303</f>
        <v>409.00640296377844</v>
      </c>
      <c r="AZ303" s="1746">
        <f t="shared" si="122"/>
        <v>46513</v>
      </c>
      <c r="BA303" s="1817">
        <f t="shared" si="123"/>
        <v>45658</v>
      </c>
      <c r="BB303" s="1817">
        <f t="shared" si="124"/>
        <v>45783</v>
      </c>
      <c r="BC303" s="1817">
        <f t="shared" si="125"/>
        <v>46022</v>
      </c>
      <c r="BD303" s="1818">
        <f t="shared" si="126"/>
        <v>126</v>
      </c>
      <c r="BE303" s="1818">
        <f t="shared" si="127"/>
        <v>239</v>
      </c>
      <c r="BG303" s="1777">
        <f t="shared" si="137"/>
        <v>48.373335221917806</v>
      </c>
      <c r="BH303" s="1777">
        <f t="shared" si="139"/>
        <v>50.508819221917804</v>
      </c>
      <c r="BI303" s="1777">
        <f t="shared" si="139"/>
        <v>52.395749495975281</v>
      </c>
      <c r="BJ303" s="1777">
        <f t="shared" si="139"/>
        <v>53.941523254551122</v>
      </c>
      <c r="BK303" s="1777">
        <f t="shared" si="138"/>
        <v>55.401962540822758</v>
      </c>
      <c r="BL303" s="1777">
        <f t="shared" si="138"/>
        <v>56.901942477417158</v>
      </c>
      <c r="BM303" s="1777">
        <f t="shared" si="138"/>
        <v>19.823251701343629</v>
      </c>
      <c r="BO303" s="1739">
        <f t="shared" si="128"/>
        <v>2027</v>
      </c>
      <c r="BP303" s="1742">
        <f>_xlfn.IFNA(INDEX($AR303:$AX303,MATCH(BO303,$AR$2:$AX$2,0))*12/365*[11]核心假设及结论!$C$70*$H303,0)</f>
        <v>42120</v>
      </c>
      <c r="BR303" s="1739">
        <f t="shared" si="133"/>
        <v>2030</v>
      </c>
      <c r="BS303" s="1742">
        <f>_xlfn.IFNA(INDEX($AR303:$AX303,MATCH(BR303,$AR$2:$AX$2,0))*12/365*[11]核心假设及结论!$C$70*$H303,0)</f>
        <v>45954.036196776899</v>
      </c>
      <c r="BU303" s="1739">
        <f t="shared" si="134"/>
        <v>2033</v>
      </c>
      <c r="BV303" s="1742">
        <f>_xlfn.IFNA(INDEX($AR303:$AX303,MATCH(BU303,$AR$2:$AX$2,0))*12/365*[11]核心假设及结论!$C$70*$H303,0)</f>
        <v>0</v>
      </c>
      <c r="BX303" s="1739">
        <f t="shared" si="135"/>
        <v>2036</v>
      </c>
      <c r="BY303" s="1742">
        <f>_xlfn.IFNA(INDEX($AR303:$AX303,MATCH(BX303,$AR$2:$AX$2,0))*12/365*[11]核心假设及结论!$C$70*$H303,0)</f>
        <v>0</v>
      </c>
      <c r="CA303" s="1739">
        <f t="shared" si="136"/>
        <v>2039</v>
      </c>
      <c r="CB303" s="1742">
        <f>_xlfn.IFNA(INDEX($AR303:$AX303,MATCH(CA303,$AR$2:$AX$2,0))*12/365*[11]核心假设及结论!$C$70*$H303,0)</f>
        <v>0</v>
      </c>
    </row>
    <row r="304" spans="1:80" ht="30" customHeight="1">
      <c r="A304" s="1756" t="s">
        <v>1662</v>
      </c>
      <c r="B304" s="1757" t="s">
        <v>2303</v>
      </c>
      <c r="C304" s="1756" t="s">
        <v>2304</v>
      </c>
      <c r="D304" s="1756" t="s">
        <v>1685</v>
      </c>
      <c r="E304" s="1758" t="s">
        <v>1718</v>
      </c>
      <c r="F304" s="1759"/>
      <c r="G304" s="1760" t="s">
        <v>1661</v>
      </c>
      <c r="H304" s="1761">
        <v>116</v>
      </c>
      <c r="I304" s="1761" t="s">
        <v>1913</v>
      </c>
      <c r="J304" s="1773">
        <v>45046</v>
      </c>
      <c r="K304" s="1773">
        <v>46141</v>
      </c>
      <c r="L304" s="1764">
        <f t="shared" si="118"/>
        <v>36</v>
      </c>
      <c r="M304" s="1774">
        <f t="shared" si="129"/>
        <v>122472.8</v>
      </c>
      <c r="N304" s="1775">
        <f t="shared" si="130"/>
        <v>942.80000000000007</v>
      </c>
      <c r="O304" s="1760">
        <v>109364.8</v>
      </c>
      <c r="P304" s="1776">
        <v>0.18</v>
      </c>
      <c r="Q304" s="1783">
        <f t="shared" si="119"/>
        <v>95</v>
      </c>
      <c r="R304" s="1784">
        <v>11020</v>
      </c>
      <c r="S304" s="1777">
        <f t="shared" si="120"/>
        <v>18</v>
      </c>
      <c r="T304" s="1777">
        <v>2088</v>
      </c>
      <c r="U304" s="1777"/>
      <c r="V304" s="1785">
        <v>699472.35</v>
      </c>
      <c r="W304" s="1785">
        <f t="shared" si="121"/>
        <v>6029.934051724138</v>
      </c>
      <c r="X304" s="1786">
        <f>(N304+Q304)*H304/V304</f>
        <v>0.17210801827977906</v>
      </c>
      <c r="Y304" s="1789">
        <f>VLOOKUP(E304,[11]核心假设及结论!$C$25:$E$45,3,0)</f>
        <v>0.2</v>
      </c>
      <c r="Z304" s="1790">
        <f t="shared" si="140"/>
        <v>109364.79999999999</v>
      </c>
      <c r="AA304" s="1790">
        <f t="shared" si="140"/>
        <v>112921.36</v>
      </c>
      <c r="AB304" s="1790">
        <f t="shared" si="140"/>
        <v>0</v>
      </c>
      <c r="AC304" s="1790">
        <f t="shared" si="140"/>
        <v>0</v>
      </c>
      <c r="AD304" s="1790">
        <f t="shared" si="140"/>
        <v>0</v>
      </c>
      <c r="AE304" s="1790">
        <f t="shared" si="140"/>
        <v>0</v>
      </c>
      <c r="AF304" s="1790">
        <f t="shared" si="140"/>
        <v>0</v>
      </c>
      <c r="AG304" s="1794">
        <v>942.8</v>
      </c>
      <c r="AH304" s="1794">
        <v>973.46</v>
      </c>
      <c r="AI304" s="1794">
        <v>0</v>
      </c>
      <c r="AJ304" s="1794">
        <v>0</v>
      </c>
      <c r="AK304" s="1794">
        <v>0</v>
      </c>
      <c r="AL304" s="1794">
        <v>0</v>
      </c>
      <c r="AM304" s="1794">
        <v>0</v>
      </c>
      <c r="AN304" s="1795"/>
      <c r="AO304" s="1795"/>
      <c r="AP304" s="1808">
        <f t="shared" si="131"/>
        <v>0.86054009139889531</v>
      </c>
      <c r="AQ304" s="1810">
        <f>IF(AP304&gt;[11]核心假设及结论!$B$59,[11]核心假设及结论!$D$59,IF(AP304&lt;=[11]核心假设及结论!$B$58,[11]核心假设及结论!$D$57,[11]核心假设及结论!$D$58))</f>
        <v>1.0342640124442799</v>
      </c>
      <c r="AR304" s="1809">
        <f t="shared" si="132"/>
        <v>942.8</v>
      </c>
      <c r="AS304" s="1809">
        <f>AH304*(AS$2&lt;=YEAR($K304))+AR304*$AQ304*(AS$2=YEAR($K304)+1)+INDEX([11]核心假设及结论!$E$17:$E$21,MATCH($D304,[11]核心假设及结论!$B$17:$B$21,0))*(AS$2&gt;YEAR($K304)+1)*AR304</f>
        <v>973.46</v>
      </c>
      <c r="AT304" s="1811">
        <f>AI304*(AT$2&lt;=YEAR($K304))+AS304*$AQ304*(AT$2=YEAR($K304)+1)+INDEX([11]核心假设及结论!$E$17:$E$21,MATCH($D304,[11]核心假设及结论!$B$17:$B$21,0))*(AT$2&gt;YEAR($K304)+1)*AS304</f>
        <v>1006.8146455540087</v>
      </c>
      <c r="AU304" s="1809">
        <f>AJ304*(AU$2&lt;=YEAR($K304))+AT304*$AQ304*(AU$2=YEAR($K304)+1)+INDEX([11]核心假设及结论!$E$17:$E$21,MATCH($D304,[11]核心假设及结论!$B$17:$B$21,0))*(AU$2&gt;YEAR($K304)+1)*AT304</f>
        <v>1034.0736396210082</v>
      </c>
      <c r="AV304" s="1809">
        <f>AK304*(AV$2&lt;=YEAR($K304))+AU304*$AQ304*(AV$2=YEAR($K304)+1)+INDEX([11]核心假设及结论!$E$17:$E$21,MATCH($D304,[11]核心假设及结论!$B$17:$B$21,0))*(AV$2&gt;YEAR($K304)+1)*AU304</f>
        <v>1062.0706570777409</v>
      </c>
      <c r="AW304" s="1809">
        <f>AL304*(AW$2&lt;=YEAR($K304))+AV304*$AQ304*(AW$2=YEAR($K304)+1)+INDEX([11]核心假设及结论!$E$17:$E$21,MATCH($D304,[11]核心假设及结论!$B$17:$B$21,0))*(AW$2&gt;YEAR($K304)+1)*AV304</f>
        <v>1090.825679531835</v>
      </c>
      <c r="AX304" s="1809">
        <f>AM304*(AX$2&lt;=YEAR($K304))+AW304*$AQ304*(AX$2=YEAR($K304)+1)+INDEX([11]核心假设及结论!$E$17:$E$21,MATCH($D304,[11]核心假设及结论!$B$17:$B$21,0))*(AX$2&gt;YEAR($K304)+1)*AW304</f>
        <v>1120.3592295827752</v>
      </c>
      <c r="AZ304" s="1746">
        <f t="shared" si="122"/>
        <v>46141</v>
      </c>
      <c r="BA304" s="1817">
        <f t="shared" si="123"/>
        <v>45658</v>
      </c>
      <c r="BB304" s="1817">
        <f t="shared" si="124"/>
        <v>45776</v>
      </c>
      <c r="BC304" s="1817">
        <f t="shared" si="125"/>
        <v>46022</v>
      </c>
      <c r="BD304" s="1818">
        <f t="shared" si="126"/>
        <v>119</v>
      </c>
      <c r="BE304" s="1818">
        <f t="shared" si="127"/>
        <v>246</v>
      </c>
      <c r="BG304" s="1777">
        <f t="shared" si="137"/>
        <v>134.11418879999999</v>
      </c>
      <c r="BH304" s="1777">
        <f t="shared" si="139"/>
        <v>138.63486432502751</v>
      </c>
      <c r="BI304" s="1777">
        <f t="shared" si="139"/>
        <v>142.70595533409082</v>
      </c>
      <c r="BJ304" s="1777">
        <f t="shared" si="139"/>
        <v>146.56964643846183</v>
      </c>
      <c r="BK304" s="1777">
        <f t="shared" si="138"/>
        <v>150.53794501289286</v>
      </c>
      <c r="BL304" s="1777">
        <f t="shared" si="138"/>
        <v>154.61368325139131</v>
      </c>
      <c r="BM304" s="1777">
        <f t="shared" si="138"/>
        <v>50.845278263541793</v>
      </c>
      <c r="BO304" s="1739">
        <f t="shared" si="128"/>
        <v>2026</v>
      </c>
      <c r="BP304" s="1742">
        <f>_xlfn.IFNA(INDEX($AR304:$AX304,MATCH(BO304,$AR$2:$AX$2,0))*12/365*[11]核心假设及结论!$C$70*$H304,0)</f>
        <v>111374.49205479452</v>
      </c>
      <c r="BR304" s="1739">
        <f t="shared" si="133"/>
        <v>2029</v>
      </c>
      <c r="BS304" s="1742">
        <f>_xlfn.IFNA(INDEX($AR304:$AX304,MATCH(BR304,$AR$2:$AX$2,0))*12/365*[11]核心假设及结论!$C$70*$H304,0)</f>
        <v>121512.52230018206</v>
      </c>
      <c r="BU304" s="1739">
        <f t="shared" si="134"/>
        <v>2032</v>
      </c>
      <c r="BV304" s="1742">
        <f>_xlfn.IFNA(INDEX($AR304:$AX304,MATCH(BU304,$AR$2:$AX$2,0))*12/365*[11]核心假设及结论!$C$70*$H304,0)</f>
        <v>0</v>
      </c>
      <c r="BX304" s="1739">
        <f t="shared" si="135"/>
        <v>2035</v>
      </c>
      <c r="BY304" s="1742">
        <f>_xlfn.IFNA(INDEX($AR304:$AX304,MATCH(BX304,$AR$2:$AX$2,0))*12/365*[11]核心假设及结论!$C$70*$H304,0)</f>
        <v>0</v>
      </c>
      <c r="CA304" s="1739">
        <f t="shared" si="136"/>
        <v>2038</v>
      </c>
      <c r="CB304" s="1742">
        <f>_xlfn.IFNA(INDEX($AR304:$AX304,MATCH(CA304,$AR$2:$AX$2,0))*12/365*[11]核心假设及结论!$C$70*$H304,0)</f>
        <v>0</v>
      </c>
    </row>
    <row r="305" spans="1:80" ht="30" customHeight="1">
      <c r="A305" s="1756" t="s">
        <v>1687</v>
      </c>
      <c r="B305" s="1757" t="s">
        <v>2305</v>
      </c>
      <c r="C305" s="1756" t="s">
        <v>2306</v>
      </c>
      <c r="D305" s="1756" t="s">
        <v>1685</v>
      </c>
      <c r="E305" s="1758" t="s">
        <v>1692</v>
      </c>
      <c r="F305" s="1759"/>
      <c r="G305" s="1760" t="s">
        <v>1661</v>
      </c>
      <c r="H305" s="1761">
        <v>116</v>
      </c>
      <c r="I305" s="1761" t="s">
        <v>1913</v>
      </c>
      <c r="J305" s="1773">
        <v>45493</v>
      </c>
      <c r="K305" s="1773">
        <v>46587</v>
      </c>
      <c r="L305" s="1764">
        <f t="shared" si="118"/>
        <v>36</v>
      </c>
      <c r="M305" s="1774">
        <f t="shared" si="129"/>
        <v>111901.72</v>
      </c>
      <c r="N305" s="1775">
        <f t="shared" si="130"/>
        <v>851.67</v>
      </c>
      <c r="O305" s="1760">
        <v>98793.72</v>
      </c>
      <c r="P305" s="1776">
        <v>0.18</v>
      </c>
      <c r="Q305" s="1783">
        <f t="shared" si="119"/>
        <v>95</v>
      </c>
      <c r="R305" s="1784">
        <v>11020</v>
      </c>
      <c r="S305" s="1777">
        <f t="shared" si="120"/>
        <v>18</v>
      </c>
      <c r="T305" s="1777">
        <v>2088</v>
      </c>
      <c r="U305" s="1777"/>
      <c r="V305" s="1785">
        <v>16305</v>
      </c>
      <c r="W305" s="1785">
        <f t="shared" si="121"/>
        <v>140.56034482758622</v>
      </c>
      <c r="X305" s="1786">
        <f>(N305+Q305)*H305/V305</f>
        <v>6.7349720944495557</v>
      </c>
      <c r="Y305" s="1789">
        <f>VLOOKUP(E305,[11]核心假设及结论!$C$25:$E$45,3,0)</f>
        <v>0.2</v>
      </c>
      <c r="Z305" s="1790">
        <f t="shared" si="140"/>
        <v>98793.72</v>
      </c>
      <c r="AA305" s="1790">
        <f t="shared" si="140"/>
        <v>101757.52</v>
      </c>
      <c r="AB305" s="1790">
        <f t="shared" si="140"/>
        <v>104792.08</v>
      </c>
      <c r="AC305" s="1790">
        <f t="shared" si="140"/>
        <v>0</v>
      </c>
      <c r="AD305" s="1790">
        <f t="shared" si="140"/>
        <v>0</v>
      </c>
      <c r="AE305" s="1790">
        <f t="shared" si="140"/>
        <v>0</v>
      </c>
      <c r="AF305" s="1790">
        <f t="shared" si="140"/>
        <v>0</v>
      </c>
      <c r="AG305" s="1794">
        <v>851.67</v>
      </c>
      <c r="AH305" s="1794">
        <v>877.22</v>
      </c>
      <c r="AI305" s="1794">
        <v>903.38</v>
      </c>
      <c r="AJ305" s="1794">
        <v>0</v>
      </c>
      <c r="AK305" s="1794">
        <v>0</v>
      </c>
      <c r="AL305" s="1794">
        <v>0</v>
      </c>
      <c r="AM305" s="1794">
        <v>0</v>
      </c>
      <c r="AN305" s="1795"/>
      <c r="AO305" s="1795"/>
      <c r="AP305" s="1808">
        <f t="shared" si="131"/>
        <v>33.674860472247779</v>
      </c>
      <c r="AQ305" s="1810">
        <f>IF(AP305&gt;[11]核心假设及结论!$B$59,[11]核心假设及结论!$D$59,IF(AP305&lt;=[11]核心假设及结论!$B$58,[11]核心假设及结论!$D$57,[11]核心假设及结论!$D$58))</f>
        <v>1</v>
      </c>
      <c r="AR305" s="1809">
        <f t="shared" si="132"/>
        <v>851.67</v>
      </c>
      <c r="AS305" s="1809">
        <f>AH305*(AS$2&lt;=YEAR($K305))+AR305*$AQ305*(AS$2=YEAR($K305)+1)+INDEX([11]核心假设及结论!$E$17:$E$21,MATCH($D305,[11]核心假设及结论!$B$17:$B$21,0))*(AS$2&gt;YEAR($K305)+1)*AR305</f>
        <v>877.22</v>
      </c>
      <c r="AT305" s="1809">
        <f>AI305*(AT$2&lt;=YEAR($K305))+AS305*$AQ305*(AT$2=YEAR($K305)+1)+INDEX([11]核心假设及结论!$E$17:$E$21,MATCH($D305,[11]核心假设及结论!$B$17:$B$21,0))*(AT$2&gt;YEAR($K305)+1)*AS305</f>
        <v>903.38</v>
      </c>
      <c r="AU305" s="1811">
        <f>AJ305*(AU$2&lt;=YEAR($K305))+AT305*$AQ305*(AU$2=YEAR($K305)+1)+INDEX([11]核心假设及结论!$E$17:$E$21,MATCH($D305,[11]核心假设及结论!$B$17:$B$21,0))*(AU$2&gt;YEAR($K305)+1)*AT305</f>
        <v>903.38</v>
      </c>
      <c r="AV305" s="1809">
        <f>AK305*(AV$2&lt;=YEAR($K305))+AU305*$AQ305*(AV$2=YEAR($K305)+1)+INDEX([11]核心假设及结论!$E$17:$E$21,MATCH($D305,[11]核心假设及结论!$B$17:$B$21,0))*(AV$2&gt;YEAR($K305)+1)*AU305</f>
        <v>927.83855368611148</v>
      </c>
      <c r="AW305" s="1809">
        <f>AL305*(AW$2&lt;=YEAR($K305))+AV305*$AQ305*(AW$2=YEAR($K305)+1)+INDEX([11]核心假设及结论!$E$17:$E$21,MATCH($D305,[11]核心假设及结论!$B$17:$B$21,0))*(AW$2&gt;YEAR($K305)+1)*AV305</f>
        <v>952.95931026404742</v>
      </c>
      <c r="AX305" s="1809">
        <f>AM305*(AX$2&lt;=YEAR($K305))+AW305*$AQ305*(AX$2=YEAR($K305)+1)+INDEX([11]核心假设及结论!$E$17:$E$21,MATCH($D305,[11]核心假设及结论!$B$17:$B$21,0))*(AX$2&gt;YEAR($K305)+1)*AW305</f>
        <v>978.76019854004755</v>
      </c>
      <c r="AZ305" s="1746">
        <f t="shared" si="122"/>
        <v>46587</v>
      </c>
      <c r="BA305" s="1817">
        <f t="shared" si="123"/>
        <v>45658</v>
      </c>
      <c r="BB305" s="1817">
        <f t="shared" si="124"/>
        <v>45857</v>
      </c>
      <c r="BC305" s="1817">
        <f t="shared" si="125"/>
        <v>46022</v>
      </c>
      <c r="BD305" s="1818">
        <f t="shared" si="126"/>
        <v>200</v>
      </c>
      <c r="BE305" s="1818">
        <f t="shared" si="127"/>
        <v>165</v>
      </c>
      <c r="BG305" s="1777">
        <f t="shared" si="137"/>
        <v>120.160224</v>
      </c>
      <c r="BH305" s="1777">
        <f t="shared" si="139"/>
        <v>123.75516887671235</v>
      </c>
      <c r="BI305" s="1777">
        <f t="shared" si="139"/>
        <v>125.750496</v>
      </c>
      <c r="BJ305" s="1777">
        <f t="shared" si="139"/>
        <v>127.28957561934963</v>
      </c>
      <c r="BK305" s="1777">
        <f t="shared" si="138"/>
        <v>130.73587608976982</v>
      </c>
      <c r="BL305" s="1777">
        <f t="shared" si="138"/>
        <v>134.27548339128464</v>
      </c>
      <c r="BM305" s="1777">
        <f t="shared" si="138"/>
        <v>74.653928568095665</v>
      </c>
      <c r="BO305" s="1739">
        <f t="shared" si="128"/>
        <v>2027</v>
      </c>
      <c r="BP305" s="1742">
        <f>_xlfn.IFNA(INDEX($AR305:$AX305,MATCH(BO305,$AR$2:$AX$2,0))*12/365*[11]核心假设及结论!$C$70*$H305,0)</f>
        <v>103356.57205479452</v>
      </c>
      <c r="BR305" s="1739">
        <f t="shared" si="133"/>
        <v>2030</v>
      </c>
      <c r="BS305" s="1742">
        <f>_xlfn.IFNA(INDEX($AR305:$AX305,MATCH(BR305,$AR$2:$AX$2,0))*12/365*[11]核心假设及结论!$C$70*$H305,0)</f>
        <v>109028.98848390854</v>
      </c>
      <c r="BU305" s="1739">
        <f t="shared" si="134"/>
        <v>2033</v>
      </c>
      <c r="BV305" s="1742">
        <f>_xlfn.IFNA(INDEX($AR305:$AX305,MATCH(BU305,$AR$2:$AX$2,0))*12/365*[11]核心假设及结论!$C$70*$H305,0)</f>
        <v>0</v>
      </c>
      <c r="BX305" s="1739">
        <f t="shared" si="135"/>
        <v>2036</v>
      </c>
      <c r="BY305" s="1742">
        <f>_xlfn.IFNA(INDEX($AR305:$AX305,MATCH(BX305,$AR$2:$AX$2,0))*12/365*[11]核心假设及结论!$C$70*$H305,0)</f>
        <v>0</v>
      </c>
      <c r="CA305" s="1739">
        <f t="shared" si="136"/>
        <v>2039</v>
      </c>
      <c r="CB305" s="1742">
        <f>_xlfn.IFNA(INDEX($AR305:$AX305,MATCH(CA305,$AR$2:$AX$2,0))*12/365*[11]核心假设及结论!$C$70*$H305,0)</f>
        <v>0</v>
      </c>
    </row>
    <row r="306" spans="1:80" ht="30" customHeight="1">
      <c r="A306" s="1756" t="s">
        <v>1687</v>
      </c>
      <c r="B306" s="1757" t="s">
        <v>2307</v>
      </c>
      <c r="C306" s="1756" t="s">
        <v>2308</v>
      </c>
      <c r="D306" s="1756" t="s">
        <v>1685</v>
      </c>
      <c r="E306" s="1758" t="s">
        <v>1692</v>
      </c>
      <c r="F306" s="1762"/>
      <c r="G306" s="1760" t="s">
        <v>1661</v>
      </c>
      <c r="H306" s="1761">
        <v>116</v>
      </c>
      <c r="I306" s="1761" t="s">
        <v>1913</v>
      </c>
      <c r="J306" s="1773">
        <v>45604</v>
      </c>
      <c r="K306" s="1773">
        <v>46660</v>
      </c>
      <c r="L306" s="1764">
        <f t="shared" si="118"/>
        <v>35</v>
      </c>
      <c r="M306" s="1774">
        <f t="shared" si="129"/>
        <v>104837.32</v>
      </c>
      <c r="N306" s="1775">
        <f t="shared" si="130"/>
        <v>790.7700000000001</v>
      </c>
      <c r="O306" s="1760">
        <v>91729.32</v>
      </c>
      <c r="P306" s="1776">
        <v>0.17</v>
      </c>
      <c r="Q306" s="1783">
        <f t="shared" si="119"/>
        <v>95</v>
      </c>
      <c r="R306" s="1784">
        <v>11020</v>
      </c>
      <c r="S306" s="1777">
        <f t="shared" si="120"/>
        <v>18</v>
      </c>
      <c r="T306" s="1784">
        <v>2088</v>
      </c>
      <c r="U306" s="1777"/>
      <c r="V306" s="1785">
        <v>80074.038333333301</v>
      </c>
      <c r="W306" s="1785">
        <f t="shared" si="121"/>
        <v>690.2934339080457</v>
      </c>
      <c r="X306" s="1786">
        <f>(N306+Q306+S306)*H306/V306</f>
        <v>1.309254811947685</v>
      </c>
      <c r="Y306" s="1789">
        <f>VLOOKUP(E306,[11]核心假设及结论!$C$25:$E$45,3,0)</f>
        <v>0.2</v>
      </c>
      <c r="Z306" s="1790">
        <f t="shared" si="140"/>
        <v>95265</v>
      </c>
      <c r="AA306" s="1790">
        <f t="shared" si="140"/>
        <v>98793.72</v>
      </c>
      <c r="AB306" s="1790">
        <f t="shared" si="140"/>
        <v>102321.28</v>
      </c>
      <c r="AC306" s="1790">
        <f t="shared" si="140"/>
        <v>0</v>
      </c>
      <c r="AD306" s="1790">
        <f t="shared" si="140"/>
        <v>0</v>
      </c>
      <c r="AE306" s="1790">
        <f t="shared" si="140"/>
        <v>0</v>
      </c>
      <c r="AF306" s="1790">
        <f t="shared" si="140"/>
        <v>0</v>
      </c>
      <c r="AG306" s="1794">
        <v>821.25</v>
      </c>
      <c r="AH306" s="1794">
        <v>851.67</v>
      </c>
      <c r="AI306" s="1794">
        <v>882.08</v>
      </c>
      <c r="AJ306" s="1794">
        <v>0</v>
      </c>
      <c r="AK306" s="1794">
        <v>0</v>
      </c>
      <c r="AL306" s="1794">
        <v>0</v>
      </c>
      <c r="AM306" s="1794">
        <v>0</v>
      </c>
      <c r="AN306" s="1797"/>
      <c r="AO306" s="1797"/>
      <c r="AP306" s="1808">
        <f t="shared" si="131"/>
        <v>6.5462740597384244</v>
      </c>
      <c r="AQ306" s="1810">
        <f>IF(AP306&gt;[11]核心假设及结论!$B$59,[11]核心假设及结论!$D$59,IF(AP306&lt;=[11]核心假设及结论!$B$58,[11]核心假设及结论!$D$57,[11]核心假设及结论!$D$58))</f>
        <v>1</v>
      </c>
      <c r="AR306" s="1809">
        <f t="shared" si="132"/>
        <v>821.25</v>
      </c>
      <c r="AS306" s="1809">
        <f>AH306*(AS$2&lt;=YEAR($K306))+AR306*$AQ306*(AS$2=YEAR($K306)+1)+INDEX([11]核心假设及结论!$E$17:$E$21,MATCH($D306,[11]核心假设及结论!$B$17:$B$21,0))*(AS$2&gt;YEAR($K306)+1)*AR306</f>
        <v>851.67</v>
      </c>
      <c r="AT306" s="1809">
        <f>AI306*(AT$2&lt;=YEAR($K306))+AS306*$AQ306*(AT$2=YEAR($K306)+1)+INDEX([11]核心假设及结论!$E$17:$E$21,MATCH($D306,[11]核心假设及结论!$B$17:$B$21,0))*(AT$2&gt;YEAR($K306)+1)*AS306</f>
        <v>882.08</v>
      </c>
      <c r="AU306" s="1811">
        <f>AJ306*(AU$2&lt;=YEAR($K306))+AT306*$AQ306*(AU$2=YEAR($K306)+1)+INDEX([11]核心假设及结论!$E$17:$E$21,MATCH($D306,[11]核心假设及结论!$B$17:$B$21,0))*(AU$2&gt;YEAR($K306)+1)*AT306</f>
        <v>882.08</v>
      </c>
      <c r="AV306" s="1809">
        <f>AK306*(AV$2&lt;=YEAR($K306))+AU306*$AQ306*(AV$2=YEAR($K306)+1)+INDEX([11]核心假设及结论!$E$17:$E$21,MATCH($D306,[11]核心假设及结论!$B$17:$B$21,0))*(AV$2&gt;YEAR($K306)+1)*AU306</f>
        <v>905.96186702765749</v>
      </c>
      <c r="AW306" s="1809">
        <f>AL306*(AW$2&lt;=YEAR($K306))+AV306*$AQ306*(AW$2=YEAR($K306)+1)+INDEX([11]核心假设及结论!$E$17:$E$21,MATCH($D306,[11]核心假设及结论!$B$17:$B$21,0))*(AW$2&gt;YEAR($K306)+1)*AV306</f>
        <v>930.4903234493911</v>
      </c>
      <c r="AX306" s="1809">
        <f>AM306*(AX$2&lt;=YEAR($K306))+AW306*$AQ306*(AX$2=YEAR($K306)+1)+INDEX([11]核心假设及结论!$E$17:$E$21,MATCH($D306,[11]核心假设及结论!$B$17:$B$21,0))*(AX$2&gt;YEAR($K306)+1)*AW306</f>
        <v>955.68287534393619</v>
      </c>
      <c r="AZ306" s="1746">
        <f t="shared" si="122"/>
        <v>46660</v>
      </c>
      <c r="BA306" s="1817">
        <f t="shared" si="123"/>
        <v>45658</v>
      </c>
      <c r="BB306" s="1817">
        <f t="shared" si="124"/>
        <v>45930</v>
      </c>
      <c r="BC306" s="1817">
        <f t="shared" si="125"/>
        <v>46022</v>
      </c>
      <c r="BD306" s="1818">
        <f t="shared" si="126"/>
        <v>273</v>
      </c>
      <c r="BE306" s="1818">
        <f t="shared" si="127"/>
        <v>92</v>
      </c>
      <c r="BG306" s="1777">
        <f t="shared" si="137"/>
        <v>115.38531695342465</v>
      </c>
      <c r="BH306" s="1777">
        <f t="shared" si="139"/>
        <v>119.61943009315068</v>
      </c>
      <c r="BI306" s="1777">
        <f t="shared" si="139"/>
        <v>122.78553600000001</v>
      </c>
      <c r="BJ306" s="1777">
        <f t="shared" si="139"/>
        <v>123.62345584083013</v>
      </c>
      <c r="BK306" s="1777">
        <f t="shared" si="138"/>
        <v>126.97049798427535</v>
      </c>
      <c r="BL306" s="1777">
        <f t="shared" si="138"/>
        <v>130.40815959013418</v>
      </c>
      <c r="BM306" s="1777">
        <f t="shared" si="138"/>
        <v>99.499940700466098</v>
      </c>
      <c r="BO306" s="1739">
        <f t="shared" si="128"/>
        <v>2027</v>
      </c>
      <c r="BP306" s="1742">
        <f>_xlfn.IFNA(INDEX($AR306:$AX306,MATCH(BO306,$AR$2:$AX$2,0))*12/365*[11]核心假设及结论!$C$70*$H306,0)</f>
        <v>100919.618630137</v>
      </c>
      <c r="BR306" s="1739">
        <f t="shared" si="133"/>
        <v>2030</v>
      </c>
      <c r="BS306" s="1742">
        <f>_xlfn.IFNA(INDEX($AR306:$AX306,MATCH(BR306,$AR$2:$AX$2,0))*12/365*[11]核心假设及结论!$C$70*$H306,0)</f>
        <v>106458.29015683991</v>
      </c>
      <c r="BU306" s="1739">
        <f t="shared" si="134"/>
        <v>2033</v>
      </c>
      <c r="BV306" s="1742">
        <f>_xlfn.IFNA(INDEX($AR306:$AX306,MATCH(BU306,$AR$2:$AX$2,0))*12/365*[11]核心假设及结论!$C$70*$H306,0)</f>
        <v>0</v>
      </c>
      <c r="BX306" s="1739">
        <f t="shared" si="135"/>
        <v>2036</v>
      </c>
      <c r="BY306" s="1742">
        <f>_xlfn.IFNA(INDEX($AR306:$AX306,MATCH(BX306,$AR$2:$AX$2,0))*12/365*[11]核心假设及结论!$C$70*$H306,0)</f>
        <v>0</v>
      </c>
      <c r="CA306" s="1739">
        <f t="shared" si="136"/>
        <v>2039</v>
      </c>
      <c r="CB306" s="1742">
        <f>_xlfn.IFNA(INDEX($AR306:$AX306,MATCH(CA306,$AR$2:$AX$2,0))*12/365*[11]核心假设及结论!$C$70*$H306,0)</f>
        <v>0</v>
      </c>
    </row>
    <row r="307" spans="1:80" ht="30" customHeight="1">
      <c r="A307" s="1756" t="s">
        <v>1687</v>
      </c>
      <c r="B307" s="1757" t="s">
        <v>2309</v>
      </c>
      <c r="C307" s="1756" t="s">
        <v>2310</v>
      </c>
      <c r="D307" s="1756" t="s">
        <v>1685</v>
      </c>
      <c r="E307" s="1758" t="s">
        <v>1888</v>
      </c>
      <c r="F307" s="1759"/>
      <c r="G307" s="1760" t="s">
        <v>1661</v>
      </c>
      <c r="H307" s="1761">
        <v>116</v>
      </c>
      <c r="I307" s="1761" t="s">
        <v>1913</v>
      </c>
      <c r="J307" s="1773">
        <v>45436</v>
      </c>
      <c r="K307" s="1773">
        <v>46530</v>
      </c>
      <c r="L307" s="1764">
        <f t="shared" si="118"/>
        <v>36</v>
      </c>
      <c r="M307" s="1774">
        <f t="shared" si="129"/>
        <v>101316.72</v>
      </c>
      <c r="N307" s="1775">
        <f t="shared" si="130"/>
        <v>760.42</v>
      </c>
      <c r="O307" s="1760">
        <v>88208.72</v>
      </c>
      <c r="P307" s="1776">
        <v>0.16</v>
      </c>
      <c r="Q307" s="1783">
        <f t="shared" si="119"/>
        <v>95</v>
      </c>
      <c r="R307" s="1784">
        <v>11020</v>
      </c>
      <c r="S307" s="1777">
        <f t="shared" si="120"/>
        <v>18</v>
      </c>
      <c r="T307" s="1777">
        <v>2088</v>
      </c>
      <c r="U307" s="1777"/>
      <c r="V307" s="1785">
        <v>301918.88666666701</v>
      </c>
      <c r="W307" s="1785">
        <f t="shared" si="121"/>
        <v>2602.7490229885088</v>
      </c>
      <c r="X307" s="1786">
        <f>(N307+Q307+S307)*H307/V307</f>
        <v>0.3355759592206583</v>
      </c>
      <c r="Y307" s="1789">
        <f>VLOOKUP(E307,[11]核心假设及结论!$C$25:$E$45,3,0)</f>
        <v>0.3</v>
      </c>
      <c r="Z307" s="1790">
        <f t="shared" si="140"/>
        <v>88208.72</v>
      </c>
      <c r="AA307" s="1790">
        <f t="shared" si="140"/>
        <v>91736.28</v>
      </c>
      <c r="AB307" s="1790">
        <f t="shared" si="140"/>
        <v>95265</v>
      </c>
      <c r="AC307" s="1790">
        <f t="shared" si="140"/>
        <v>0</v>
      </c>
      <c r="AD307" s="1790">
        <f t="shared" si="140"/>
        <v>0</v>
      </c>
      <c r="AE307" s="1790">
        <f t="shared" si="140"/>
        <v>0</v>
      </c>
      <c r="AF307" s="1790">
        <f t="shared" si="140"/>
        <v>0</v>
      </c>
      <c r="AG307" s="1794">
        <v>760.42</v>
      </c>
      <c r="AH307" s="1794">
        <v>790.83</v>
      </c>
      <c r="AI307" s="1794">
        <v>821.25</v>
      </c>
      <c r="AJ307" s="1794">
        <v>0</v>
      </c>
      <c r="AK307" s="1794">
        <v>0</v>
      </c>
      <c r="AL307" s="1794">
        <v>0</v>
      </c>
      <c r="AM307" s="1794">
        <v>0</v>
      </c>
      <c r="AN307" s="1795"/>
      <c r="AO307" s="1795"/>
      <c r="AP307" s="1808">
        <f t="shared" si="131"/>
        <v>1.1185865307355278</v>
      </c>
      <c r="AQ307" s="1810">
        <f>IF(AP307&gt;[11]核心假设及结论!$B$59,[11]核心假设及结论!$D$59,IF(AP307&lt;=[11]核心假设及结论!$B$58,[11]核心假设及结论!$D$57,[11]核心假设及结论!$D$58))</f>
        <v>1.0069999999999999</v>
      </c>
      <c r="AR307" s="1809">
        <f t="shared" si="132"/>
        <v>760.42</v>
      </c>
      <c r="AS307" s="1809">
        <f>AH307*(AS$2&lt;=YEAR($K307))+AR307*$AQ307*(AS$2=YEAR($K307)+1)+INDEX([11]核心假设及结论!$E$17:$E$21,MATCH($D307,[11]核心假设及结论!$B$17:$B$21,0))*(AS$2&gt;YEAR($K307)+1)*AR307</f>
        <v>790.83</v>
      </c>
      <c r="AT307" s="1809">
        <f>AI307*(AT$2&lt;=YEAR($K307))+AS307*$AQ307*(AT$2=YEAR($K307)+1)+INDEX([11]核心假设及结论!$E$17:$E$21,MATCH($D307,[11]核心假设及结论!$B$17:$B$21,0))*(AT$2&gt;YEAR($K307)+1)*AS307</f>
        <v>821.25</v>
      </c>
      <c r="AU307" s="1811">
        <f>AJ307*(AU$2&lt;=YEAR($K307))+AT307*$AQ307*(AU$2=YEAR($K307)+1)+INDEX([11]核心假设及结论!$E$17:$E$21,MATCH($D307,[11]核心假设及结论!$B$17:$B$21,0))*(AU$2&gt;YEAR($K307)+1)*AT307</f>
        <v>826.99874999999986</v>
      </c>
      <c r="AV307" s="1809">
        <f>AK307*(AV$2&lt;=YEAR($K307))+AU307*$AQ307*(AV$2=YEAR($K307)+1)+INDEX([11]核心假设及结论!$E$17:$E$21,MATCH($D307,[11]核心假设及结论!$B$17:$B$21,0))*(AV$2&gt;YEAR($K307)+1)*AU307</f>
        <v>849.38932021986534</v>
      </c>
      <c r="AW307" s="1809">
        <f>AL307*(AW$2&lt;=YEAR($K307))+AV307*$AQ307*(AW$2=YEAR($K307)+1)+INDEX([11]核心假设及结论!$E$17:$E$21,MATCH($D307,[11]核心假设及结论!$B$17:$B$21,0))*(AW$2&gt;YEAR($K307)+1)*AV307</f>
        <v>872.38610373179529</v>
      </c>
      <c r="AX307" s="1809">
        <f>AM307*(AX$2&lt;=YEAR($K307))+AW307*$AQ307*(AX$2=YEAR($K307)+1)+INDEX([11]核心假设及结论!$E$17:$E$21,MATCH($D307,[11]核心假设及结论!$B$17:$B$21,0))*(AX$2&gt;YEAR($K307)+1)*AW307</f>
        <v>896.0055134521142</v>
      </c>
      <c r="AZ307" s="1746">
        <f t="shared" si="122"/>
        <v>46530</v>
      </c>
      <c r="BA307" s="1817">
        <f t="shared" si="123"/>
        <v>45658</v>
      </c>
      <c r="BB307" s="1817">
        <f t="shared" si="124"/>
        <v>45800</v>
      </c>
      <c r="BC307" s="1817">
        <f t="shared" si="125"/>
        <v>46022</v>
      </c>
      <c r="BD307" s="1818">
        <f t="shared" si="126"/>
        <v>143</v>
      </c>
      <c r="BE307" s="1818">
        <f t="shared" si="127"/>
        <v>222</v>
      </c>
      <c r="BG307" s="1777">
        <f t="shared" si="137"/>
        <v>108.42509957260273</v>
      </c>
      <c r="BH307" s="1777">
        <f t="shared" si="139"/>
        <v>112.65901821369864</v>
      </c>
      <c r="BI307" s="1777">
        <f t="shared" si="139"/>
        <v>114.8047128</v>
      </c>
      <c r="BJ307" s="1777">
        <f t="shared" si="139"/>
        <v>117.01390369085578</v>
      </c>
      <c r="BK307" s="1777">
        <f t="shared" si="138"/>
        <v>120.18199557405472</v>
      </c>
      <c r="BL307" s="1777">
        <f t="shared" si="138"/>
        <v>123.43586193245545</v>
      </c>
      <c r="BM307" s="1777">
        <f t="shared" si="138"/>
        <v>48.86445848923946</v>
      </c>
      <c r="BO307" s="1739">
        <f t="shared" si="128"/>
        <v>2027</v>
      </c>
      <c r="BP307" s="1742">
        <f>_xlfn.IFNA(INDEX($AR307:$AX307,MATCH(BO307,$AR$2:$AX$2,0))*12/365*[11]核心假设及结论!$C$70*$H307,0)</f>
        <v>93960</v>
      </c>
      <c r="BR307" s="1739">
        <f t="shared" si="133"/>
        <v>2030</v>
      </c>
      <c r="BS307" s="1742">
        <f>_xlfn.IFNA(INDEX($AR307:$AX307,MATCH(BR307,$AR$2:$AX$2,0))*12/365*[11]核心假设及结论!$C$70*$H307,0)</f>
        <v>99810.530662574718</v>
      </c>
      <c r="BU307" s="1739">
        <f t="shared" si="134"/>
        <v>2033</v>
      </c>
      <c r="BV307" s="1742">
        <f>_xlfn.IFNA(INDEX($AR307:$AX307,MATCH(BU307,$AR$2:$AX$2,0))*12/365*[11]核心假设及结论!$C$70*$H307,0)</f>
        <v>0</v>
      </c>
      <c r="BX307" s="1739">
        <f t="shared" si="135"/>
        <v>2036</v>
      </c>
      <c r="BY307" s="1742">
        <f>_xlfn.IFNA(INDEX($AR307:$AX307,MATCH(BX307,$AR$2:$AX$2,0))*12/365*[11]核心假设及结论!$C$70*$H307,0)</f>
        <v>0</v>
      </c>
      <c r="CA307" s="1739">
        <f t="shared" si="136"/>
        <v>2039</v>
      </c>
      <c r="CB307" s="1742">
        <f>_xlfn.IFNA(INDEX($AR307:$AX307,MATCH(CA307,$AR$2:$AX$2,0))*12/365*[11]核心假设及结论!$C$70*$H307,0)</f>
        <v>0</v>
      </c>
    </row>
    <row r="308" spans="1:80" ht="30" customHeight="1">
      <c r="A308" s="1756" t="s">
        <v>1687</v>
      </c>
      <c r="B308" s="1757" t="s">
        <v>2311</v>
      </c>
      <c r="C308" s="1756" t="s">
        <v>2312</v>
      </c>
      <c r="D308" s="1756" t="s">
        <v>1685</v>
      </c>
      <c r="E308" s="1758" t="s">
        <v>1692</v>
      </c>
      <c r="F308" s="1759"/>
      <c r="G308" s="1760" t="s">
        <v>1661</v>
      </c>
      <c r="H308" s="1761">
        <v>115</v>
      </c>
      <c r="I308" s="1761" t="s">
        <v>1913</v>
      </c>
      <c r="J308" s="1773">
        <v>45427</v>
      </c>
      <c r="K308" s="1773">
        <v>46521</v>
      </c>
      <c r="L308" s="1764">
        <f t="shared" si="118"/>
        <v>36</v>
      </c>
      <c r="M308" s="1774">
        <f t="shared" si="129"/>
        <v>110937.05</v>
      </c>
      <c r="N308" s="1775">
        <f t="shared" si="130"/>
        <v>851.67000000000007</v>
      </c>
      <c r="O308" s="1760">
        <v>97942.05</v>
      </c>
      <c r="P308" s="1776">
        <v>0.15</v>
      </c>
      <c r="Q308" s="1783">
        <f t="shared" si="119"/>
        <v>95</v>
      </c>
      <c r="R308" s="1784">
        <v>10925</v>
      </c>
      <c r="S308" s="1777">
        <f t="shared" si="120"/>
        <v>18</v>
      </c>
      <c r="T308" s="1777">
        <v>2070</v>
      </c>
      <c r="U308" s="1777"/>
      <c r="V308" s="1785">
        <v>117515.988888889</v>
      </c>
      <c r="W308" s="1785">
        <f t="shared" si="121"/>
        <v>1021.8781642512087</v>
      </c>
      <c r="X308" s="1786">
        <f>(N308+Q308+S308)*H308/V308</f>
        <v>0.9440166487037831</v>
      </c>
      <c r="Y308" s="1789">
        <f>VLOOKUP(E308,[11]核心假设及结论!$C$25:$E$45,3,0)</f>
        <v>0.2</v>
      </c>
      <c r="Z308" s="1790">
        <f t="shared" si="140"/>
        <v>97942.049999999988</v>
      </c>
      <c r="AA308" s="1790">
        <f t="shared" si="140"/>
        <v>101439.20000000001</v>
      </c>
      <c r="AB308" s="1790">
        <f t="shared" si="140"/>
        <v>104937.5</v>
      </c>
      <c r="AC308" s="1790">
        <f t="shared" si="140"/>
        <v>0</v>
      </c>
      <c r="AD308" s="1790">
        <f t="shared" si="140"/>
        <v>0</v>
      </c>
      <c r="AE308" s="1790">
        <f t="shared" si="140"/>
        <v>0</v>
      </c>
      <c r="AF308" s="1790">
        <f t="shared" si="140"/>
        <v>0</v>
      </c>
      <c r="AG308" s="1794">
        <v>851.67</v>
      </c>
      <c r="AH308" s="1794">
        <v>882.08</v>
      </c>
      <c r="AI308" s="1794">
        <v>912.5</v>
      </c>
      <c r="AJ308" s="1794">
        <v>0</v>
      </c>
      <c r="AK308" s="1794">
        <v>0</v>
      </c>
      <c r="AL308" s="1794">
        <v>0</v>
      </c>
      <c r="AM308" s="1794">
        <v>0</v>
      </c>
      <c r="AN308" s="1795"/>
      <c r="AO308" s="1795"/>
      <c r="AP308" s="1808">
        <f t="shared" si="131"/>
        <v>4.7200832435189151</v>
      </c>
      <c r="AQ308" s="1810">
        <f>IF(AP308&gt;[11]核心假设及结论!$B$59,[11]核心假设及结论!$D$59,IF(AP308&lt;=[11]核心假设及结论!$B$58,[11]核心假设及结论!$D$57,[11]核心假设及结论!$D$58))</f>
        <v>1</v>
      </c>
      <c r="AR308" s="1809">
        <f t="shared" si="132"/>
        <v>851.67</v>
      </c>
      <c r="AS308" s="1809">
        <f>AH308*(AS$2&lt;=YEAR($K308))+AR308*$AQ308*(AS$2=YEAR($K308)+1)+INDEX([11]核心假设及结论!$E$17:$E$21,MATCH($D308,[11]核心假设及结论!$B$17:$B$21,0))*(AS$2&gt;YEAR($K308)+1)*AR308</f>
        <v>882.08</v>
      </c>
      <c r="AT308" s="1809">
        <f>AI308*(AT$2&lt;=YEAR($K308))+AS308*$AQ308*(AT$2=YEAR($K308)+1)+INDEX([11]核心假设及结论!$E$17:$E$21,MATCH($D308,[11]核心假设及结论!$B$17:$B$21,0))*(AT$2&gt;YEAR($K308)+1)*AS308</f>
        <v>912.5</v>
      </c>
      <c r="AU308" s="1811">
        <f>AJ308*(AU$2&lt;=YEAR($K308))+AT308*$AQ308*(AU$2=YEAR($K308)+1)+INDEX([11]核心假设及结论!$E$17:$E$21,MATCH($D308,[11]核心假设及结论!$B$17:$B$21,0))*(AU$2&gt;YEAR($K308)+1)*AT308</f>
        <v>912.5</v>
      </c>
      <c r="AV308" s="1809">
        <f>AK308*(AV$2&lt;=YEAR($K308))+AU308*$AQ308*(AV$2=YEAR($K308)+1)+INDEX([11]核心假设及结论!$E$17:$E$21,MATCH($D308,[11]核心假设及结论!$B$17:$B$21,0))*(AV$2&gt;YEAR($K308)+1)*AU308</f>
        <v>937.2054730440974</v>
      </c>
      <c r="AW308" s="1809">
        <f>AL308*(AW$2&lt;=YEAR($K308))+AV308*$AQ308*(AW$2=YEAR($K308)+1)+INDEX([11]核心假设及结论!$E$17:$E$21,MATCH($D308,[11]核心假设及结论!$B$17:$B$21,0))*(AW$2&gt;YEAR($K308)+1)*AV308</f>
        <v>962.57983419595655</v>
      </c>
      <c r="AX308" s="1809">
        <f>AM308*(AX$2&lt;=YEAR($K308))+AW308*$AQ308*(AX$2=YEAR($K308)+1)+INDEX([11]核心假设及结论!$E$17:$E$21,MATCH($D308,[11]核心假设及结论!$B$17:$B$21,0))*(AX$2&gt;YEAR($K308)+1)*AW308</f>
        <v>988.64119326063599</v>
      </c>
      <c r="AZ308" s="1746">
        <f t="shared" si="122"/>
        <v>46521</v>
      </c>
      <c r="BA308" s="1817">
        <f t="shared" si="123"/>
        <v>45658</v>
      </c>
      <c r="BB308" s="1817">
        <f t="shared" si="124"/>
        <v>45791</v>
      </c>
      <c r="BC308" s="1817">
        <f t="shared" si="125"/>
        <v>46022</v>
      </c>
      <c r="BD308" s="1818">
        <f t="shared" si="126"/>
        <v>134</v>
      </c>
      <c r="BE308" s="1818">
        <f t="shared" si="127"/>
        <v>231</v>
      </c>
      <c r="BG308" s="1777">
        <f t="shared" si="137"/>
        <v>120.18637775342467</v>
      </c>
      <c r="BH308" s="1777">
        <f t="shared" si="139"/>
        <v>124.38383112328768</v>
      </c>
      <c r="BI308" s="1777">
        <f t="shared" si="139"/>
        <v>125.925</v>
      </c>
      <c r="BJ308" s="1777">
        <f t="shared" si="139"/>
        <v>128.08270156082119</v>
      </c>
      <c r="BK308" s="1777">
        <f t="shared" si="138"/>
        <v>131.5504755124114</v>
      </c>
      <c r="BL308" s="1777">
        <f t="shared" si="138"/>
        <v>135.112137678669</v>
      </c>
      <c r="BM308" s="1777">
        <f t="shared" si="138"/>
        <v>50.087542317193645</v>
      </c>
      <c r="BO308" s="1739">
        <f t="shared" si="128"/>
        <v>2027</v>
      </c>
      <c r="BP308" s="1742">
        <f>_xlfn.IFNA(INDEX($AR308:$AX308,MATCH(BO308,$AR$2:$AX$2,0))*12/365*[11]核心假设及结论!$C$70*$H308,0)</f>
        <v>103500</v>
      </c>
      <c r="BR308" s="1739">
        <f t="shared" si="133"/>
        <v>2030</v>
      </c>
      <c r="BS308" s="1742">
        <f>_xlfn.IFNA(INDEX($AR308:$AX308,MATCH(BR308,$AR$2:$AX$2,0))*12/365*[11]核心假设及结论!$C$70*$H308,0)</f>
        <v>109180.28804304822</v>
      </c>
      <c r="BU308" s="1739">
        <f t="shared" si="134"/>
        <v>2033</v>
      </c>
      <c r="BV308" s="1742">
        <f>_xlfn.IFNA(INDEX($AR308:$AX308,MATCH(BU308,$AR$2:$AX$2,0))*12/365*[11]核心假设及结论!$C$70*$H308,0)</f>
        <v>0</v>
      </c>
      <c r="BX308" s="1739">
        <f t="shared" si="135"/>
        <v>2036</v>
      </c>
      <c r="BY308" s="1742">
        <f>_xlfn.IFNA(INDEX($AR308:$AX308,MATCH(BX308,$AR$2:$AX$2,0))*12/365*[11]核心假设及结论!$C$70*$H308,0)</f>
        <v>0</v>
      </c>
      <c r="CA308" s="1739">
        <f t="shared" si="136"/>
        <v>2039</v>
      </c>
      <c r="CB308" s="1742">
        <f>_xlfn.IFNA(INDEX($AR308:$AX308,MATCH(CA308,$AR$2:$AX$2,0))*12/365*[11]核心假设及结论!$C$70*$H308,0)</f>
        <v>0</v>
      </c>
    </row>
    <row r="309" spans="1:80" ht="30" customHeight="1">
      <c r="A309" s="1756" t="s">
        <v>1687</v>
      </c>
      <c r="B309" s="1757" t="s">
        <v>2313</v>
      </c>
      <c r="C309" s="1756" t="s">
        <v>2314</v>
      </c>
      <c r="D309" s="1756" t="s">
        <v>1685</v>
      </c>
      <c r="E309" s="1758" t="s">
        <v>1692</v>
      </c>
      <c r="F309" s="1759"/>
      <c r="G309" s="1760" t="s">
        <v>1661</v>
      </c>
      <c r="H309" s="1761">
        <v>113</v>
      </c>
      <c r="I309" s="1761" t="s">
        <v>1913</v>
      </c>
      <c r="J309" s="1773">
        <v>45504</v>
      </c>
      <c r="K309" s="1773">
        <v>46295</v>
      </c>
      <c r="L309" s="1764">
        <f t="shared" si="118"/>
        <v>26</v>
      </c>
      <c r="M309" s="1774">
        <f t="shared" si="129"/>
        <v>122769.98</v>
      </c>
      <c r="N309" s="1775">
        <f t="shared" si="130"/>
        <v>973.45999999999992</v>
      </c>
      <c r="O309" s="1760">
        <v>110000.98</v>
      </c>
      <c r="P309" s="1776">
        <v>0.18</v>
      </c>
      <c r="Q309" s="1783">
        <f t="shared" si="119"/>
        <v>95</v>
      </c>
      <c r="R309" s="1784">
        <v>10735</v>
      </c>
      <c r="S309" s="1777">
        <f t="shared" si="120"/>
        <v>18</v>
      </c>
      <c r="T309" s="1777">
        <v>2034</v>
      </c>
      <c r="U309" s="1777"/>
      <c r="V309" s="1785">
        <v>457291.95500000002</v>
      </c>
      <c r="W309" s="1785">
        <f t="shared" si="121"/>
        <v>4046.8314601769912</v>
      </c>
      <c r="X309" s="1786">
        <f>(N309+Q309)*H309/V309</f>
        <v>0.26402384446059196</v>
      </c>
      <c r="Y309" s="1789">
        <f>VLOOKUP(E309,[11]核心假设及结论!$C$25:$E$45,3,0)</f>
        <v>0.2</v>
      </c>
      <c r="Z309" s="1790">
        <f t="shared" si="140"/>
        <v>72178.75</v>
      </c>
      <c r="AA309" s="1790">
        <f t="shared" si="140"/>
        <v>79052.540000000008</v>
      </c>
      <c r="AB309" s="1790">
        <f t="shared" si="140"/>
        <v>0</v>
      </c>
      <c r="AC309" s="1790">
        <f t="shared" si="140"/>
        <v>0</v>
      </c>
      <c r="AD309" s="1790">
        <f t="shared" si="140"/>
        <v>0</v>
      </c>
      <c r="AE309" s="1790">
        <f t="shared" si="140"/>
        <v>0</v>
      </c>
      <c r="AF309" s="1790">
        <f t="shared" si="140"/>
        <v>0</v>
      </c>
      <c r="AG309" s="1794">
        <v>638.75</v>
      </c>
      <c r="AH309" s="1794">
        <v>699.58</v>
      </c>
      <c r="AI309" s="1794">
        <v>0</v>
      </c>
      <c r="AJ309" s="1794">
        <v>0</v>
      </c>
      <c r="AK309" s="1794">
        <v>0</v>
      </c>
      <c r="AL309" s="1794">
        <v>0</v>
      </c>
      <c r="AM309" s="1794">
        <v>0</v>
      </c>
      <c r="AN309" s="1795"/>
      <c r="AO309" s="1795"/>
      <c r="AP309" s="1808">
        <f t="shared" si="131"/>
        <v>1.3201192223029596</v>
      </c>
      <c r="AQ309" s="1810">
        <f>IF(AP309&gt;[11]核心假设及结论!$B$59,[11]核心假设及结论!$D$59,IF(AP309&lt;=[11]核心假设及结论!$B$58,[11]核心假设及结论!$D$57,[11]核心假设及结论!$D$58))</f>
        <v>1.0069999999999999</v>
      </c>
      <c r="AR309" s="1809">
        <f t="shared" si="132"/>
        <v>638.75</v>
      </c>
      <c r="AS309" s="1809">
        <f>AH309*(AS$2&lt;=YEAR($K309))+AR309*$AQ309*(AS$2=YEAR($K309)+1)+INDEX([11]核心假设及结论!$E$17:$E$21,MATCH($D309,[11]核心假设及结论!$B$17:$B$21,0))*(AS$2&gt;YEAR($K309)+1)*AR309</f>
        <v>699.58</v>
      </c>
      <c r="AT309" s="1811">
        <f>AI309*(AT$2&lt;=YEAR($K309))+AS309*$AQ309*(AT$2=YEAR($K309)+1)+INDEX([11]核心假设及结论!$E$17:$E$21,MATCH($D309,[11]核心假设及结论!$B$17:$B$21,0))*(AT$2&gt;YEAR($K309)+1)*AS309</f>
        <v>704.47705999999994</v>
      </c>
      <c r="AU309" s="1809">
        <f>AJ309*(AU$2&lt;=YEAR($K309))+AT309*$AQ309*(AU$2=YEAR($K309)+1)+INDEX([11]核心假设及结论!$E$17:$E$21,MATCH($D309,[11]核心假设及结论!$B$17:$B$21,0))*(AU$2&gt;YEAR($K309)+1)*AT309</f>
        <v>723.55041782576984</v>
      </c>
      <c r="AV309" s="1809">
        <f>AK309*(AV$2&lt;=YEAR($K309))+AU309*$AQ309*(AV$2=YEAR($K309)+1)+INDEX([11]核心假设及结论!$E$17:$E$21,MATCH($D309,[11]核心假设及结论!$B$17:$B$21,0))*(AV$2&gt;YEAR($K309)+1)*AU309</f>
        <v>743.14017710647113</v>
      </c>
      <c r="AW309" s="1809">
        <f>AL309*(AW$2&lt;=YEAR($K309))+AV309*$AQ309*(AW$2=YEAR($K309)+1)+INDEX([11]核心假设及结论!$E$17:$E$21,MATCH($D309,[11]核心假设及结论!$B$17:$B$21,0))*(AW$2&gt;YEAR($K309)+1)*AV309</f>
        <v>763.26031914865166</v>
      </c>
      <c r="AX309" s="1809">
        <f>AM309*(AX$2&lt;=YEAR($K309))+AW309*$AQ309*(AX$2=YEAR($K309)+1)+INDEX([11]核心假设及结论!$E$17:$E$21,MATCH($D309,[11]核心假设及结论!$B$17:$B$21,0))*(AX$2&gt;YEAR($K309)+1)*AW309</f>
        <v>783.92520379561734</v>
      </c>
      <c r="AZ309" s="1746">
        <f t="shared" si="122"/>
        <v>46295</v>
      </c>
      <c r="BA309" s="1817">
        <f t="shared" si="123"/>
        <v>45658</v>
      </c>
      <c r="BB309" s="1817">
        <f t="shared" si="124"/>
        <v>45930</v>
      </c>
      <c r="BC309" s="1817">
        <f t="shared" si="125"/>
        <v>46022</v>
      </c>
      <c r="BD309" s="1818">
        <f t="shared" si="126"/>
        <v>273</v>
      </c>
      <c r="BE309" s="1818">
        <f t="shared" si="127"/>
        <v>92</v>
      </c>
      <c r="BG309" s="1777">
        <f t="shared" si="137"/>
        <v>88.693586071232872</v>
      </c>
      <c r="BH309" s="1777">
        <f t="shared" si="139"/>
        <v>95.030422802498634</v>
      </c>
      <c r="BI309" s="1777">
        <f t="shared" si="139"/>
        <v>96.178990578597379</v>
      </c>
      <c r="BJ309" s="1777">
        <f t="shared" si="139"/>
        <v>98.78298779410207</v>
      </c>
      <c r="BK309" s="1777">
        <f t="shared" si="138"/>
        <v>101.4574869088008</v>
      </c>
      <c r="BL309" s="1777">
        <f t="shared" si="138"/>
        <v>104.2043967257293</v>
      </c>
      <c r="BM309" s="1777">
        <f t="shared" si="138"/>
        <v>79.506768039093686</v>
      </c>
      <c r="BO309" s="1739">
        <f t="shared" si="128"/>
        <v>2026</v>
      </c>
      <c r="BP309" s="1742">
        <f>_xlfn.IFNA(INDEX($AR309:$AX309,MATCH(BO309,$AR$2:$AX$2,0))*12/365*[11]核心假设及结论!$C$70*$H309,0)</f>
        <v>77969.628493150696</v>
      </c>
      <c r="BR309" s="1739">
        <f t="shared" si="133"/>
        <v>2028</v>
      </c>
      <c r="BS309" s="1742">
        <f>_xlfn.IFNA(INDEX($AR309:$AX309,MATCH(BR309,$AR$2:$AX$2,0))*12/365*[11]核心假设及结论!$C$70*$H309,0)</f>
        <v>80641.180814115942</v>
      </c>
      <c r="BU309" s="1739">
        <f t="shared" si="134"/>
        <v>2030</v>
      </c>
      <c r="BV309" s="1742">
        <f>_xlfn.IFNA(INDEX($AR309:$AX309,MATCH(BU309,$AR$2:$AX$2,0))*12/365*[11]核心假设及结论!$C$70*$H309,0)</f>
        <v>85066.930912238764</v>
      </c>
      <c r="BX309" s="1739">
        <f t="shared" si="135"/>
        <v>2032</v>
      </c>
      <c r="BY309" s="1742">
        <f>_xlfn.IFNA(INDEX($AR309:$AX309,MATCH(BX309,$AR$2:$AX$2,0))*12/365*[11]核心假设及结论!$C$70*$H309,0)</f>
        <v>0</v>
      </c>
      <c r="CA309" s="1739">
        <f t="shared" si="136"/>
        <v>2034</v>
      </c>
      <c r="CB309" s="1742">
        <f>_xlfn.IFNA(INDEX($AR309:$AX309,MATCH(CA309,$AR$2:$AX$2,0))*12/365*[11]核心假设及结论!$C$70*$H309,0)</f>
        <v>0</v>
      </c>
    </row>
    <row r="310" spans="1:80" ht="30" customHeight="1">
      <c r="A310" s="1756" t="s">
        <v>1662</v>
      </c>
      <c r="B310" s="1757" t="s">
        <v>2315</v>
      </c>
      <c r="C310" s="1756" t="s">
        <v>2316</v>
      </c>
      <c r="D310" s="1756" t="s">
        <v>1685</v>
      </c>
      <c r="E310" s="1758" t="s">
        <v>1718</v>
      </c>
      <c r="F310" s="1759"/>
      <c r="G310" s="1760" t="s">
        <v>1661</v>
      </c>
      <c r="H310" s="1761">
        <v>113</v>
      </c>
      <c r="I310" s="1761" t="s">
        <v>1913</v>
      </c>
      <c r="J310" s="1773">
        <v>45215</v>
      </c>
      <c r="K310" s="1773">
        <v>46310</v>
      </c>
      <c r="L310" s="1764">
        <f t="shared" si="118"/>
        <v>36</v>
      </c>
      <c r="M310" s="1774">
        <f t="shared" si="129"/>
        <v>118753.96</v>
      </c>
      <c r="N310" s="1775">
        <f t="shared" si="130"/>
        <v>942.92000000000007</v>
      </c>
      <c r="O310" s="1760">
        <v>106549.96</v>
      </c>
      <c r="P310" s="1776">
        <v>0.18</v>
      </c>
      <c r="Q310" s="1783">
        <f t="shared" si="119"/>
        <v>90</v>
      </c>
      <c r="R310" s="1784">
        <v>10170</v>
      </c>
      <c r="S310" s="1777">
        <f t="shared" si="120"/>
        <v>18</v>
      </c>
      <c r="T310" s="1784">
        <v>2034</v>
      </c>
      <c r="U310" s="1777"/>
      <c r="V310" s="1785">
        <v>536749.39099999995</v>
      </c>
      <c r="W310" s="1785">
        <f t="shared" si="121"/>
        <v>4749.9946106194684</v>
      </c>
      <c r="X310" s="1786">
        <f>(N310+Q310+S310)*H310/V310</f>
        <v>0.2212465668172505</v>
      </c>
      <c r="Y310" s="1789">
        <f>VLOOKUP(E310,[11]核心假设及结论!$C$25:$E$45,3,0)</f>
        <v>0.2</v>
      </c>
      <c r="Z310" s="1790">
        <f t="shared" si="140"/>
        <v>109986.29000000001</v>
      </c>
      <c r="AA310" s="1790">
        <f t="shared" si="140"/>
        <v>113423.75</v>
      </c>
      <c r="AB310" s="1790">
        <f t="shared" si="140"/>
        <v>0</v>
      </c>
      <c r="AC310" s="1790">
        <f t="shared" si="140"/>
        <v>0</v>
      </c>
      <c r="AD310" s="1790">
        <f t="shared" si="140"/>
        <v>0</v>
      </c>
      <c r="AE310" s="1790">
        <f t="shared" si="140"/>
        <v>0</v>
      </c>
      <c r="AF310" s="1790">
        <f t="shared" si="140"/>
        <v>0</v>
      </c>
      <c r="AG310" s="1794">
        <v>973.33</v>
      </c>
      <c r="AH310" s="1794">
        <v>1003.75</v>
      </c>
      <c r="AI310" s="1794">
        <v>0</v>
      </c>
      <c r="AJ310" s="1794">
        <v>0</v>
      </c>
      <c r="AK310" s="1794">
        <v>0</v>
      </c>
      <c r="AL310" s="1794">
        <v>0</v>
      </c>
      <c r="AM310" s="1794">
        <v>0</v>
      </c>
      <c r="AN310" s="1797"/>
      <c r="AO310" s="1797"/>
      <c r="AP310" s="1808">
        <f t="shared" si="131"/>
        <v>1.1062328340862524</v>
      </c>
      <c r="AQ310" s="1810">
        <f>IF(AP310&gt;[11]核心假设及结论!$B$59,[11]核心假设及结论!$D$59,IF(AP310&lt;=[11]核心假设及结论!$B$58,[11]核心假设及结论!$D$57,[11]核心假设及结论!$D$58))</f>
        <v>1.0069999999999999</v>
      </c>
      <c r="AR310" s="1809">
        <f t="shared" si="132"/>
        <v>973.33</v>
      </c>
      <c r="AS310" s="1809">
        <f>AH310*(AS$2&lt;=YEAR($K310))+AR310*$AQ310*(AS$2=YEAR($K310)+1)+INDEX([11]核心假设及结论!$E$17:$E$21,MATCH($D310,[11]核心假设及结论!$B$17:$B$21,0))*(AS$2&gt;YEAR($K310)+1)*AR310</f>
        <v>1003.75</v>
      </c>
      <c r="AT310" s="1811">
        <f>AI310*(AT$2&lt;=YEAR($K310))+AS310*$AQ310*(AT$2=YEAR($K310)+1)+INDEX([11]核心假设及结论!$E$17:$E$21,MATCH($D310,[11]核心假设及结论!$B$17:$B$21,0))*(AT$2&gt;YEAR($K310)+1)*AS310</f>
        <v>1010.7762499999999</v>
      </c>
      <c r="AU310" s="1809">
        <f>AJ310*(AU$2&lt;=YEAR($K310))+AT310*$AQ310*(AU$2=YEAR($K310)+1)+INDEX([11]核心假设及结论!$E$17:$E$21,MATCH($D310,[11]核心假设及结论!$B$17:$B$21,0))*(AU$2&gt;YEAR($K310)+1)*AT310</f>
        <v>1038.1425024909465</v>
      </c>
      <c r="AV310" s="1809">
        <f>AK310*(AV$2&lt;=YEAR($K310))+AU310*$AQ310*(AV$2=YEAR($K310)+1)+INDEX([11]核心假设及结论!$E$17:$E$21,MATCH($D310,[11]核心假设及结论!$B$17:$B$21,0))*(AV$2&gt;YEAR($K310)+1)*AU310</f>
        <v>1066.249682338861</v>
      </c>
      <c r="AW310" s="1809">
        <f>AL310*(AW$2&lt;=YEAR($K310))+AV310*$AQ310*(AW$2=YEAR($K310)+1)+INDEX([11]核心假设及结论!$E$17:$E$21,MATCH($D310,[11]核心假设及结论!$B$17:$B$21,0))*(AW$2&gt;YEAR($K310)+1)*AV310</f>
        <v>1095.1178497748065</v>
      </c>
      <c r="AX310" s="1809">
        <f>AM310*(AX$2&lt;=YEAR($K310))+AW310*$AQ310*(AX$2=YEAR($K310)+1)+INDEX([11]核心假设及结论!$E$17:$E$21,MATCH($D310,[11]核心假设及结论!$B$17:$B$21,0))*(AX$2&gt;YEAR($K310)+1)*AW310</f>
        <v>1124.7676081503917</v>
      </c>
      <c r="AZ310" s="1746">
        <f t="shared" si="122"/>
        <v>46310</v>
      </c>
      <c r="BA310" s="1817">
        <f t="shared" si="123"/>
        <v>45658</v>
      </c>
      <c r="BB310" s="1817">
        <f t="shared" si="124"/>
        <v>45945</v>
      </c>
      <c r="BC310" s="1817">
        <f t="shared" si="125"/>
        <v>46022</v>
      </c>
      <c r="BD310" s="1818">
        <f t="shared" si="126"/>
        <v>288</v>
      </c>
      <c r="BE310" s="1818">
        <f t="shared" si="127"/>
        <v>77</v>
      </c>
      <c r="BG310" s="1777">
        <f t="shared" si="137"/>
        <v>132.85374335342468</v>
      </c>
      <c r="BH310" s="1777">
        <f t="shared" si="139"/>
        <v>136.3094931</v>
      </c>
      <c r="BI310" s="1777">
        <f t="shared" si="139"/>
        <v>137.84409926851632</v>
      </c>
      <c r="BJ310" s="1777">
        <f t="shared" si="139"/>
        <v>141.57615809456149</v>
      </c>
      <c r="BK310" s="1777">
        <f t="shared" si="138"/>
        <v>145.40926051373091</v>
      </c>
      <c r="BL310" s="1777">
        <f t="shared" si="138"/>
        <v>149.34614222987787</v>
      </c>
      <c r="BM310" s="1777">
        <f t="shared" si="138"/>
        <v>120.34335465089211</v>
      </c>
      <c r="BO310" s="1739">
        <f t="shared" si="128"/>
        <v>2026</v>
      </c>
      <c r="BP310" s="1742">
        <f>_xlfn.IFNA(INDEX($AR310:$AX310,MATCH(BO310,$AR$2:$AX$2,0))*12/365*[11]核心假设及结论!$C$70*$H310,0)</f>
        <v>111870</v>
      </c>
      <c r="BR310" s="1739">
        <f t="shared" si="133"/>
        <v>2029</v>
      </c>
      <c r="BS310" s="1742">
        <f>_xlfn.IFNA(INDEX($AR310:$AX310,MATCH(BR310,$AR$2:$AX$2,0))*12/365*[11]核心假设及结论!$C$70*$H310,0)</f>
        <v>118835.71802067086</v>
      </c>
      <c r="BU310" s="1739">
        <f t="shared" si="134"/>
        <v>2032</v>
      </c>
      <c r="BV310" s="1742">
        <f>_xlfn.IFNA(INDEX($AR310:$AX310,MATCH(BU310,$AR$2:$AX$2,0))*12/365*[11]核心假设及结论!$C$70*$H310,0)</f>
        <v>0</v>
      </c>
      <c r="BX310" s="1739">
        <f t="shared" si="135"/>
        <v>2035</v>
      </c>
      <c r="BY310" s="1742">
        <f>_xlfn.IFNA(INDEX($AR310:$AX310,MATCH(BX310,$AR$2:$AX$2,0))*12/365*[11]核心假设及结论!$C$70*$H310,0)</f>
        <v>0</v>
      </c>
      <c r="CA310" s="1739">
        <f t="shared" si="136"/>
        <v>2038</v>
      </c>
      <c r="CB310" s="1742">
        <f>_xlfn.IFNA(INDEX($AR310:$AX310,MATCH(CA310,$AR$2:$AX$2,0))*12/365*[11]核心假设及结论!$C$70*$H310,0)</f>
        <v>0</v>
      </c>
    </row>
    <row r="311" spans="1:80" ht="30" customHeight="1">
      <c r="A311" s="1756" t="s">
        <v>1662</v>
      </c>
      <c r="B311" s="1757" t="s">
        <v>2317</v>
      </c>
      <c r="C311" s="1756" t="s">
        <v>2318</v>
      </c>
      <c r="D311" s="1756" t="s">
        <v>1685</v>
      </c>
      <c r="E311" s="1758" t="s">
        <v>1718</v>
      </c>
      <c r="F311" s="1759"/>
      <c r="G311" s="1760" t="s">
        <v>1661</v>
      </c>
      <c r="H311" s="1761">
        <v>112</v>
      </c>
      <c r="I311" s="1761" t="s">
        <v>1913</v>
      </c>
      <c r="J311" s="1773">
        <v>45237</v>
      </c>
      <c r="K311" s="1773">
        <v>46332</v>
      </c>
      <c r="L311" s="1764">
        <f t="shared" si="118"/>
        <v>36</v>
      </c>
      <c r="M311" s="1774">
        <f t="shared" si="129"/>
        <v>134274.56</v>
      </c>
      <c r="N311" s="1775">
        <f t="shared" si="130"/>
        <v>1085.8799999999999</v>
      </c>
      <c r="O311" s="1760">
        <v>121618.56</v>
      </c>
      <c r="P311" s="1776">
        <v>0.18</v>
      </c>
      <c r="Q311" s="1783">
        <f t="shared" si="119"/>
        <v>95</v>
      </c>
      <c r="R311" s="1784">
        <v>10640</v>
      </c>
      <c r="S311" s="1777">
        <f t="shared" si="120"/>
        <v>18</v>
      </c>
      <c r="T311" s="1784">
        <v>2016</v>
      </c>
      <c r="U311" s="1777"/>
      <c r="V311" s="1785">
        <v>608352.25</v>
      </c>
      <c r="W311" s="1785">
        <f t="shared" si="121"/>
        <v>5431.7165178571431</v>
      </c>
      <c r="X311" s="1786">
        <f>(N311+Q311+S311)*H311/V311</f>
        <v>0.22071844067314619</v>
      </c>
      <c r="Y311" s="1789">
        <f>VLOOKUP(E311,[11]核心假设及结论!$C$25:$E$45,3,0)</f>
        <v>0.2</v>
      </c>
      <c r="Z311" s="1790">
        <f t="shared" si="140"/>
        <v>124036.64</v>
      </c>
      <c r="AA311" s="1790">
        <f t="shared" si="140"/>
        <v>126524.16</v>
      </c>
      <c r="AB311" s="1790">
        <f t="shared" si="140"/>
        <v>0</v>
      </c>
      <c r="AC311" s="1790">
        <f t="shared" si="140"/>
        <v>0</v>
      </c>
      <c r="AD311" s="1790">
        <f t="shared" si="140"/>
        <v>0</v>
      </c>
      <c r="AE311" s="1790">
        <f t="shared" si="140"/>
        <v>0</v>
      </c>
      <c r="AF311" s="1790">
        <f t="shared" si="140"/>
        <v>0</v>
      </c>
      <c r="AG311" s="1794">
        <v>1107.47</v>
      </c>
      <c r="AH311" s="1794">
        <v>1129.68</v>
      </c>
      <c r="AI311" s="1794">
        <v>0</v>
      </c>
      <c r="AJ311" s="1794">
        <v>0</v>
      </c>
      <c r="AK311" s="1794">
        <v>0</v>
      </c>
      <c r="AL311" s="1794">
        <v>0</v>
      </c>
      <c r="AM311" s="1794">
        <v>0</v>
      </c>
      <c r="AN311" s="1797"/>
      <c r="AO311" s="1797"/>
      <c r="AP311" s="1808">
        <f t="shared" si="131"/>
        <v>1.1035922033657308</v>
      </c>
      <c r="AQ311" s="1810">
        <f>IF(AP311&gt;[11]核心假设及结论!$B$59,[11]核心假设及结论!$D$59,IF(AP311&lt;=[11]核心假设及结论!$B$58,[11]核心假设及结论!$D$57,[11]核心假设及结论!$D$58))</f>
        <v>1.0069999999999999</v>
      </c>
      <c r="AR311" s="1809">
        <f t="shared" si="132"/>
        <v>1107.47</v>
      </c>
      <c r="AS311" s="1809">
        <f>AH311*(AS$2&lt;=YEAR($K311))+AR311*$AQ311*(AS$2=YEAR($K311)+1)+INDEX([11]核心假设及结论!$E$17:$E$21,MATCH($D311,[11]核心假设及结论!$B$17:$B$21,0))*(AS$2&gt;YEAR($K311)+1)*AR311</f>
        <v>1129.68</v>
      </c>
      <c r="AT311" s="1811">
        <f>AI311*(AT$2&lt;=YEAR($K311))+AS311*$AQ311*(AT$2=YEAR($K311)+1)+INDEX([11]核心假设及结论!$E$17:$E$21,MATCH($D311,[11]核心假设及结论!$B$17:$B$21,0))*(AT$2&gt;YEAR($K311)+1)*AS311</f>
        <v>1137.5877599999999</v>
      </c>
      <c r="AU311" s="1809">
        <f>AJ311*(AU$2&lt;=YEAR($K311))+AT311*$AQ311*(AU$2=YEAR($K311)+1)+INDEX([11]核心假设及结论!$E$17:$E$21,MATCH($D311,[11]核心假设及结论!$B$17:$B$21,0))*(AU$2&gt;YEAR($K311)+1)*AT311</f>
        <v>1168.3873695780549</v>
      </c>
      <c r="AV311" s="1809">
        <f>AK311*(AV$2&lt;=YEAR($K311))+AU311*$AQ311*(AV$2=YEAR($K311)+1)+INDEX([11]核心假设及结论!$E$17:$E$21,MATCH($D311,[11]核心假设及结论!$B$17:$B$21,0))*(AV$2&gt;YEAR($K311)+1)*AU311</f>
        <v>1200.0208629086571</v>
      </c>
      <c r="AW311" s="1809">
        <f>AL311*(AW$2&lt;=YEAR($K311))+AV311*$AQ311*(AW$2=YEAR($K311)+1)+INDEX([11]核心假设及结论!$E$17:$E$21,MATCH($D311,[11]核心假设及结论!$B$17:$B$21,0))*(AW$2&gt;YEAR($K311)+1)*AV311</f>
        <v>1232.5108169699661</v>
      </c>
      <c r="AX311" s="1809">
        <f>AM311*(AX$2&lt;=YEAR($K311))+AW311*$AQ311*(AX$2=YEAR($K311)+1)+INDEX([11]核心假设及结论!$E$17:$E$21,MATCH($D311,[11]核心假设及结论!$B$17:$B$21,0))*(AX$2&gt;YEAR($K311)+1)*AW311</f>
        <v>1265.8804200003331</v>
      </c>
      <c r="AZ311" s="1746">
        <f t="shared" si="122"/>
        <v>46332</v>
      </c>
      <c r="BA311" s="1817">
        <f t="shared" si="123"/>
        <v>45658</v>
      </c>
      <c r="BB311" s="1817">
        <f t="shared" si="124"/>
        <v>45967</v>
      </c>
      <c r="BC311" s="1817">
        <f t="shared" si="125"/>
        <v>46022</v>
      </c>
      <c r="BD311" s="1818">
        <f t="shared" si="126"/>
        <v>310</v>
      </c>
      <c r="BE311" s="1818">
        <f t="shared" si="127"/>
        <v>55</v>
      </c>
      <c r="BG311" s="1777">
        <f t="shared" si="137"/>
        <v>149.29376613698628</v>
      </c>
      <c r="BH311" s="1777">
        <f t="shared" si="139"/>
        <v>151.98914038882194</v>
      </c>
      <c r="BI311" s="1777">
        <f t="shared" si="139"/>
        <v>153.5155503248246</v>
      </c>
      <c r="BJ311" s="1777">
        <f t="shared" si="139"/>
        <v>157.67190571156405</v>
      </c>
      <c r="BK311" s="1777">
        <f t="shared" si="138"/>
        <v>161.94079230484459</v>
      </c>
      <c r="BL311" s="1777">
        <f t="shared" si="138"/>
        <v>166.32525682980582</v>
      </c>
      <c r="BM311" s="1777">
        <f t="shared" si="138"/>
        <v>144.49764881888734</v>
      </c>
      <c r="BO311" s="1739">
        <f t="shared" si="128"/>
        <v>2026</v>
      </c>
      <c r="BP311" s="1742">
        <f>_xlfn.IFNA(INDEX($AR311:$AX311,MATCH(BO311,$AR$2:$AX$2,0))*12/365*[11]核心假设及结论!$C$70*$H311,0)</f>
        <v>124790.95232876713</v>
      </c>
      <c r="BR311" s="1739">
        <f t="shared" si="133"/>
        <v>2029</v>
      </c>
      <c r="BS311" s="1742">
        <f>_xlfn.IFNA(INDEX($AR311:$AX311,MATCH(BR311,$AR$2:$AX$2,0))*12/365*[11]核心假设及结论!$C$70*$H311,0)</f>
        <v>132561.20874651248</v>
      </c>
      <c r="BU311" s="1739">
        <f t="shared" si="134"/>
        <v>2032</v>
      </c>
      <c r="BV311" s="1742">
        <f>_xlfn.IFNA(INDEX($AR311:$AX311,MATCH(BU311,$AR$2:$AX$2,0))*12/365*[11]核心假设及结论!$C$70*$H311,0)</f>
        <v>0</v>
      </c>
      <c r="BX311" s="1739">
        <f t="shared" si="135"/>
        <v>2035</v>
      </c>
      <c r="BY311" s="1742">
        <f>_xlfn.IFNA(INDEX($AR311:$AX311,MATCH(BX311,$AR$2:$AX$2,0))*12/365*[11]核心假设及结论!$C$70*$H311,0)</f>
        <v>0</v>
      </c>
      <c r="CA311" s="1739">
        <f t="shared" si="136"/>
        <v>2038</v>
      </c>
      <c r="CB311" s="1742">
        <f>_xlfn.IFNA(INDEX($AR311:$AX311,MATCH(CA311,$AR$2:$AX$2,0))*12/365*[11]核心假设及结论!$C$70*$H311,0)</f>
        <v>0</v>
      </c>
    </row>
    <row r="312" spans="1:80" ht="30" customHeight="1">
      <c r="A312" s="1756" t="s">
        <v>1662</v>
      </c>
      <c r="B312" s="1757" t="s">
        <v>2319</v>
      </c>
      <c r="C312" s="1756" t="s">
        <v>2320</v>
      </c>
      <c r="D312" s="1756" t="s">
        <v>1685</v>
      </c>
      <c r="E312" s="1758" t="s">
        <v>1726</v>
      </c>
      <c r="F312" s="1759"/>
      <c r="G312" s="1760" t="s">
        <v>1661</v>
      </c>
      <c r="H312" s="1761">
        <v>112</v>
      </c>
      <c r="I312" s="1761" t="s">
        <v>1913</v>
      </c>
      <c r="J312" s="1773">
        <v>45067</v>
      </c>
      <c r="K312" s="1773">
        <v>46162</v>
      </c>
      <c r="L312" s="1764">
        <f t="shared" si="118"/>
        <v>36</v>
      </c>
      <c r="M312" s="1774">
        <f t="shared" si="129"/>
        <v>128483.04</v>
      </c>
      <c r="N312" s="1775">
        <f t="shared" si="130"/>
        <v>1034.1699999999998</v>
      </c>
      <c r="O312" s="1760">
        <v>115827.04</v>
      </c>
      <c r="P312" s="1776">
        <v>0.04</v>
      </c>
      <c r="Q312" s="1783">
        <f t="shared" si="119"/>
        <v>95</v>
      </c>
      <c r="R312" s="1784">
        <v>10640</v>
      </c>
      <c r="S312" s="1777">
        <f t="shared" si="120"/>
        <v>18</v>
      </c>
      <c r="T312" s="1777">
        <v>2016</v>
      </c>
      <c r="U312" s="1777"/>
      <c r="V312" s="1785">
        <v>2471921.1666666698</v>
      </c>
      <c r="W312" s="1785">
        <f t="shared" si="121"/>
        <v>22070.72470238098</v>
      </c>
      <c r="X312" s="1786">
        <f t="shared" ref="X312:X324" si="141">(N312+Q312)*H312/V312</f>
        <v>5.1161437389420451E-2</v>
      </c>
      <c r="Y312" s="1789">
        <f>VLOOKUP(E312,[11]核心假设及结论!$C$25:$E$45,3,0)</f>
        <v>0.1</v>
      </c>
      <c r="Z312" s="1790">
        <f t="shared" si="140"/>
        <v>115827.04000000001</v>
      </c>
      <c r="AA312" s="1790">
        <f t="shared" si="140"/>
        <v>117530.56000000001</v>
      </c>
      <c r="AB312" s="1790">
        <f t="shared" si="140"/>
        <v>0</v>
      </c>
      <c r="AC312" s="1790">
        <f t="shared" si="140"/>
        <v>0</v>
      </c>
      <c r="AD312" s="1790">
        <f t="shared" si="140"/>
        <v>0</v>
      </c>
      <c r="AE312" s="1790">
        <f t="shared" si="140"/>
        <v>0</v>
      </c>
      <c r="AF312" s="1790">
        <f t="shared" si="140"/>
        <v>0</v>
      </c>
      <c r="AG312" s="1794">
        <v>1034.17</v>
      </c>
      <c r="AH312" s="1794">
        <v>1049.3800000000001</v>
      </c>
      <c r="AI312" s="1794">
        <v>0</v>
      </c>
      <c r="AJ312" s="1794">
        <v>0</v>
      </c>
      <c r="AK312" s="1794">
        <v>0</v>
      </c>
      <c r="AL312" s="1794">
        <v>0</v>
      </c>
      <c r="AM312" s="1794">
        <v>0</v>
      </c>
      <c r="AN312" s="1795"/>
      <c r="AO312" s="1795"/>
      <c r="AP312" s="1808">
        <f t="shared" si="131"/>
        <v>0.5116143738942045</v>
      </c>
      <c r="AQ312" s="1810">
        <f>IF(AP312&gt;[11]核心假设及结论!$B$59,[11]核心假设及结论!$D$59,IF(AP312&lt;=[11]核心假设及结论!$B$58,[11]核心假设及结论!$D$57,[11]核心假设及结论!$D$58))</f>
        <v>1.0342640124442799</v>
      </c>
      <c r="AR312" s="1809">
        <f t="shared" si="132"/>
        <v>1034.17</v>
      </c>
      <c r="AS312" s="1809">
        <f>AH312*(AS$2&lt;=YEAR($K312))+AR312*$AQ312*(AS$2=YEAR($K312)+1)+INDEX([11]核心假设及结论!$E$17:$E$21,MATCH($D312,[11]核心假设及结论!$B$17:$B$21,0))*(AS$2&gt;YEAR($K312)+1)*AR312</f>
        <v>1049.3800000000001</v>
      </c>
      <c r="AT312" s="1811">
        <f>AI312*(AT$2&lt;=YEAR($K312))+AS312*$AQ312*(AT$2=YEAR($K312)+1)+INDEX([11]核心假设及结论!$E$17:$E$21,MATCH($D312,[11]核心假设及结论!$B$17:$B$21,0))*(AT$2&gt;YEAR($K312)+1)*AS312</f>
        <v>1085.3359693787786</v>
      </c>
      <c r="AU312" s="1809">
        <f>AJ312*(AU$2&lt;=YEAR($K312))+AT312*$AQ312*(AU$2=YEAR($K312)+1)+INDEX([11]核心假设及结论!$E$17:$E$21,MATCH($D312,[11]核心假设及结论!$B$17:$B$21,0))*(AU$2&gt;YEAR($K312)+1)*AT312</f>
        <v>1114.7208883215476</v>
      </c>
      <c r="AV312" s="1809">
        <f>AK312*(AV$2&lt;=YEAR($K312))+AU312*$AQ312*(AV$2=YEAR($K312)+1)+INDEX([11]核心假设及结论!$E$17:$E$21,MATCH($D312,[11]核心假设及结论!$B$17:$B$21,0))*(AV$2&gt;YEAR($K312)+1)*AU312</f>
        <v>1144.9013889879809</v>
      </c>
      <c r="AW312" s="1809">
        <f>AL312*(AW$2&lt;=YEAR($K312))+AV312*$AQ312*(AW$2=YEAR($K312)+1)+INDEX([11]核心假设及结论!$E$17:$E$21,MATCH($D312,[11]核心假设及结论!$B$17:$B$21,0))*(AW$2&gt;YEAR($K312)+1)*AV312</f>
        <v>1175.8990113483012</v>
      </c>
      <c r="AX312" s="1809">
        <f>AM312*(AX$2&lt;=YEAR($K312))+AW312*$AQ312*(AX$2=YEAR($K312)+1)+INDEX([11]核心假设及结论!$E$17:$E$21,MATCH($D312,[11]核心假设及结论!$B$17:$B$21,0))*(AX$2&gt;YEAR($K312)+1)*AW312</f>
        <v>1207.7358785564616</v>
      </c>
      <c r="AZ312" s="1746">
        <f t="shared" si="122"/>
        <v>46162</v>
      </c>
      <c r="BA312" s="1817">
        <f t="shared" si="123"/>
        <v>45658</v>
      </c>
      <c r="BB312" s="1817">
        <f t="shared" si="124"/>
        <v>45797</v>
      </c>
      <c r="BC312" s="1817">
        <f t="shared" si="125"/>
        <v>46022</v>
      </c>
      <c r="BD312" s="1818">
        <f t="shared" si="126"/>
        <v>140</v>
      </c>
      <c r="BE312" s="1818">
        <f t="shared" si="127"/>
        <v>225</v>
      </c>
      <c r="BG312" s="1777">
        <f t="shared" si="137"/>
        <v>140.25258608219181</v>
      </c>
      <c r="BH312" s="1777">
        <f t="shared" si="139"/>
        <v>144.01559943565553</v>
      </c>
      <c r="BI312" s="1777">
        <f t="shared" si="139"/>
        <v>148.30367469225945</v>
      </c>
      <c r="BJ312" s="1777">
        <f t="shared" si="139"/>
        <v>152.31892119905422</v>
      </c>
      <c r="BK312" s="1777">
        <f t="shared" si="138"/>
        <v>156.44287846128896</v>
      </c>
      <c r="BL312" s="1777">
        <f t="shared" si="138"/>
        <v>160.67848976733433</v>
      </c>
      <c r="BM312" s="1777">
        <f t="shared" si="138"/>
        <v>62.259611755940774</v>
      </c>
      <c r="BO312" s="1739">
        <f t="shared" si="128"/>
        <v>2026</v>
      </c>
      <c r="BP312" s="1742">
        <f>_xlfn.IFNA(INDEX($AR312:$AX312,MATCH(BO312,$AR$2:$AX$2,0))*12/365*[11]核心假设及结论!$C$70*$H312,0)</f>
        <v>115920.55232876712</v>
      </c>
      <c r="BR312" s="1739">
        <f t="shared" si="133"/>
        <v>2029</v>
      </c>
      <c r="BS312" s="1742">
        <f>_xlfn.IFNA(INDEX($AR312:$AX312,MATCH(BR312,$AR$2:$AX$2,0))*12/365*[11]核心假设及结论!$C$70*$H312,0)</f>
        <v>126472.39453149421</v>
      </c>
      <c r="BU312" s="1739">
        <f t="shared" si="134"/>
        <v>2032</v>
      </c>
      <c r="BV312" s="1742">
        <f>_xlfn.IFNA(INDEX($AR312:$AX312,MATCH(BU312,$AR$2:$AX$2,0))*12/365*[11]核心假设及结论!$C$70*$H312,0)</f>
        <v>0</v>
      </c>
      <c r="BX312" s="1739">
        <f t="shared" si="135"/>
        <v>2035</v>
      </c>
      <c r="BY312" s="1742">
        <f>_xlfn.IFNA(INDEX($AR312:$AX312,MATCH(BX312,$AR$2:$AX$2,0))*12/365*[11]核心假设及结论!$C$70*$H312,0)</f>
        <v>0</v>
      </c>
      <c r="CA312" s="1739">
        <f t="shared" si="136"/>
        <v>2038</v>
      </c>
      <c r="CB312" s="1742">
        <f>_xlfn.IFNA(INDEX($AR312:$AX312,MATCH(CA312,$AR$2:$AX$2,0))*12/365*[11]核心假设及结论!$C$70*$H312,0)</f>
        <v>0</v>
      </c>
    </row>
    <row r="313" spans="1:80" ht="30" customHeight="1">
      <c r="A313" s="1756" t="s">
        <v>1687</v>
      </c>
      <c r="B313" s="1757" t="s">
        <v>2321</v>
      </c>
      <c r="C313" s="1756" t="s">
        <v>2322</v>
      </c>
      <c r="D313" s="1756" t="s">
        <v>1685</v>
      </c>
      <c r="E313" s="1758" t="s">
        <v>1692</v>
      </c>
      <c r="F313" s="1759"/>
      <c r="G313" s="1760" t="s">
        <v>1661</v>
      </c>
      <c r="H313" s="1761">
        <v>111</v>
      </c>
      <c r="I313" s="1761" t="s">
        <v>1913</v>
      </c>
      <c r="J313" s="1773">
        <v>45444</v>
      </c>
      <c r="K313" s="1773">
        <v>46538</v>
      </c>
      <c r="L313" s="1764">
        <f t="shared" si="118"/>
        <v>36</v>
      </c>
      <c r="M313" s="1774">
        <f t="shared" si="129"/>
        <v>107078.37</v>
      </c>
      <c r="N313" s="1775">
        <f t="shared" si="130"/>
        <v>851.67</v>
      </c>
      <c r="O313" s="1760">
        <v>94535.37</v>
      </c>
      <c r="P313" s="1776">
        <v>0.16</v>
      </c>
      <c r="Q313" s="1783">
        <f t="shared" si="119"/>
        <v>95</v>
      </c>
      <c r="R313" s="1784">
        <v>10545</v>
      </c>
      <c r="S313" s="1777">
        <f t="shared" si="120"/>
        <v>18</v>
      </c>
      <c r="T313" s="1777">
        <v>1998</v>
      </c>
      <c r="U313" s="1777"/>
      <c r="V313" s="1785">
        <v>224490</v>
      </c>
      <c r="W313" s="1785">
        <f t="shared" si="121"/>
        <v>2022.4324324324325</v>
      </c>
      <c r="X313" s="1786">
        <f t="shared" si="141"/>
        <v>0.46808485901376451</v>
      </c>
      <c r="Y313" s="1789">
        <f>VLOOKUP(E313,[11]核心假设及结论!$C$25:$E$45,3,0)</f>
        <v>0.2</v>
      </c>
      <c r="Z313" s="1790">
        <f t="shared" si="140"/>
        <v>94535.37</v>
      </c>
      <c r="AA313" s="1790">
        <f t="shared" si="140"/>
        <v>97910.88</v>
      </c>
      <c r="AB313" s="1790">
        <f t="shared" si="140"/>
        <v>101287.5</v>
      </c>
      <c r="AC313" s="1790">
        <f t="shared" si="140"/>
        <v>0</v>
      </c>
      <c r="AD313" s="1790">
        <f t="shared" si="140"/>
        <v>0</v>
      </c>
      <c r="AE313" s="1790">
        <f t="shared" si="140"/>
        <v>0</v>
      </c>
      <c r="AF313" s="1790">
        <f t="shared" si="140"/>
        <v>0</v>
      </c>
      <c r="AG313" s="1794">
        <v>851.67</v>
      </c>
      <c r="AH313" s="1794">
        <v>882.08</v>
      </c>
      <c r="AI313" s="1794">
        <v>912.5</v>
      </c>
      <c r="AJ313" s="1794">
        <v>0</v>
      </c>
      <c r="AK313" s="1794">
        <v>0</v>
      </c>
      <c r="AL313" s="1794">
        <v>0</v>
      </c>
      <c r="AM313" s="1794">
        <v>0</v>
      </c>
      <c r="AN313" s="1795"/>
      <c r="AO313" s="1795"/>
      <c r="AP313" s="1808">
        <f t="shared" si="131"/>
        <v>2.3404242950688223</v>
      </c>
      <c r="AQ313" s="1810">
        <f>IF(AP313&gt;[11]核心假设及结论!$B$59,[11]核心假设及结论!$D$59,IF(AP313&lt;=[11]核心假设及结论!$B$58,[11]核心假设及结论!$D$57,[11]核心假设及结论!$D$58))</f>
        <v>1</v>
      </c>
      <c r="AR313" s="1809">
        <f t="shared" si="132"/>
        <v>851.67</v>
      </c>
      <c r="AS313" s="1809">
        <f>AH313*(AS$2&lt;=YEAR($K313))+AR313*$AQ313*(AS$2=YEAR($K313)+1)+INDEX([11]核心假设及结论!$E$17:$E$21,MATCH($D313,[11]核心假设及结论!$B$17:$B$21,0))*(AS$2&gt;YEAR($K313)+1)*AR313</f>
        <v>882.08</v>
      </c>
      <c r="AT313" s="1809">
        <f>AI313*(AT$2&lt;=YEAR($K313))+AS313*$AQ313*(AT$2=YEAR($K313)+1)+INDEX([11]核心假设及结论!$E$17:$E$21,MATCH($D313,[11]核心假设及结论!$B$17:$B$21,0))*(AT$2&gt;YEAR($K313)+1)*AS313</f>
        <v>912.5</v>
      </c>
      <c r="AU313" s="1811">
        <f>AJ313*(AU$2&lt;=YEAR($K313))+AT313*$AQ313*(AU$2=YEAR($K313)+1)+INDEX([11]核心假设及结论!$E$17:$E$21,MATCH($D313,[11]核心假设及结论!$B$17:$B$21,0))*(AU$2&gt;YEAR($K313)+1)*AT313</f>
        <v>912.5</v>
      </c>
      <c r="AV313" s="1809">
        <f>AK313*(AV$2&lt;=YEAR($K313))+AU313*$AQ313*(AV$2=YEAR($K313)+1)+INDEX([11]核心假设及结论!$E$17:$E$21,MATCH($D313,[11]核心假设及结论!$B$17:$B$21,0))*(AV$2&gt;YEAR($K313)+1)*AU313</f>
        <v>937.2054730440974</v>
      </c>
      <c r="AW313" s="1809">
        <f>AL313*(AW$2&lt;=YEAR($K313))+AV313*$AQ313*(AW$2=YEAR($K313)+1)+INDEX([11]核心假设及结论!$E$17:$E$21,MATCH($D313,[11]核心假设及结论!$B$17:$B$21,0))*(AW$2&gt;YEAR($K313)+1)*AV313</f>
        <v>962.57983419595655</v>
      </c>
      <c r="AX313" s="1809">
        <f>AM313*(AX$2&lt;=YEAR($K313))+AW313*$AQ313*(AX$2=YEAR($K313)+1)+INDEX([11]核心假设及结论!$E$17:$E$21,MATCH($D313,[11]核心假设及结论!$B$17:$B$21,0))*(AX$2&gt;YEAR($K313)+1)*AW313</f>
        <v>988.64119326063599</v>
      </c>
      <c r="AZ313" s="1746">
        <f t="shared" si="122"/>
        <v>46538</v>
      </c>
      <c r="BA313" s="1817">
        <f t="shared" si="123"/>
        <v>45658</v>
      </c>
      <c r="BB313" s="1817">
        <f t="shared" si="124"/>
        <v>45808</v>
      </c>
      <c r="BC313" s="1817">
        <f t="shared" si="125"/>
        <v>46022</v>
      </c>
      <c r="BD313" s="1818">
        <f t="shared" si="126"/>
        <v>151</v>
      </c>
      <c r="BE313" s="1818">
        <f t="shared" si="127"/>
        <v>214</v>
      </c>
      <c r="BG313" s="1777">
        <f t="shared" si="137"/>
        <v>115.81732336438357</v>
      </c>
      <c r="BH313" s="1777">
        <f t="shared" si="139"/>
        <v>119.86871631780824</v>
      </c>
      <c r="BI313" s="1777">
        <f t="shared" si="139"/>
        <v>121.545</v>
      </c>
      <c r="BJ313" s="1777">
        <f t="shared" si="139"/>
        <v>123.47438237815723</v>
      </c>
      <c r="BK313" s="1777">
        <f t="shared" si="138"/>
        <v>126.81738843347793</v>
      </c>
      <c r="BL313" s="1777">
        <f t="shared" si="138"/>
        <v>130.25090467618051</v>
      </c>
      <c r="BM313" s="1777">
        <f t="shared" si="138"/>
        <v>54.478734378876233</v>
      </c>
      <c r="BO313" s="1739">
        <f t="shared" si="128"/>
        <v>2027</v>
      </c>
      <c r="BP313" s="1742">
        <f>_xlfn.IFNA(INDEX($AR313:$AX313,MATCH(BO313,$AR$2:$AX$2,0))*12/365*[11]核心假设及结论!$C$70*$H313,0)</f>
        <v>99900</v>
      </c>
      <c r="BR313" s="1739">
        <f t="shared" si="133"/>
        <v>2030</v>
      </c>
      <c r="BS313" s="1742">
        <f>_xlfn.IFNA(INDEX($AR313:$AX313,MATCH(BR313,$AR$2:$AX$2,0))*12/365*[11]核心假设及结论!$C$70*$H313,0)</f>
        <v>105382.71280676828</v>
      </c>
      <c r="BU313" s="1739">
        <f t="shared" si="134"/>
        <v>2033</v>
      </c>
      <c r="BV313" s="1742">
        <f>_xlfn.IFNA(INDEX($AR313:$AX313,MATCH(BU313,$AR$2:$AX$2,0))*12/365*[11]核心假设及结论!$C$70*$H313,0)</f>
        <v>0</v>
      </c>
      <c r="BX313" s="1739">
        <f t="shared" si="135"/>
        <v>2036</v>
      </c>
      <c r="BY313" s="1742">
        <f>_xlfn.IFNA(INDEX($AR313:$AX313,MATCH(BX313,$AR$2:$AX$2,0))*12/365*[11]核心假设及结论!$C$70*$H313,0)</f>
        <v>0</v>
      </c>
      <c r="CA313" s="1739">
        <f t="shared" si="136"/>
        <v>2039</v>
      </c>
      <c r="CB313" s="1742">
        <f>_xlfn.IFNA(INDEX($AR313:$AX313,MATCH(CA313,$AR$2:$AX$2,0))*12/365*[11]核心假设及结论!$C$70*$H313,0)</f>
        <v>0</v>
      </c>
    </row>
    <row r="314" spans="1:80" ht="30" customHeight="1">
      <c r="A314" s="1756" t="s">
        <v>1666</v>
      </c>
      <c r="B314" s="1757" t="s">
        <v>2323</v>
      </c>
      <c r="C314" s="1756" t="s">
        <v>2324</v>
      </c>
      <c r="D314" s="1756" t="s">
        <v>1685</v>
      </c>
      <c r="E314" s="1758" t="s">
        <v>1692</v>
      </c>
      <c r="F314" s="1759"/>
      <c r="G314" s="1827" t="s">
        <v>1661</v>
      </c>
      <c r="H314" s="1761">
        <v>110</v>
      </c>
      <c r="I314" s="1761" t="s">
        <v>1913</v>
      </c>
      <c r="J314" s="1773">
        <v>45292</v>
      </c>
      <c r="K314" s="1773">
        <v>45772</v>
      </c>
      <c r="L314" s="1764">
        <f t="shared" si="118"/>
        <v>16</v>
      </c>
      <c r="M314" s="1774">
        <f t="shared" si="129"/>
        <v>123018.20574999999</v>
      </c>
      <c r="N314" s="1775">
        <f t="shared" si="130"/>
        <v>1003.8</v>
      </c>
      <c r="O314" s="1760">
        <v>110418</v>
      </c>
      <c r="P314" s="1776">
        <v>0.16</v>
      </c>
      <c r="Q314" s="1783">
        <f t="shared" si="119"/>
        <v>95</v>
      </c>
      <c r="R314" s="1784">
        <v>10450</v>
      </c>
      <c r="S314" s="1777">
        <f t="shared" si="120"/>
        <v>19.547325000000001</v>
      </c>
      <c r="T314" s="1784">
        <v>2150.2057500000001</v>
      </c>
      <c r="U314" s="1777"/>
      <c r="V314" s="1785">
        <v>229746.83333333299</v>
      </c>
      <c r="W314" s="1785">
        <f t="shared" si="121"/>
        <v>2088.6075757575727</v>
      </c>
      <c r="X314" s="1786">
        <f t="shared" si="141"/>
        <v>0.5260921260430873</v>
      </c>
      <c r="Y314" s="1789">
        <f>VLOOKUP(E314,[11]核心假设及结论!$C$25:$E$45,3,0)</f>
        <v>0.2</v>
      </c>
      <c r="Z314" s="1790">
        <f t="shared" si="140"/>
        <v>110418</v>
      </c>
      <c r="AA314" s="1790">
        <f t="shared" si="140"/>
        <v>0</v>
      </c>
      <c r="AB314" s="1790">
        <f t="shared" si="140"/>
        <v>0</v>
      </c>
      <c r="AC314" s="1790">
        <f t="shared" si="140"/>
        <v>0</v>
      </c>
      <c r="AD314" s="1790">
        <f t="shared" si="140"/>
        <v>0</v>
      </c>
      <c r="AE314" s="1790">
        <f t="shared" si="140"/>
        <v>0</v>
      </c>
      <c r="AF314" s="1790">
        <f t="shared" si="140"/>
        <v>0</v>
      </c>
      <c r="AG314" s="1794">
        <v>1003.8</v>
      </c>
      <c r="AH314" s="1794">
        <v>0</v>
      </c>
      <c r="AI314" s="1794">
        <v>0</v>
      </c>
      <c r="AJ314" s="1794">
        <v>0</v>
      </c>
      <c r="AK314" s="1794">
        <v>0</v>
      </c>
      <c r="AL314" s="1794">
        <v>0</v>
      </c>
      <c r="AM314" s="1794">
        <v>0</v>
      </c>
      <c r="AN314" s="1797"/>
      <c r="AO314" s="1797"/>
      <c r="AP314" s="1808">
        <f t="shared" si="131"/>
        <v>2.6304606302154365</v>
      </c>
      <c r="AQ314" s="1810">
        <f>IF(AP314&gt;[11]核心假设及结论!$B$59,[11]核心假设及结论!$D$59,IF(AP314&lt;=[11]核心假设及结论!$B$58,[11]核心假设及结论!$D$57,[11]核心假设及结论!$D$58))</f>
        <v>1</v>
      </c>
      <c r="AR314" s="1809">
        <f t="shared" si="132"/>
        <v>1003.8</v>
      </c>
      <c r="AS314" s="1811">
        <f>AH314*(AS$2&lt;=YEAR($K314))+AR314*$AQ314*(AS$2=YEAR($K314)+1)+INDEX([11]核心假设及结论!$E$17:$E$21,MATCH($D314,[11]核心假设及结论!$B$17:$B$21,0))*(AS$2&gt;YEAR($K314)+1)*AR314</f>
        <v>1003.8</v>
      </c>
      <c r="AT314" s="1809">
        <f>AI314*(AT$2&lt;=YEAR($K314))+AS314*$AQ314*(AT$2=YEAR($K314)+1)+INDEX([11]核心假设及结论!$E$17:$E$21,MATCH($D314,[11]核心假设及结论!$B$17:$B$21,0))*(AT$2&gt;YEAR($K314)+1)*AS314</f>
        <v>1030.9773740730575</v>
      </c>
      <c r="AU314" s="1809">
        <f>AJ314*(AU$2&lt;=YEAR($K314))+AT314*$AQ314*(AU$2=YEAR($K314)+1)+INDEX([11]核心假设及结论!$E$17:$E$21,MATCH($D314,[11]核心假设及结论!$B$17:$B$21,0))*(AU$2&gt;YEAR($K314)+1)*AT314</f>
        <v>1058.890561716056</v>
      </c>
      <c r="AV314" s="1809">
        <f>AK314*(AV$2&lt;=YEAR($K314))+AU314*$AQ314*(AV$2=YEAR($K314)+1)+INDEX([11]核心假设及结论!$E$17:$E$21,MATCH($D314,[11]核心假设及结论!$B$17:$B$21,0))*(AV$2&gt;YEAR($K314)+1)*AU314</f>
        <v>1087.559484706878</v>
      </c>
      <c r="AW314" s="1809">
        <f>AL314*(AW$2&lt;=YEAR($K314))+AV314*$AQ314*(AW$2=YEAR($K314)+1)+INDEX([11]核心假设及结论!$E$17:$E$21,MATCH($D314,[11]核心假设及结论!$B$17:$B$21,0))*(AW$2&gt;YEAR($K314)+1)*AV314</f>
        <v>1117.0046041954022</v>
      </c>
      <c r="AX314" s="1809">
        <f>AM314*(AX$2&lt;=YEAR($K314))+AW314*$AQ314*(AX$2=YEAR($K314)+1)+INDEX([11]核心假设及结论!$E$17:$E$21,MATCH($D314,[11]核心假设及结论!$B$17:$B$21,0))*(AX$2&gt;YEAR($K314)+1)*AW314</f>
        <v>1147.2469353067252</v>
      </c>
      <c r="AZ314" s="1746">
        <f t="shared" si="122"/>
        <v>45772</v>
      </c>
      <c r="BA314" s="1817">
        <f t="shared" si="123"/>
        <v>45658</v>
      </c>
      <c r="BB314" s="1817">
        <f t="shared" si="124"/>
        <v>45772</v>
      </c>
      <c r="BC314" s="1817">
        <f t="shared" si="125"/>
        <v>46022</v>
      </c>
      <c r="BD314" s="1818">
        <f t="shared" si="126"/>
        <v>115</v>
      </c>
      <c r="BE314" s="1818">
        <f t="shared" si="127"/>
        <v>250</v>
      </c>
      <c r="BG314" s="1777">
        <f t="shared" si="137"/>
        <v>132.5016</v>
      </c>
      <c r="BH314" s="1777">
        <f t="shared" si="139"/>
        <v>134.95873245044081</v>
      </c>
      <c r="BI314" s="1777">
        <f t="shared" si="139"/>
        <v>138.61267143851745</v>
      </c>
      <c r="BJ314" s="1777">
        <f t="shared" si="139"/>
        <v>142.36553896486768</v>
      </c>
      <c r="BK314" s="1777">
        <f t="shared" si="138"/>
        <v>146.22001346931145</v>
      </c>
      <c r="BL314" s="1777">
        <f t="shared" si="138"/>
        <v>150.17884590906334</v>
      </c>
      <c r="BM314" s="1777">
        <f t="shared" si="138"/>
        <v>47.712899939605713</v>
      </c>
      <c r="BO314" s="1739">
        <f t="shared" si="128"/>
        <v>2025</v>
      </c>
      <c r="BP314" s="1742">
        <f>_xlfn.IFNA(INDEX($AR314:$AX314,MATCH(BO314,$AR$2:$AX$2,0))*12/365*[11]核心假设及结论!$C$70*$H314,0)</f>
        <v>108905.42465753423</v>
      </c>
      <c r="BR314" s="1739">
        <f t="shared" si="133"/>
        <v>2026</v>
      </c>
      <c r="BS314" s="1742">
        <f>_xlfn.IFNA(INDEX($AR314:$AX314,MATCH(BR314,$AR$2:$AX$2,0))*12/365*[11]核心假设及结论!$C$70*$H314,0)</f>
        <v>108905.42465753423</v>
      </c>
      <c r="BU314" s="1739">
        <f t="shared" si="134"/>
        <v>2027</v>
      </c>
      <c r="BV314" s="1742">
        <f>_xlfn.IFNA(INDEX($AR314:$AX314,MATCH(BU314,$AR$2:$AX$2,0))*12/365*[11]核心假设及结论!$C$70*$H314,0)</f>
        <v>111853.98359806322</v>
      </c>
      <c r="BX314" s="1739">
        <f t="shared" si="135"/>
        <v>2028</v>
      </c>
      <c r="BY314" s="1742">
        <f>_xlfn.IFNA(INDEX($AR314:$AX314,MATCH(BX314,$AR$2:$AX$2,0))*12/365*[11]核心假设及结论!$C$70*$H314,0)</f>
        <v>114882.37327111184</v>
      </c>
      <c r="CA314" s="1739">
        <f t="shared" si="136"/>
        <v>2029</v>
      </c>
      <c r="CB314" s="1742">
        <f>_xlfn.IFNA(INDEX($AR314:$AX314,MATCH(CA314,$AR$2:$AX$2,0))*12/365*[11]核心假设及结论!$C$70*$H314,0)</f>
        <v>117992.75505312979</v>
      </c>
    </row>
    <row r="315" spans="1:80" ht="30" customHeight="1">
      <c r="A315" s="1756" t="s">
        <v>1687</v>
      </c>
      <c r="B315" s="1757" t="s">
        <v>2325</v>
      </c>
      <c r="C315" s="1756" t="s">
        <v>2326</v>
      </c>
      <c r="D315" s="1756" t="s">
        <v>1676</v>
      </c>
      <c r="E315" s="1758" t="s">
        <v>1758</v>
      </c>
      <c r="F315" s="1759"/>
      <c r="G315" s="1760" t="s">
        <v>1661</v>
      </c>
      <c r="H315" s="1761">
        <v>110</v>
      </c>
      <c r="I315" s="1761" t="s">
        <v>1913</v>
      </c>
      <c r="J315" s="1773">
        <v>45253</v>
      </c>
      <c r="K315" s="1773">
        <v>45983</v>
      </c>
      <c r="L315" s="1764">
        <f t="shared" si="118"/>
        <v>24</v>
      </c>
      <c r="M315" s="1774">
        <f t="shared" si="129"/>
        <v>70952.2</v>
      </c>
      <c r="N315" s="1775">
        <f t="shared" si="130"/>
        <v>532.29</v>
      </c>
      <c r="O315" s="1760">
        <v>58551.9</v>
      </c>
      <c r="P315" s="1776">
        <v>0.12</v>
      </c>
      <c r="Q315" s="1783">
        <f t="shared" si="119"/>
        <v>95</v>
      </c>
      <c r="R315" s="1784">
        <v>10450</v>
      </c>
      <c r="S315" s="1777">
        <f t="shared" si="120"/>
        <v>17.73</v>
      </c>
      <c r="T315" s="1784">
        <v>1950.3</v>
      </c>
      <c r="U315" s="1777"/>
      <c r="V315" s="1785">
        <v>328115.33333333302</v>
      </c>
      <c r="W315" s="1785">
        <f t="shared" si="121"/>
        <v>2982.8666666666641</v>
      </c>
      <c r="X315" s="1786">
        <f t="shared" si="141"/>
        <v>0.21029770019891397</v>
      </c>
      <c r="Y315" s="1789">
        <f>VLOOKUP(E315,[11]核心假设及结论!$C$25:$E$45,3,0)</f>
        <v>0.2</v>
      </c>
      <c r="Z315" s="1790">
        <f t="shared" si="140"/>
        <v>60225</v>
      </c>
      <c r="AA315" s="1790">
        <f t="shared" si="140"/>
        <v>0</v>
      </c>
      <c r="AB315" s="1790">
        <f t="shared" si="140"/>
        <v>0</v>
      </c>
      <c r="AC315" s="1790">
        <f t="shared" si="140"/>
        <v>0</v>
      </c>
      <c r="AD315" s="1790">
        <f t="shared" si="140"/>
        <v>0</v>
      </c>
      <c r="AE315" s="1790">
        <f t="shared" si="140"/>
        <v>0</v>
      </c>
      <c r="AF315" s="1790">
        <f t="shared" si="140"/>
        <v>0</v>
      </c>
      <c r="AG315" s="1794">
        <v>547.5</v>
      </c>
      <c r="AH315" s="1794">
        <v>0</v>
      </c>
      <c r="AI315" s="1794">
        <v>0</v>
      </c>
      <c r="AJ315" s="1794">
        <v>0</v>
      </c>
      <c r="AK315" s="1794">
        <v>0</v>
      </c>
      <c r="AL315" s="1794">
        <v>0</v>
      </c>
      <c r="AM315" s="1794">
        <v>0</v>
      </c>
      <c r="AN315" s="1797"/>
      <c r="AO315" s="1797"/>
      <c r="AP315" s="1808">
        <f t="shared" si="131"/>
        <v>1.0514885009945698</v>
      </c>
      <c r="AQ315" s="1808">
        <f>IF(AP315&gt;[11]核心假设及结论!$B$65,[11]核心假设及结论!$D$65,IF(AP315&lt;=[11]核心假设及结论!$B$64,[11]核心假设及结论!$D$63,[11]核心假设及结论!$D$64))</f>
        <v>0.754</v>
      </c>
      <c r="AR315" s="1809">
        <f t="shared" si="132"/>
        <v>547.5</v>
      </c>
      <c r="AS315" s="1811">
        <f>AH315*(AS$2&lt;=YEAR($K315))+AR315*$AQ315*(AS$2=YEAR($K315)+1)+INDEX([11]核心假设及结论!$E$17:$E$21,MATCH($D315,[11]核心假设及结论!$B$17:$B$21,0))*(AS$2&gt;YEAR($K315)+1)*AR315</f>
        <v>412.815</v>
      </c>
      <c r="AT315" s="1809">
        <f>AI315*(AT$2&lt;=YEAR($K315))+AS315*$AQ315*(AT$2=YEAR($K315)+1)+INDEX([11]核心假设及结论!$E$17:$E$21,MATCH($D315,[11]核心假设及结论!$B$17:$B$21,0))*(AT$2&gt;YEAR($K315)+1)*AS315</f>
        <v>427.08811474528045</v>
      </c>
      <c r="AU315" s="1809">
        <f>AJ315*(AU$2&lt;=YEAR($K315))+AT315*$AQ315*(AU$2=YEAR($K315)+1)+INDEX([11]核心假设及结论!$E$17:$E$21,MATCH($D315,[11]核心假设及结论!$B$17:$B$21,0))*(AU$2&gt;YEAR($K315)+1)*AT315</f>
        <v>441.85472368174084</v>
      </c>
      <c r="AV315" s="1809">
        <f>AK315*(AV$2&lt;=YEAR($K315))+AU315*$AQ315*(AV$2=YEAR($K315)+1)+INDEX([11]核心假设及结论!$E$17:$E$21,MATCH($D315,[11]核心假设及结论!$B$17:$B$21,0))*(AV$2&gt;YEAR($K315)+1)*AU315</f>
        <v>457.13188941422067</v>
      </c>
      <c r="AW315" s="1809">
        <f>AL315*(AW$2&lt;=YEAR($K315))+AV315*$AQ315*(AW$2=YEAR($K315)+1)+INDEX([11]核心假设及结论!$E$17:$E$21,MATCH($D315,[11]核心假设及结论!$B$17:$B$21,0))*(AW$2&gt;YEAR($K315)+1)*AV315</f>
        <v>472.9372644886148</v>
      </c>
      <c r="AX315" s="1809">
        <f>AM315*(AX$2&lt;=YEAR($K315))+AW315*$AQ315*(AX$2=YEAR($K315)+1)+INDEX([11]核心假设及结论!$E$17:$E$21,MATCH($D315,[11]核心假设及结论!$B$17:$B$21,0))*(AX$2&gt;YEAR($K315)+1)*AW315</f>
        <v>489.28911178913694</v>
      </c>
      <c r="AZ315" s="1746">
        <f t="shared" si="122"/>
        <v>45983</v>
      </c>
      <c r="BA315" s="1817">
        <f t="shared" si="123"/>
        <v>45658</v>
      </c>
      <c r="BB315" s="1817">
        <f t="shared" si="124"/>
        <v>45983</v>
      </c>
      <c r="BC315" s="1817">
        <f t="shared" si="125"/>
        <v>46022</v>
      </c>
      <c r="BD315" s="1818">
        <f t="shared" si="126"/>
        <v>326</v>
      </c>
      <c r="BE315" s="1818">
        <f t="shared" si="127"/>
        <v>39</v>
      </c>
      <c r="BG315" s="1777">
        <f t="shared" si="137"/>
        <v>70.370388000000005</v>
      </c>
      <c r="BH315" s="1777">
        <f t="shared" si="139"/>
        <v>54.692889574544402</v>
      </c>
      <c r="BI315" s="1777">
        <f t="shared" si="139"/>
        <v>56.58390101707537</v>
      </c>
      <c r="BJ315" s="1777">
        <f t="shared" si="139"/>
        <v>58.540294345690626</v>
      </c>
      <c r="BK315" s="1777">
        <f t="shared" si="138"/>
        <v>60.564330144822286</v>
      </c>
      <c r="BL315" s="1777">
        <f t="shared" si="138"/>
        <v>62.658347158806983</v>
      </c>
      <c r="BM315" s="1777">
        <f t="shared" si="138"/>
        <v>57.685175502767521</v>
      </c>
      <c r="BO315" s="1739">
        <f t="shared" si="128"/>
        <v>2025</v>
      </c>
      <c r="BP315" s="1742">
        <f>_xlfn.IFNA(INDEX($AR315:$AX315,MATCH(BO315,$AR$2:$AX$2,0))*12/365*[11]核心假设及结论!$C$70*$H315,0)</f>
        <v>59400</v>
      </c>
      <c r="BR315" s="1739">
        <f t="shared" si="133"/>
        <v>2027</v>
      </c>
      <c r="BS315" s="1742">
        <f>_xlfn.IFNA(INDEX($AR315:$AX315,MATCH(BR315,$AR$2:$AX$2,0))*12/365*[11]核心假设及结论!$C$70*$H315,0)</f>
        <v>46336.135188803026</v>
      </c>
      <c r="BU315" s="1739">
        <f t="shared" si="134"/>
        <v>2029</v>
      </c>
      <c r="BV315" s="1742">
        <f>_xlfn.IFNA(INDEX($AR315:$AX315,MATCH(BU315,$AR$2:$AX$2,0))*12/365*[11]核心假设及结论!$C$70*$H315,0)</f>
        <v>49595.678961104488</v>
      </c>
      <c r="BX315" s="1739">
        <f t="shared" si="135"/>
        <v>2031</v>
      </c>
      <c r="BY315" s="1742">
        <f>_xlfn.IFNA(INDEX($AR315:$AX315,MATCH(BX315,$AR$2:$AX$2,0))*12/365*[11]核心假设及结论!$C$70*$H315,0)</f>
        <v>53084.517333835123</v>
      </c>
      <c r="CA315" s="1739">
        <f t="shared" si="136"/>
        <v>2033</v>
      </c>
      <c r="CB315" s="1742">
        <f>_xlfn.IFNA(INDEX($AR315:$AX315,MATCH(CA315,$AR$2:$AX$2,0))*12/365*[11]核心假设及结论!$C$70*$H315,0)</f>
        <v>0</v>
      </c>
    </row>
    <row r="316" spans="1:80" ht="30" customHeight="1">
      <c r="A316" s="1756" t="s">
        <v>1662</v>
      </c>
      <c r="B316" s="1757" t="s">
        <v>2327</v>
      </c>
      <c r="C316" s="1756" t="s">
        <v>2328</v>
      </c>
      <c r="D316" s="1756" t="s">
        <v>1685</v>
      </c>
      <c r="E316" s="1758" t="s">
        <v>1721</v>
      </c>
      <c r="F316" s="1759"/>
      <c r="G316" s="1760" t="s">
        <v>1661</v>
      </c>
      <c r="H316" s="1761">
        <v>109</v>
      </c>
      <c r="I316" s="1761" t="s">
        <v>1913</v>
      </c>
      <c r="J316" s="1773">
        <v>45092</v>
      </c>
      <c r="K316" s="1773">
        <v>45822</v>
      </c>
      <c r="L316" s="1764">
        <f t="shared" si="118"/>
        <v>24</v>
      </c>
      <c r="M316" s="1774">
        <f t="shared" si="129"/>
        <v>80282</v>
      </c>
      <c r="N316" s="1775">
        <f t="shared" si="130"/>
        <v>623.53211009174311</v>
      </c>
      <c r="O316" s="1760">
        <v>67965</v>
      </c>
      <c r="P316" s="1776">
        <v>0.16</v>
      </c>
      <c r="Q316" s="1783">
        <f t="shared" si="119"/>
        <v>95</v>
      </c>
      <c r="R316" s="1784">
        <v>10355</v>
      </c>
      <c r="S316" s="1777">
        <f t="shared" si="120"/>
        <v>18</v>
      </c>
      <c r="T316" s="1784">
        <v>1962</v>
      </c>
      <c r="U316" s="1777"/>
      <c r="V316" s="1785">
        <v>235941.33333333299</v>
      </c>
      <c r="W316" s="1785">
        <f t="shared" si="121"/>
        <v>2164.5993883792016</v>
      </c>
      <c r="X316" s="1786">
        <f t="shared" si="141"/>
        <v>0.33194692465923781</v>
      </c>
      <c r="Y316" s="1789">
        <f>VLOOKUP(E316,[11]核心假设及结论!$C$25:$E$45,3,0)</f>
        <v>0.25</v>
      </c>
      <c r="Z316" s="1790">
        <f t="shared" si="140"/>
        <v>69623.75</v>
      </c>
      <c r="AA316" s="1790">
        <f t="shared" si="140"/>
        <v>0</v>
      </c>
      <c r="AB316" s="1790">
        <f t="shared" si="140"/>
        <v>0</v>
      </c>
      <c r="AC316" s="1790">
        <f t="shared" si="140"/>
        <v>0</v>
      </c>
      <c r="AD316" s="1790">
        <f t="shared" si="140"/>
        <v>0</v>
      </c>
      <c r="AE316" s="1790">
        <f t="shared" si="140"/>
        <v>0</v>
      </c>
      <c r="AF316" s="1790">
        <f t="shared" si="140"/>
        <v>0</v>
      </c>
      <c r="AG316" s="1794">
        <v>638.75</v>
      </c>
      <c r="AH316" s="1794">
        <v>0</v>
      </c>
      <c r="AI316" s="1794">
        <v>0</v>
      </c>
      <c r="AJ316" s="1794">
        <v>0</v>
      </c>
      <c r="AK316" s="1794">
        <v>0</v>
      </c>
      <c r="AL316" s="1794">
        <v>0</v>
      </c>
      <c r="AM316" s="1794">
        <v>0</v>
      </c>
      <c r="AN316" s="1797"/>
      <c r="AO316" s="1797"/>
      <c r="AP316" s="1808">
        <f t="shared" si="131"/>
        <v>1.3277876986369512</v>
      </c>
      <c r="AQ316" s="1810">
        <f>IF(AP316&gt;[11]核心假设及结论!$B$59,[11]核心假设及结论!$D$59,IF(AP316&lt;=[11]核心假设及结论!$B$58,[11]核心假设及结论!$D$57,[11]核心假设及结论!$D$58))</f>
        <v>1.0069999999999999</v>
      </c>
      <c r="AR316" s="1809">
        <f t="shared" si="132"/>
        <v>638.75</v>
      </c>
      <c r="AS316" s="1811">
        <f>AH316*(AS$2&lt;=YEAR($K316))+AR316*$AQ316*(AS$2=YEAR($K316)+1)+INDEX([11]核心假设及结论!$E$17:$E$21,MATCH($D316,[11]核心假设及结论!$B$17:$B$21,0))*(AS$2&gt;YEAR($K316)+1)*AR316</f>
        <v>643.22124999999994</v>
      </c>
      <c r="AT316" s="1809">
        <f>AI316*(AT$2&lt;=YEAR($K316))+AS316*$AQ316*(AT$2=YEAR($K316)+1)+INDEX([11]核心假设及结论!$E$17:$E$21,MATCH($D316,[11]核心假设及结论!$B$17:$B$21,0))*(AT$2&gt;YEAR($K316)+1)*AS316</f>
        <v>660.63613794878415</v>
      </c>
      <c r="AU316" s="1809">
        <f>AJ316*(AU$2&lt;=YEAR($K316))+AT316*$AQ316*(AU$2=YEAR($K316)+1)+INDEX([11]核心假设及结论!$E$17:$E$21,MATCH($D316,[11]核心假设及结论!$B$17:$B$21,0))*(AU$2&gt;YEAR($K316)+1)*AT316</f>
        <v>678.52252512472967</v>
      </c>
      <c r="AV316" s="1809">
        <f>AK316*(AV$2&lt;=YEAR($K316))+AU316*$AQ316*(AV$2=YEAR($K316)+1)+INDEX([11]核心假设及结论!$E$17:$E$21,MATCH($D316,[11]核心假设及结论!$B$17:$B$21,0))*(AV$2&gt;YEAR($K316)+1)*AU316</f>
        <v>696.89317712942216</v>
      </c>
      <c r="AW316" s="1809">
        <f>AL316*(AW$2&lt;=YEAR($K316))+AV316*$AQ316*(AW$2=YEAR($K316)+1)+INDEX([11]核心假设及结论!$E$17:$E$21,MATCH($D316,[11]核心假设及结论!$B$17:$B$21,0))*(AW$2&gt;YEAR($K316)+1)*AV316</f>
        <v>715.76120518661264</v>
      </c>
      <c r="AX316" s="1809">
        <f>AM316*(AX$2&lt;=YEAR($K316))+AW316*$AQ316*(AX$2=YEAR($K316)+1)+INDEX([11]核心假设及结论!$E$17:$E$21,MATCH($D316,[11]核心假设及结论!$B$17:$B$21,0))*(AX$2&gt;YEAR($K316)+1)*AW316</f>
        <v>735.14007549976168</v>
      </c>
      <c r="AZ316" s="1746">
        <f t="shared" si="122"/>
        <v>45822</v>
      </c>
      <c r="BA316" s="1817">
        <f t="shared" si="123"/>
        <v>45658</v>
      </c>
      <c r="BB316" s="1817">
        <f t="shared" si="124"/>
        <v>45822</v>
      </c>
      <c r="BC316" s="1817">
        <f t="shared" si="125"/>
        <v>46022</v>
      </c>
      <c r="BD316" s="1818">
        <f t="shared" si="126"/>
        <v>165</v>
      </c>
      <c r="BE316" s="1818">
        <f t="shared" si="127"/>
        <v>200</v>
      </c>
      <c r="BG316" s="1777">
        <f t="shared" si="137"/>
        <v>83.868959999999987</v>
      </c>
      <c r="BH316" s="1777">
        <f t="shared" si="139"/>
        <v>85.381485989699158</v>
      </c>
      <c r="BI316" s="1777">
        <f t="shared" si="139"/>
        <v>87.69314626431121</v>
      </c>
      <c r="BJ316" s="1777">
        <f t="shared" si="139"/>
        <v>90.067393564240007</v>
      </c>
      <c r="BK316" s="1777">
        <f t="shared" si="138"/>
        <v>92.50592240133966</v>
      </c>
      <c r="BL316" s="1777">
        <f t="shared" si="138"/>
        <v>95.010473165510248</v>
      </c>
      <c r="BM316" s="1777">
        <f t="shared" si="138"/>
        <v>43.467926327221527</v>
      </c>
      <c r="BO316" s="1739">
        <f t="shared" si="128"/>
        <v>2025</v>
      </c>
      <c r="BP316" s="1742">
        <f>_xlfn.IFNA(INDEX($AR316:$AX316,MATCH(BO316,$AR$2:$AX$2,0))*12/365*[11]核心假设及结论!$C$70*$H316,0)</f>
        <v>68670</v>
      </c>
      <c r="BR316" s="1739">
        <f t="shared" si="133"/>
        <v>2027</v>
      </c>
      <c r="BS316" s="1742">
        <f>_xlfn.IFNA(INDEX($AR316:$AX316,MATCH(BR316,$AR$2:$AX$2,0))*12/365*[11]核心假设及结论!$C$70*$H316,0)</f>
        <v>71022.909734548739</v>
      </c>
      <c r="BU316" s="1739">
        <f t="shared" si="134"/>
        <v>2029</v>
      </c>
      <c r="BV316" s="1742">
        <f>_xlfn.IFNA(INDEX($AR316:$AX316,MATCH(BU316,$AR$2:$AX$2,0))*12/365*[11]核心假设及结论!$C$70*$H316,0)</f>
        <v>74920.78978235212</v>
      </c>
      <c r="BX316" s="1739">
        <f t="shared" si="135"/>
        <v>2031</v>
      </c>
      <c r="BY316" s="1742">
        <f>_xlfn.IFNA(INDEX($AR316:$AX316,MATCH(BX316,$AR$2:$AX$2,0))*12/365*[11]核心假设及结论!$C$70*$H316,0)</f>
        <v>79032.593322220957</v>
      </c>
      <c r="CA316" s="1739">
        <f t="shared" si="136"/>
        <v>2033</v>
      </c>
      <c r="CB316" s="1742">
        <f>_xlfn.IFNA(INDEX($AR316:$AX316,MATCH(CA316,$AR$2:$AX$2,0))*12/365*[11]核心假设及结论!$C$70*$H316,0)</f>
        <v>0</v>
      </c>
    </row>
    <row r="317" spans="1:80" ht="30" customHeight="1">
      <c r="A317" s="1756" t="s">
        <v>1687</v>
      </c>
      <c r="B317" s="1757" t="s">
        <v>2329</v>
      </c>
      <c r="C317" s="1756" t="s">
        <v>2330</v>
      </c>
      <c r="D317" s="1756" t="s">
        <v>1685</v>
      </c>
      <c r="E317" s="1758" t="s">
        <v>1692</v>
      </c>
      <c r="F317" s="1759"/>
      <c r="G317" s="1760" t="s">
        <v>1661</v>
      </c>
      <c r="H317" s="1761">
        <v>106</v>
      </c>
      <c r="I317" s="1761" t="s">
        <v>1913</v>
      </c>
      <c r="J317" s="1773">
        <v>45675</v>
      </c>
      <c r="K317" s="1773">
        <v>46730</v>
      </c>
      <c r="L317" s="1764">
        <f t="shared" si="118"/>
        <v>35</v>
      </c>
      <c r="M317" s="1774">
        <f t="shared" si="129"/>
        <v>111609.52</v>
      </c>
      <c r="N317" s="1775">
        <f t="shared" si="130"/>
        <v>939.92000000000007</v>
      </c>
      <c r="O317" s="1760">
        <v>99631.52</v>
      </c>
      <c r="P317" s="1776">
        <v>0.18</v>
      </c>
      <c r="Q317" s="1783">
        <f t="shared" si="119"/>
        <v>95</v>
      </c>
      <c r="R317" s="1784">
        <v>10070</v>
      </c>
      <c r="S317" s="1777">
        <f t="shared" si="120"/>
        <v>18</v>
      </c>
      <c r="T317" s="1777">
        <v>1908</v>
      </c>
      <c r="U317" s="1777"/>
      <c r="V317" s="1785">
        <v>280990.17</v>
      </c>
      <c r="W317" s="1785">
        <f t="shared" si="121"/>
        <v>2650.8506603773585</v>
      </c>
      <c r="X317" s="1786">
        <f t="shared" si="141"/>
        <v>0.39041052574899687</v>
      </c>
      <c r="Y317" s="1789">
        <f>VLOOKUP(E317,[11]核心假设及结论!$C$25:$E$45,3,0)</f>
        <v>0.2</v>
      </c>
      <c r="Z317" s="1790">
        <f t="shared" si="140"/>
        <v>103172.98000000001</v>
      </c>
      <c r="AA317" s="1790">
        <f t="shared" si="140"/>
        <v>106268.18</v>
      </c>
      <c r="AB317" s="1790">
        <f t="shared" si="140"/>
        <v>109460.90000000001</v>
      </c>
      <c r="AC317" s="1790">
        <f t="shared" si="140"/>
        <v>0</v>
      </c>
      <c r="AD317" s="1790">
        <f t="shared" si="140"/>
        <v>0</v>
      </c>
      <c r="AE317" s="1790">
        <f t="shared" si="140"/>
        <v>0</v>
      </c>
      <c r="AF317" s="1790">
        <f t="shared" si="140"/>
        <v>0</v>
      </c>
      <c r="AG317" s="1794">
        <v>973.33</v>
      </c>
      <c r="AH317" s="1794">
        <v>1002.53</v>
      </c>
      <c r="AI317" s="1794">
        <v>1032.6500000000001</v>
      </c>
      <c r="AJ317" s="1794">
        <v>0</v>
      </c>
      <c r="AK317" s="1794">
        <v>0</v>
      </c>
      <c r="AL317" s="1794">
        <v>0</v>
      </c>
      <c r="AM317" s="1794">
        <v>0</v>
      </c>
      <c r="AN317" s="1795"/>
      <c r="AO317" s="1795"/>
      <c r="AP317" s="1808">
        <f t="shared" si="131"/>
        <v>1.9520526287449842</v>
      </c>
      <c r="AQ317" s="1810">
        <f>IF(AP317&gt;[11]核心假设及结论!$B$59,[11]核心假设及结论!$D$59,IF(AP317&lt;=[11]核心假设及结论!$B$58,[11]核心假设及结论!$D$57,[11]核心假设及结论!$D$58))</f>
        <v>1</v>
      </c>
      <c r="AR317" s="1809">
        <f t="shared" si="132"/>
        <v>973.33</v>
      </c>
      <c r="AS317" s="1809">
        <f>AH317*(AS$2&lt;=YEAR($K317))+AR317*$AQ317*(AS$2=YEAR($K317)+1)+INDEX([11]核心假设及结论!$E$17:$E$21,MATCH($D317,[11]核心假设及结论!$B$17:$B$21,0))*(AS$2&gt;YEAR($K317)+1)*AR317</f>
        <v>1002.53</v>
      </c>
      <c r="AT317" s="1809">
        <f>AI317*(AT$2&lt;=YEAR($K317))+AS317*$AQ317*(AT$2=YEAR($K317)+1)+INDEX([11]核心假设及结论!$E$17:$E$21,MATCH($D317,[11]核心假设及结论!$B$17:$B$21,0))*(AT$2&gt;YEAR($K317)+1)*AS317</f>
        <v>1032.6500000000001</v>
      </c>
      <c r="AU317" s="1811">
        <f>AJ317*(AU$2&lt;=YEAR($K317))+AT317*$AQ317*(AU$2=YEAR($K317)+1)+INDEX([11]核心假设及结论!$E$17:$E$21,MATCH($D317,[11]核心假设及结论!$B$17:$B$21,0))*(AU$2&gt;YEAR($K317)+1)*AT317</f>
        <v>1032.6500000000001</v>
      </c>
      <c r="AV317" s="1809">
        <f>AK317*(AV$2&lt;=YEAR($K317))+AU317*$AQ317*(AV$2=YEAR($K317)+1)+INDEX([11]核心假设及结论!$E$17:$E$21,MATCH($D317,[11]核心假设及结论!$B$17:$B$21,0))*(AV$2&gt;YEAR($K317)+1)*AU317</f>
        <v>1060.6084731386161</v>
      </c>
      <c r="AW317" s="1809">
        <f>AL317*(AW$2&lt;=YEAR($K317))+AV317*$AQ317*(AW$2=YEAR($K317)+1)+INDEX([11]核心假设及结论!$E$17:$E$21,MATCH($D317,[11]核心假设及结论!$B$17:$B$21,0))*(AW$2&gt;YEAR($K317)+1)*AV317</f>
        <v>1089.3239077067994</v>
      </c>
      <c r="AX317" s="1809">
        <f>AM317*(AX$2&lt;=YEAR($K317))+AW317*$AQ317*(AX$2=YEAR($K317)+1)+INDEX([11]核心假设及结论!$E$17:$E$21,MATCH($D317,[11]核心假设及结论!$B$17:$B$21,0))*(AX$2&gt;YEAR($K317)+1)*AW317</f>
        <v>1118.8167980499679</v>
      </c>
      <c r="AZ317" s="1746">
        <f t="shared" si="122"/>
        <v>46730</v>
      </c>
      <c r="BA317" s="1817">
        <f t="shared" si="123"/>
        <v>45658</v>
      </c>
      <c r="BB317" s="1817">
        <f t="shared" si="124"/>
        <v>46000</v>
      </c>
      <c r="BC317" s="1817">
        <f t="shared" si="125"/>
        <v>46022</v>
      </c>
      <c r="BD317" s="1818">
        <f t="shared" si="126"/>
        <v>343</v>
      </c>
      <c r="BE317" s="1818">
        <f t="shared" si="127"/>
        <v>22</v>
      </c>
      <c r="BG317" s="1777">
        <f t="shared" si="137"/>
        <v>124.031448</v>
      </c>
      <c r="BH317" s="1777">
        <f t="shared" si="139"/>
        <v>127.75274150136984</v>
      </c>
      <c r="BI317" s="1777">
        <f t="shared" si="139"/>
        <v>131.35308000000001</v>
      </c>
      <c r="BJ317" s="1777">
        <f t="shared" si="139"/>
        <v>131.56743340063315</v>
      </c>
      <c r="BK317" s="1777">
        <f t="shared" si="138"/>
        <v>135.12955469308295</v>
      </c>
      <c r="BL317" s="1777">
        <f t="shared" si="138"/>
        <v>138.78811860643179</v>
      </c>
      <c r="BM317" s="1777">
        <f t="shared" si="138"/>
        <v>133.73569691013938</v>
      </c>
      <c r="BO317" s="1739">
        <f t="shared" si="128"/>
        <v>2027</v>
      </c>
      <c r="BP317" s="1742">
        <f>_xlfn.IFNA(INDEX($AR317:$AX317,MATCH(BO317,$AR$2:$AX$2,0))*12/365*[11]核心假设及结论!$C$70*$H317,0)</f>
        <v>107961.43561643838</v>
      </c>
      <c r="BR317" s="1739">
        <f t="shared" si="133"/>
        <v>2030</v>
      </c>
      <c r="BS317" s="1742">
        <f>_xlfn.IFNA(INDEX($AR317:$AX317,MATCH(BR317,$AR$2:$AX$2,0))*12/365*[11]核心假设及结论!$C$70*$H317,0)</f>
        <v>113886.57621394923</v>
      </c>
      <c r="BU317" s="1739">
        <f t="shared" si="134"/>
        <v>2033</v>
      </c>
      <c r="BV317" s="1742">
        <f>_xlfn.IFNA(INDEX($AR317:$AX317,MATCH(BU317,$AR$2:$AX$2,0))*12/365*[11]核心假设及结论!$C$70*$H317,0)</f>
        <v>0</v>
      </c>
      <c r="BX317" s="1739">
        <f t="shared" si="135"/>
        <v>2036</v>
      </c>
      <c r="BY317" s="1742">
        <f>_xlfn.IFNA(INDEX($AR317:$AX317,MATCH(BX317,$AR$2:$AX$2,0))*12/365*[11]核心假设及结论!$C$70*$H317,0)</f>
        <v>0</v>
      </c>
      <c r="CA317" s="1739">
        <f t="shared" si="136"/>
        <v>2039</v>
      </c>
      <c r="CB317" s="1742">
        <f>_xlfn.IFNA(INDEX($AR317:$AX317,MATCH(CA317,$AR$2:$AX$2,0))*12/365*[11]核心假设及结论!$C$70*$H317,0)</f>
        <v>0</v>
      </c>
    </row>
    <row r="318" spans="1:80" ht="30" customHeight="1">
      <c r="A318" s="1756" t="s">
        <v>1662</v>
      </c>
      <c r="B318" s="1757" t="s">
        <v>2331</v>
      </c>
      <c r="C318" s="1756" t="s">
        <v>2332</v>
      </c>
      <c r="D318" s="1756" t="s">
        <v>1685</v>
      </c>
      <c r="E318" s="1758" t="s">
        <v>1838</v>
      </c>
      <c r="F318" s="1759"/>
      <c r="G318" s="1760" t="s">
        <v>1661</v>
      </c>
      <c r="H318" s="1761">
        <v>106</v>
      </c>
      <c r="I318" s="1761" t="s">
        <v>1913</v>
      </c>
      <c r="J318" s="1773">
        <v>44286</v>
      </c>
      <c r="K318" s="1773">
        <v>46111</v>
      </c>
      <c r="L318" s="1764">
        <f t="shared" si="118"/>
        <v>60</v>
      </c>
      <c r="M318" s="1774">
        <f t="shared" si="129"/>
        <v>82975.369000000006</v>
      </c>
      <c r="N318" s="1775">
        <f t="shared" si="130"/>
        <v>669.17000000000007</v>
      </c>
      <c r="O318" s="1760">
        <v>70932.02</v>
      </c>
      <c r="P318" s="1776">
        <v>0.1</v>
      </c>
      <c r="Q318" s="1783">
        <f t="shared" si="119"/>
        <v>95</v>
      </c>
      <c r="R318" s="1784">
        <v>10070</v>
      </c>
      <c r="S318" s="1777">
        <f t="shared" si="120"/>
        <v>18.616499999999998</v>
      </c>
      <c r="T318" s="1777">
        <v>1973.3489999999999</v>
      </c>
      <c r="U318" s="1777"/>
      <c r="V318" s="1785">
        <v>508478.75</v>
      </c>
      <c r="W318" s="1785">
        <f t="shared" si="121"/>
        <v>4796.9693396226412</v>
      </c>
      <c r="X318" s="1786">
        <f t="shared" si="141"/>
        <v>0.15930266505729099</v>
      </c>
      <c r="Y318" s="1789">
        <f>VLOOKUP(E318,[11]核心假设及结论!$C$25:$E$45,3,0)</f>
        <v>0.2</v>
      </c>
      <c r="Z318" s="1790">
        <f t="shared" si="140"/>
        <v>70932.01999999999</v>
      </c>
      <c r="AA318" s="1790">
        <f t="shared" si="140"/>
        <v>70932.01999999999</v>
      </c>
      <c r="AB318" s="1790">
        <f t="shared" si="140"/>
        <v>0</v>
      </c>
      <c r="AC318" s="1790">
        <f t="shared" si="140"/>
        <v>0</v>
      </c>
      <c r="AD318" s="1790">
        <f t="shared" si="140"/>
        <v>0</v>
      </c>
      <c r="AE318" s="1790">
        <f t="shared" si="140"/>
        <v>0</v>
      </c>
      <c r="AF318" s="1790">
        <f t="shared" si="140"/>
        <v>0</v>
      </c>
      <c r="AG318" s="1794">
        <v>669.17</v>
      </c>
      <c r="AH318" s="1794">
        <v>669.17</v>
      </c>
      <c r="AI318" s="1794">
        <v>0</v>
      </c>
      <c r="AJ318" s="1794">
        <v>0</v>
      </c>
      <c r="AK318" s="1794">
        <v>0</v>
      </c>
      <c r="AL318" s="1794">
        <v>0</v>
      </c>
      <c r="AM318" s="1794">
        <v>0</v>
      </c>
      <c r="AN318" s="1795"/>
      <c r="AO318" s="1795"/>
      <c r="AP318" s="1808">
        <f t="shared" si="131"/>
        <v>0.79651332528645491</v>
      </c>
      <c r="AQ318" s="1810">
        <f>IF(AP318&gt;[11]核心假设及结论!$B$59,[11]核心假设及结论!$D$59,IF(AP318&lt;=[11]核心假设及结论!$B$58,[11]核心假设及结论!$D$57,[11]核心假设及结论!$D$58))</f>
        <v>1.0342640124442799</v>
      </c>
      <c r="AR318" s="1809">
        <f t="shared" si="132"/>
        <v>669.17</v>
      </c>
      <c r="AS318" s="1809">
        <f>AH318*(AS$2&lt;=YEAR($K318))+AR318*$AQ318*(AS$2=YEAR($K318)+1)+INDEX([11]核心假设及结论!$E$17:$E$21,MATCH($D318,[11]核心假设及结论!$B$17:$B$21,0))*(AS$2&gt;YEAR($K318)+1)*AR318</f>
        <v>669.17</v>
      </c>
      <c r="AT318" s="1811">
        <f>AI318*(AT$2&lt;=YEAR($K318))+AS318*$AQ318*(AT$2=YEAR($K318)+1)+INDEX([11]核心假设及结论!$E$17:$E$21,MATCH($D318,[11]核心假设及结论!$B$17:$B$21,0))*(AT$2&gt;YEAR($K318)+1)*AS318</f>
        <v>692.09844920733872</v>
      </c>
      <c r="AU318" s="1809">
        <f>AJ318*(AU$2&lt;=YEAR($K318))+AT318*$AQ318*(AU$2=YEAR($K318)+1)+INDEX([11]核心假设及结论!$E$17:$E$21,MATCH($D318,[11]核心假设及结论!$B$17:$B$21,0))*(AU$2&gt;YEAR($K318)+1)*AT318</f>
        <v>710.83666244652068</v>
      </c>
      <c r="AV318" s="1809">
        <f>AK318*(AV$2&lt;=YEAR($K318))+AU318*$AQ318*(AV$2=YEAR($K318)+1)+INDEX([11]核心假设及结论!$E$17:$E$21,MATCH($D318,[11]核心假设及结论!$B$17:$B$21,0))*(AV$2&gt;YEAR($K318)+1)*AU318</f>
        <v>730.08220327153845</v>
      </c>
      <c r="AW318" s="1809">
        <f>AL318*(AW$2&lt;=YEAR($K318))+AV318*$AQ318*(AW$2=YEAR($K318)+1)+INDEX([11]核心假设及结论!$E$17:$E$21,MATCH($D318,[11]核心假设及结论!$B$17:$B$21,0))*(AW$2&gt;YEAR($K318)+1)*AV318</f>
        <v>749.84880731855242</v>
      </c>
      <c r="AX318" s="1809">
        <f>AM318*(AX$2&lt;=YEAR($K318))+AW318*$AQ318*(AX$2=YEAR($K318)+1)+INDEX([11]核心假设及结论!$E$17:$E$21,MATCH($D318,[11]核心假设及结论!$B$17:$B$21,0))*(AX$2&gt;YEAR($K318)+1)*AW318</f>
        <v>770.15058210908069</v>
      </c>
      <c r="AZ318" s="1746">
        <f t="shared" si="122"/>
        <v>46111</v>
      </c>
      <c r="BA318" s="1817">
        <f t="shared" si="123"/>
        <v>45658</v>
      </c>
      <c r="BB318" s="1817">
        <f t="shared" si="124"/>
        <v>45746</v>
      </c>
      <c r="BC318" s="1817">
        <f t="shared" si="125"/>
        <v>46022</v>
      </c>
      <c r="BD318" s="1818">
        <f t="shared" si="126"/>
        <v>89</v>
      </c>
      <c r="BE318" s="1818">
        <f t="shared" si="127"/>
        <v>276</v>
      </c>
      <c r="BG318" s="1777">
        <f t="shared" si="137"/>
        <v>85.118424000000005</v>
      </c>
      <c r="BH318" s="1777">
        <f t="shared" si="139"/>
        <v>87.323776471265433</v>
      </c>
      <c r="BI318" s="1777">
        <f t="shared" si="139"/>
        <v>89.837241094873804</v>
      </c>
      <c r="BJ318" s="1777">
        <f t="shared" si="139"/>
        <v>92.269538671011304</v>
      </c>
      <c r="BK318" s="1777">
        <f t="shared" si="138"/>
        <v>94.76768946600086</v>
      </c>
      <c r="BL318" s="1777">
        <f t="shared" si="138"/>
        <v>97.333476422224081</v>
      </c>
      <c r="BM318" s="1777">
        <f t="shared" si="138"/>
        <v>23.886906054631456</v>
      </c>
      <c r="BO318" s="1739">
        <f t="shared" si="128"/>
        <v>2026</v>
      </c>
      <c r="BP318" s="1742">
        <f>_xlfn.IFNA(INDEX($AR318:$AX318,MATCH(BO318,$AR$2:$AX$2,0))*12/365*[11]核心假设及结论!$C$70*$H318,0)</f>
        <v>69960.348493150668</v>
      </c>
      <c r="BR318" s="1739">
        <f t="shared" si="133"/>
        <v>2031</v>
      </c>
      <c r="BS318" s="1742">
        <f>_xlfn.IFNA(INDEX($AR318:$AX318,MATCH(BR318,$AR$2:$AX$2,0))*12/365*[11]核心假设及结论!$C$70*$H318,0)</f>
        <v>80517.660858308271</v>
      </c>
      <c r="BU318" s="1739">
        <f t="shared" si="134"/>
        <v>2036</v>
      </c>
      <c r="BV318" s="1742">
        <f>_xlfn.IFNA(INDEX($AR318:$AX318,MATCH(BU318,$AR$2:$AX$2,0))*12/365*[11]核心假设及结论!$C$70*$H318,0)</f>
        <v>0</v>
      </c>
      <c r="BX318" s="1739">
        <f t="shared" si="135"/>
        <v>2041</v>
      </c>
      <c r="BY318" s="1742">
        <f>_xlfn.IFNA(INDEX($AR318:$AX318,MATCH(BX318,$AR$2:$AX$2,0))*12/365*[11]核心假设及结论!$C$70*$H318,0)</f>
        <v>0</v>
      </c>
      <c r="CA318" s="1739">
        <f t="shared" si="136"/>
        <v>2046</v>
      </c>
      <c r="CB318" s="1742">
        <f>_xlfn.IFNA(INDEX($AR318:$AX318,MATCH(CA318,$AR$2:$AX$2,0))*12/365*[11]核心假设及结论!$C$70*$H318,0)</f>
        <v>0</v>
      </c>
    </row>
    <row r="319" spans="1:80" ht="30" customHeight="1">
      <c r="A319" s="1756" t="s">
        <v>1662</v>
      </c>
      <c r="B319" s="1757" t="s">
        <v>2333</v>
      </c>
      <c r="C319" s="1756" t="s">
        <v>2334</v>
      </c>
      <c r="D319" s="1756" t="s">
        <v>1676</v>
      </c>
      <c r="E319" s="1758" t="s">
        <v>1758</v>
      </c>
      <c r="F319" s="1759"/>
      <c r="G319" s="1760" t="s">
        <v>1661</v>
      </c>
      <c r="H319" s="1761">
        <v>105</v>
      </c>
      <c r="I319" s="1761" t="s">
        <v>1913</v>
      </c>
      <c r="J319" s="1773">
        <v>44288</v>
      </c>
      <c r="K319" s="1773">
        <v>45748</v>
      </c>
      <c r="L319" s="1764">
        <f t="shared" si="118"/>
        <v>48</v>
      </c>
      <c r="M319" s="1774">
        <f t="shared" si="129"/>
        <v>56291.549999999996</v>
      </c>
      <c r="N319" s="1775">
        <f t="shared" si="130"/>
        <v>422.48999999999995</v>
      </c>
      <c r="O319" s="1760">
        <v>44361.45</v>
      </c>
      <c r="P319" s="1776">
        <v>0.12</v>
      </c>
      <c r="Q319" s="1783">
        <f t="shared" si="119"/>
        <v>95</v>
      </c>
      <c r="R319" s="1784">
        <v>9975</v>
      </c>
      <c r="S319" s="1777">
        <f t="shared" si="120"/>
        <v>18.619999999999997</v>
      </c>
      <c r="T319" s="1777">
        <v>1955.1</v>
      </c>
      <c r="U319" s="1777"/>
      <c r="V319" s="1785">
        <v>162763.923866667</v>
      </c>
      <c r="W319" s="1785">
        <f t="shared" si="121"/>
        <v>1550.1326082539715</v>
      </c>
      <c r="X319" s="1786">
        <f t="shared" si="141"/>
        <v>0.33383595522378384</v>
      </c>
      <c r="Y319" s="1789">
        <f>VLOOKUP(E319,[11]核心假设及结论!$C$25:$E$45,3,0)</f>
        <v>0.2</v>
      </c>
      <c r="Z319" s="1790">
        <f t="shared" si="140"/>
        <v>44361.450000000004</v>
      </c>
      <c r="AA319" s="1790">
        <f t="shared" si="140"/>
        <v>0</v>
      </c>
      <c r="AB319" s="1790">
        <f t="shared" si="140"/>
        <v>0</v>
      </c>
      <c r="AC319" s="1790">
        <f t="shared" si="140"/>
        <v>0</v>
      </c>
      <c r="AD319" s="1790">
        <f t="shared" si="140"/>
        <v>0</v>
      </c>
      <c r="AE319" s="1790">
        <f t="shared" si="140"/>
        <v>0</v>
      </c>
      <c r="AF319" s="1790">
        <f t="shared" si="140"/>
        <v>0</v>
      </c>
      <c r="AG319" s="1794">
        <v>422.49</v>
      </c>
      <c r="AH319" s="1794">
        <v>0</v>
      </c>
      <c r="AI319" s="1794">
        <v>0</v>
      </c>
      <c r="AJ319" s="1794">
        <v>0</v>
      </c>
      <c r="AK319" s="1794">
        <v>0</v>
      </c>
      <c r="AL319" s="1794">
        <v>0</v>
      </c>
      <c r="AM319" s="1794">
        <v>0</v>
      </c>
      <c r="AN319" s="1795"/>
      <c r="AO319" s="1795"/>
      <c r="AP319" s="1808">
        <f t="shared" si="131"/>
        <v>1.6691797761189191</v>
      </c>
      <c r="AQ319" s="1808">
        <f>IF(AP319&gt;[11]核心假设及结论!$B$65,[11]核心假设及结论!$D$65,IF(AP319&lt;=[11]核心假设及结论!$B$64,[11]核心假设及结论!$D$63,[11]核心假设及结论!$D$64))</f>
        <v>0.72793038402688603</v>
      </c>
      <c r="AR319" s="1809">
        <f t="shared" si="132"/>
        <v>422.49</v>
      </c>
      <c r="AS319" s="1811">
        <f>AH319*(AS$2&lt;=YEAR($K319))+AR319*$AQ319*(AS$2=YEAR($K319)+1)+INDEX([11]核心假设及结论!$E$17:$E$21,MATCH($D319,[11]核心假设及结论!$B$17:$B$21,0))*(AS$2&gt;YEAR($K319)+1)*AR319</f>
        <v>307.54330794751911</v>
      </c>
      <c r="AT319" s="1809">
        <f>AI319*(AT$2&lt;=YEAR($K319))+AS319*$AQ319*(AT$2=YEAR($K319)+1)+INDEX([11]核心假设及结论!$E$17:$E$21,MATCH($D319,[11]核心假设及结论!$B$17:$B$21,0))*(AT$2&gt;YEAR($K319)+1)*AS319</f>
        <v>318.17664472907518</v>
      </c>
      <c r="AU319" s="1809">
        <f>AJ319*(AU$2&lt;=YEAR($K319))+AT319*$AQ319*(AU$2=YEAR($K319)+1)+INDEX([11]核心假设及结论!$E$17:$E$21,MATCH($D319,[11]核心假设及结论!$B$17:$B$21,0))*(AU$2&gt;YEAR($K319)+1)*AT319</f>
        <v>329.17763006024393</v>
      </c>
      <c r="AV319" s="1809">
        <f>AK319*(AV$2&lt;=YEAR($K319))+AU319*$AQ319*(AV$2=YEAR($K319)+1)+INDEX([11]核心假设及结论!$E$17:$E$21,MATCH($D319,[11]核心假设及结论!$B$17:$B$21,0))*(AV$2&gt;YEAR($K319)+1)*AU319</f>
        <v>340.5589754217965</v>
      </c>
      <c r="AW319" s="1809">
        <f>AL319*(AW$2&lt;=YEAR($K319))+AV319*$AQ319*(AW$2=YEAR($K319)+1)+INDEX([11]核心假设及结论!$E$17:$E$21,MATCH($D319,[11]核心假设及结论!$B$17:$B$21,0))*(AW$2&gt;YEAR($K319)+1)*AV319</f>
        <v>352.33383179506404</v>
      </c>
      <c r="AX319" s="1809">
        <f>AM319*(AX$2&lt;=YEAR($K319))+AW319*$AQ319*(AX$2=YEAR($K319)+1)+INDEX([11]核心假设及结论!$E$17:$E$21,MATCH($D319,[11]核心假设及结论!$B$17:$B$21,0))*(AX$2&gt;YEAR($K319)+1)*AW319</f>
        <v>364.51580485770779</v>
      </c>
      <c r="AZ319" s="1746">
        <f t="shared" si="122"/>
        <v>45748</v>
      </c>
      <c r="BA319" s="1817">
        <f t="shared" si="123"/>
        <v>45658</v>
      </c>
      <c r="BB319" s="1817">
        <f t="shared" si="124"/>
        <v>45748</v>
      </c>
      <c r="BC319" s="1817">
        <f t="shared" si="125"/>
        <v>46022</v>
      </c>
      <c r="BD319" s="1818">
        <f t="shared" si="126"/>
        <v>91</v>
      </c>
      <c r="BE319" s="1818">
        <f t="shared" si="127"/>
        <v>274</v>
      </c>
      <c r="BG319" s="1777">
        <f t="shared" si="137"/>
        <v>42.361357544055195</v>
      </c>
      <c r="BH319" s="1777">
        <f t="shared" si="139"/>
        <v>39.756224798774916</v>
      </c>
      <c r="BI319" s="1777">
        <f t="shared" si="139"/>
        <v>41.130799749762843</v>
      </c>
      <c r="BJ319" s="1777">
        <f t="shared" si="139"/>
        <v>42.552900749953032</v>
      </c>
      <c r="BK319" s="1777">
        <f t="shared" si="138"/>
        <v>44.024171016655096</v>
      </c>
      <c r="BL319" s="1777">
        <f t="shared" si="138"/>
        <v>45.546310581560839</v>
      </c>
      <c r="BM319" s="1777">
        <f t="shared" si="138"/>
        <v>11.450789639721856</v>
      </c>
      <c r="BO319" s="1739">
        <f t="shared" si="128"/>
        <v>2025</v>
      </c>
      <c r="BP319" s="1742">
        <f>_xlfn.IFNA(INDEX($AR319:$AX319,MATCH(BO319,$AR$2:$AX$2,0))*12/365*[11]核心假设及结论!$C$70*$H319,0)</f>
        <v>43753.758904109585</v>
      </c>
      <c r="BR319" s="1739">
        <f t="shared" si="133"/>
        <v>2029</v>
      </c>
      <c r="BS319" s="1742">
        <f>_xlfn.IFNA(INDEX($AR319:$AX319,MATCH(BR319,$AR$2:$AX$2,0))*12/365*[11]核心假设及结论!$C$70*$H319,0)</f>
        <v>35268.847317654538</v>
      </c>
      <c r="BU319" s="1739">
        <f t="shared" si="134"/>
        <v>2033</v>
      </c>
      <c r="BV319" s="1742">
        <f>_xlfn.IFNA(INDEX($AR319:$AX319,MATCH(BU319,$AR$2:$AX$2,0))*12/365*[11]核心假设及结论!$C$70*$H319,0)</f>
        <v>0</v>
      </c>
      <c r="BX319" s="1739">
        <f t="shared" si="135"/>
        <v>2037</v>
      </c>
      <c r="BY319" s="1742">
        <f>_xlfn.IFNA(INDEX($AR319:$AX319,MATCH(BX319,$AR$2:$AX$2,0))*12/365*[11]核心假设及结论!$C$70*$H319,0)</f>
        <v>0</v>
      </c>
      <c r="CA319" s="1739">
        <f t="shared" si="136"/>
        <v>2041</v>
      </c>
      <c r="CB319" s="1742">
        <f>_xlfn.IFNA(INDEX($AR319:$AX319,MATCH(CA319,$AR$2:$AX$2,0))*12/365*[11]核心假设及结论!$C$70*$H319,0)</f>
        <v>0</v>
      </c>
    </row>
    <row r="320" spans="1:80" ht="30" customHeight="1">
      <c r="A320" s="1756" t="s">
        <v>1666</v>
      </c>
      <c r="B320" s="1757" t="s">
        <v>2335</v>
      </c>
      <c r="C320" s="1756" t="s">
        <v>2336</v>
      </c>
      <c r="D320" s="1756" t="s">
        <v>1698</v>
      </c>
      <c r="E320" s="1758" t="s">
        <v>1698</v>
      </c>
      <c r="F320" s="1759"/>
      <c r="G320" s="1760" t="s">
        <v>1661</v>
      </c>
      <c r="H320" s="1761">
        <v>103</v>
      </c>
      <c r="I320" s="1761" t="s">
        <v>1913</v>
      </c>
      <c r="J320" s="1773">
        <v>45474</v>
      </c>
      <c r="K320" s="1773">
        <v>46280</v>
      </c>
      <c r="L320" s="1764">
        <f t="shared" si="118"/>
        <v>27</v>
      </c>
      <c r="M320" s="1774">
        <f t="shared" si="129"/>
        <v>83745.180000000008</v>
      </c>
      <c r="N320" s="1775">
        <f t="shared" si="130"/>
        <v>699.44</v>
      </c>
      <c r="O320" s="1760">
        <v>72042.320000000007</v>
      </c>
      <c r="P320" s="1776">
        <v>0.15</v>
      </c>
      <c r="Q320" s="1783">
        <f t="shared" si="119"/>
        <v>95</v>
      </c>
      <c r="R320" s="1784">
        <v>9785</v>
      </c>
      <c r="S320" s="1777">
        <f t="shared" si="120"/>
        <v>18.619999999999997</v>
      </c>
      <c r="T320" s="1784">
        <v>1917.86</v>
      </c>
      <c r="U320" s="1777"/>
      <c r="V320" s="1785">
        <v>555737.45083333296</v>
      </c>
      <c r="W320" s="1785">
        <f t="shared" si="121"/>
        <v>5395.509231391582</v>
      </c>
      <c r="X320" s="1786">
        <f t="shared" si="141"/>
        <v>0.14724096761393218</v>
      </c>
      <c r="Y320" s="1789">
        <f>VLOOKUP(E320,[11]核心假设及结论!$C$25:$E$45,3,0)</f>
        <v>0.2</v>
      </c>
      <c r="Z320" s="1790">
        <f t="shared" si="140"/>
        <v>81455.490000000005</v>
      </c>
      <c r="AA320" s="1790">
        <f t="shared" si="140"/>
        <v>83899.68</v>
      </c>
      <c r="AB320" s="1790">
        <f t="shared" si="140"/>
        <v>0</v>
      </c>
      <c r="AC320" s="1790">
        <f t="shared" si="140"/>
        <v>0</v>
      </c>
      <c r="AD320" s="1790">
        <f t="shared" si="140"/>
        <v>0</v>
      </c>
      <c r="AE320" s="1790">
        <f t="shared" si="140"/>
        <v>0</v>
      </c>
      <c r="AF320" s="1790">
        <f t="shared" si="140"/>
        <v>0</v>
      </c>
      <c r="AG320" s="1794">
        <v>790.83</v>
      </c>
      <c r="AH320" s="1794">
        <v>814.56</v>
      </c>
      <c r="AI320" s="1794">
        <v>0</v>
      </c>
      <c r="AJ320" s="1794">
        <v>0</v>
      </c>
      <c r="AK320" s="1794">
        <v>0</v>
      </c>
      <c r="AL320" s="1794">
        <v>0</v>
      </c>
      <c r="AM320" s="1794">
        <v>0</v>
      </c>
      <c r="AN320" s="1797"/>
      <c r="AO320" s="1797"/>
      <c r="AP320" s="1808">
        <f t="shared" si="131"/>
        <v>0.73620483806966086</v>
      </c>
      <c r="AQ320" s="1812">
        <f>IF(AP320&gt;[11]核心假设及结论!$B$62,[11]核心假设及结论!$D$62,IF(AP320&lt;=[11]核心假设及结论!$B$61,[11]核心假设及结论!$D$60,[11]核心假设及结论!$D$61))</f>
        <v>1.0811176582269599</v>
      </c>
      <c r="AR320" s="1809">
        <f t="shared" si="132"/>
        <v>790.83</v>
      </c>
      <c r="AS320" s="1809">
        <f>AH320*(AS$2&lt;=YEAR($K320))+AR320*$AQ320*(AS$2=YEAR($K320)+1)+INDEX([11]核心假设及结论!$E$17:$E$21,MATCH($D320,[11]核心假设及结论!$B$17:$B$21,0))*(AS$2&gt;YEAR($K320)+1)*AR320</f>
        <v>814.56</v>
      </c>
      <c r="AT320" s="1811">
        <f>AI320*(AT$2&lt;=YEAR($K320))+AS320*$AQ320*(AT$2=YEAR($K320)+1)+INDEX([11]核心假设及结论!$E$17:$E$21,MATCH($D320,[11]核心假设及结论!$B$17:$B$21,0))*(AT$2&gt;YEAR($K320)+1)*AS320</f>
        <v>880.6351996853524</v>
      </c>
      <c r="AU320" s="1809">
        <f>AJ320*(AU$2&lt;=YEAR($K320))+AT320*$AQ320*(AU$2=YEAR($K320)+1)+INDEX([11]核心假设及结论!$E$17:$E$21,MATCH($D320,[11]核心假设及结论!$B$17:$B$21,0))*(AU$2&gt;YEAR($K320)+1)*AT320</f>
        <v>907.59796457203151</v>
      </c>
      <c r="AV320" s="1809">
        <f>AK320*(AV$2&lt;=YEAR($K320))+AU320*$AQ320*(AV$2=YEAR($K320)+1)+INDEX([11]核心假设及结论!$E$17:$E$21,MATCH($D320,[11]核心假设及结论!$B$17:$B$21,0))*(AV$2&gt;YEAR($K320)+1)*AU320</f>
        <v>935.38625936098356</v>
      </c>
      <c r="AW320" s="1809">
        <f>AL320*(AW$2&lt;=YEAR($K320))+AV320*$AQ320*(AW$2=YEAR($K320)+1)+INDEX([11]核心假设及结论!$E$17:$E$21,MATCH($D320,[11]核心假设及结论!$B$17:$B$21,0))*(AW$2&gt;YEAR($K320)+1)*AV320</f>
        <v>964.02535963586661</v>
      </c>
      <c r="AX320" s="1809">
        <f>AM320*(AX$2&lt;=YEAR($K320))+AW320*$AQ320*(AX$2=YEAR($K320)+1)+INDEX([11]核心假设及结论!$E$17:$E$21,MATCH($D320,[11]核心假设及结论!$B$17:$B$21,0))*(AX$2&gt;YEAR($K320)+1)*AW320</f>
        <v>993.54131485312939</v>
      </c>
      <c r="AZ320" s="1746">
        <f t="shared" si="122"/>
        <v>46280</v>
      </c>
      <c r="BA320" s="1817">
        <f t="shared" si="123"/>
        <v>45658</v>
      </c>
      <c r="BB320" s="1817">
        <f t="shared" si="124"/>
        <v>45915</v>
      </c>
      <c r="BC320" s="1817">
        <f t="shared" si="125"/>
        <v>46022</v>
      </c>
      <c r="BD320" s="1818">
        <f t="shared" si="126"/>
        <v>258</v>
      </c>
      <c r="BE320" s="1818">
        <f t="shared" si="127"/>
        <v>107</v>
      </c>
      <c r="BG320" s="1777">
        <f t="shared" si="137"/>
        <v>98.606407167123294</v>
      </c>
      <c r="BH320" s="1777">
        <f t="shared" si="139"/>
        <v>103.07374676953074</v>
      </c>
      <c r="BI320" s="1777">
        <f t="shared" si="139"/>
        <v>109.82346399118984</v>
      </c>
      <c r="BJ320" s="1777">
        <f t="shared" si="139"/>
        <v>113.18597350669997</v>
      </c>
      <c r="BK320" s="1777">
        <f t="shared" si="138"/>
        <v>116.65143433908713</v>
      </c>
      <c r="BL320" s="1777">
        <f t="shared" si="138"/>
        <v>120.22299859055295</v>
      </c>
      <c r="BM320" s="1777">
        <f t="shared" si="138"/>
        <v>86.802302139968418</v>
      </c>
      <c r="BO320" s="1739">
        <f t="shared" si="128"/>
        <v>2026</v>
      </c>
      <c r="BP320" s="1742">
        <f>_xlfn.IFNA(INDEX($AR320:$AX320,MATCH(BO320,$AR$2:$AX$2,0))*12/365*[11]核心假设及结论!$C$70*$H320,0)</f>
        <v>82750.369315068485</v>
      </c>
      <c r="BR320" s="1739">
        <f t="shared" si="133"/>
        <v>2028</v>
      </c>
      <c r="BS320" s="1742">
        <f>_xlfn.IFNA(INDEX($AR320:$AX320,MATCH(BR320,$AR$2:$AX$2,0))*12/365*[11]核心假设及结论!$C$70*$H320,0)</f>
        <v>92202.006921454595</v>
      </c>
      <c r="BU320" s="1739">
        <f t="shared" si="134"/>
        <v>2030</v>
      </c>
      <c r="BV320" s="1742">
        <f>_xlfn.IFNA(INDEX($AR320:$AX320,MATCH(BU320,$AR$2:$AX$2,0))*12/365*[11]核心假设及结论!$C$70*$H320,0)</f>
        <v>97934.41187752859</v>
      </c>
      <c r="BX320" s="1739">
        <f t="shared" si="135"/>
        <v>2032</v>
      </c>
      <c r="BY320" s="1742">
        <f>_xlfn.IFNA(INDEX($AR320:$AX320,MATCH(BX320,$AR$2:$AX$2,0))*12/365*[11]核心假设及结论!$C$70*$H320,0)</f>
        <v>0</v>
      </c>
      <c r="CA320" s="1739">
        <f t="shared" si="136"/>
        <v>2034</v>
      </c>
      <c r="CB320" s="1742">
        <f>_xlfn.IFNA(INDEX($AR320:$AX320,MATCH(CA320,$AR$2:$AX$2,0))*12/365*[11]核心假设及结论!$C$70*$H320,0)</f>
        <v>0</v>
      </c>
    </row>
    <row r="321" spans="1:80" ht="30" customHeight="1">
      <c r="A321" s="1756" t="s">
        <v>1687</v>
      </c>
      <c r="B321" s="1757" t="s">
        <v>2337</v>
      </c>
      <c r="C321" s="1756" t="s">
        <v>2338</v>
      </c>
      <c r="D321" s="1756" t="s">
        <v>1698</v>
      </c>
      <c r="E321" s="1758" t="s">
        <v>1698</v>
      </c>
      <c r="F321" s="1759"/>
      <c r="G321" s="1760" t="s">
        <v>1661</v>
      </c>
      <c r="H321" s="1761">
        <v>103</v>
      </c>
      <c r="I321" s="1761" t="s">
        <v>1913</v>
      </c>
      <c r="J321" s="1773">
        <v>44963</v>
      </c>
      <c r="K321" s="1773">
        <v>46058</v>
      </c>
      <c r="L321" s="1764">
        <f t="shared" si="118"/>
        <v>36</v>
      </c>
      <c r="M321" s="1774">
        <f t="shared" si="129"/>
        <v>77430.25</v>
      </c>
      <c r="N321" s="1775">
        <f t="shared" si="130"/>
        <v>638.75</v>
      </c>
      <c r="O321" s="1760">
        <v>65791.25</v>
      </c>
      <c r="P321" s="1776">
        <v>0.14000000000000001</v>
      </c>
      <c r="Q321" s="1783">
        <f t="shared" si="119"/>
        <v>95</v>
      </c>
      <c r="R321" s="1784">
        <v>9785</v>
      </c>
      <c r="S321" s="1777">
        <f t="shared" si="120"/>
        <v>18</v>
      </c>
      <c r="T321" s="1777">
        <v>1854</v>
      </c>
      <c r="U321" s="1777"/>
      <c r="V321" s="1785">
        <v>329545.19916666701</v>
      </c>
      <c r="W321" s="1785">
        <f t="shared" si="121"/>
        <v>3199.467953074437</v>
      </c>
      <c r="X321" s="1786">
        <f t="shared" si="141"/>
        <v>0.2293350053076556</v>
      </c>
      <c r="Y321" s="1789">
        <f>VLOOKUP(E321,[11]核心假设及结论!$C$25:$E$45,3,0)</f>
        <v>0.2</v>
      </c>
      <c r="Z321" s="1790">
        <f t="shared" si="140"/>
        <v>65791.25</v>
      </c>
      <c r="AA321" s="1790">
        <f t="shared" si="140"/>
        <v>68916.27</v>
      </c>
      <c r="AB321" s="1790">
        <f t="shared" si="140"/>
        <v>0</v>
      </c>
      <c r="AC321" s="1790">
        <f t="shared" si="140"/>
        <v>0</v>
      </c>
      <c r="AD321" s="1790">
        <f t="shared" si="140"/>
        <v>0</v>
      </c>
      <c r="AE321" s="1790">
        <f t="shared" si="140"/>
        <v>0</v>
      </c>
      <c r="AF321" s="1790">
        <f t="shared" si="140"/>
        <v>0</v>
      </c>
      <c r="AG321" s="1794">
        <v>638.75</v>
      </c>
      <c r="AH321" s="1794">
        <v>669.09</v>
      </c>
      <c r="AI321" s="1794">
        <v>0</v>
      </c>
      <c r="AJ321" s="1794">
        <v>0</v>
      </c>
      <c r="AK321" s="1794">
        <v>0</v>
      </c>
      <c r="AL321" s="1794">
        <v>0</v>
      </c>
      <c r="AM321" s="1794">
        <v>0</v>
      </c>
      <c r="AN321" s="1795"/>
      <c r="AO321" s="1795"/>
      <c r="AP321" s="1808">
        <f t="shared" si="131"/>
        <v>1.1466750265382779</v>
      </c>
      <c r="AQ321" s="1812">
        <f>IF(AP321&gt;[11]核心假设及结论!$B$62,[11]核心假设及结论!$D$62,IF(AP321&lt;=[11]核心假设及结论!$B$61,[11]核心假设及结论!$D$60,[11]核心假设及结论!$D$61))</f>
        <v>1.0489999999999999</v>
      </c>
      <c r="AR321" s="1809">
        <f t="shared" si="132"/>
        <v>638.75</v>
      </c>
      <c r="AS321" s="1809">
        <f>AH321*(AS$2&lt;=YEAR($K321))+AR321*$AQ321*(AS$2=YEAR($K321)+1)+INDEX([11]核心假设及结论!$E$17:$E$21,MATCH($D321,[11]核心假设及结论!$B$17:$B$21,0))*(AS$2&gt;YEAR($K321)+1)*AR321</f>
        <v>669.09</v>
      </c>
      <c r="AT321" s="1811">
        <f>AI321*(AT$2&lt;=YEAR($K321))+AS321*$AQ321*(AT$2=YEAR($K321)+1)+INDEX([11]核心假设及结论!$E$17:$E$21,MATCH($D321,[11]核心假设及结论!$B$17:$B$21,0))*(AT$2&gt;YEAR($K321)+1)*AS321</f>
        <v>701.87540999999999</v>
      </c>
      <c r="AU321" s="1809">
        <f>AJ321*(AU$2&lt;=YEAR($K321))+AT321*$AQ321*(AU$2=YEAR($K321)+1)+INDEX([11]核心假设及结论!$E$17:$E$21,MATCH($D321,[11]核心假设及结论!$B$17:$B$21,0))*(AU$2&gt;YEAR($K321)+1)*AT321</f>
        <v>723.36501394307788</v>
      </c>
      <c r="AV321" s="1809">
        <f>AK321*(AV$2&lt;=YEAR($K321))+AU321*$AQ321*(AV$2=YEAR($K321)+1)+INDEX([11]核心假设及结论!$E$17:$E$21,MATCH($D321,[11]核心假设及结论!$B$17:$B$21,0))*(AV$2&gt;YEAR($K321)+1)*AU321</f>
        <v>745.51257380119534</v>
      </c>
      <c r="AW321" s="1809">
        <f>AL321*(AW$2&lt;=YEAR($K321))+AV321*$AQ321*(AW$2=YEAR($K321)+1)+INDEX([11]核心假设及结论!$E$17:$E$21,MATCH($D321,[11]核心假设及结论!$B$17:$B$21,0))*(AW$2&gt;YEAR($K321)+1)*AV321</f>
        <v>768.33823447731493</v>
      </c>
      <c r="AX321" s="1809">
        <f>AM321*(AX$2&lt;=YEAR($K321))+AW321*$AQ321*(AX$2=YEAR($K321)+1)+INDEX([11]核心假设及结论!$E$17:$E$21,MATCH($D321,[11]核心假设及结论!$B$17:$B$21,0))*(AX$2&gt;YEAR($K321)+1)*AW321</f>
        <v>791.86275765905907</v>
      </c>
      <c r="AZ321" s="1746">
        <f t="shared" si="122"/>
        <v>46058</v>
      </c>
      <c r="BA321" s="1817">
        <f t="shared" si="123"/>
        <v>45658</v>
      </c>
      <c r="BB321" s="1817">
        <f t="shared" si="124"/>
        <v>45693</v>
      </c>
      <c r="BC321" s="1817">
        <f t="shared" si="125"/>
        <v>46022</v>
      </c>
      <c r="BD321" s="1818">
        <f t="shared" si="126"/>
        <v>36</v>
      </c>
      <c r="BE321" s="1818">
        <f t="shared" si="127"/>
        <v>329</v>
      </c>
      <c r="BG321" s="1777">
        <f t="shared" si="137"/>
        <v>82.329658619178105</v>
      </c>
      <c r="BH321" s="1777">
        <f t="shared" si="139"/>
        <v>86.352124072339734</v>
      </c>
      <c r="BI321" s="1777">
        <f t="shared" si="139"/>
        <v>89.145942732391489</v>
      </c>
      <c r="BJ321" s="1777">
        <f t="shared" si="139"/>
        <v>91.875360197595754</v>
      </c>
      <c r="BK321" s="1777">
        <f t="shared" si="138"/>
        <v>94.688345343740082</v>
      </c>
      <c r="BL321" s="1777">
        <f t="shared" si="138"/>
        <v>97.58745679638713</v>
      </c>
      <c r="BM321" s="1777">
        <f t="shared" si="138"/>
        <v>9.6533493876157515</v>
      </c>
      <c r="BO321" s="1739">
        <f t="shared" si="128"/>
        <v>2026</v>
      </c>
      <c r="BP321" s="1742">
        <f>_xlfn.IFNA(INDEX($AR321:$AX321,MATCH(BO321,$AR$2:$AX$2,0))*12/365*[11]核心假设及结论!$C$70*$H321,0)</f>
        <v>67972.211506849315</v>
      </c>
      <c r="BR321" s="1739">
        <f t="shared" si="133"/>
        <v>2029</v>
      </c>
      <c r="BS321" s="1742">
        <f>_xlfn.IFNA(INDEX($AR321:$AX321,MATCH(BR321,$AR$2:$AX$2,0))*12/365*[11]核心假设及结论!$C$70*$H321,0)</f>
        <v>75735.907497392662</v>
      </c>
      <c r="BU321" s="1739">
        <f t="shared" si="134"/>
        <v>2032</v>
      </c>
      <c r="BV321" s="1742">
        <f>_xlfn.IFNA(INDEX($AR321:$AX321,MATCH(BU321,$AR$2:$AX$2,0))*12/365*[11]核心假设及结论!$C$70*$H321,0)</f>
        <v>0</v>
      </c>
      <c r="BX321" s="1739">
        <f t="shared" si="135"/>
        <v>2035</v>
      </c>
      <c r="BY321" s="1742">
        <f>_xlfn.IFNA(INDEX($AR321:$AX321,MATCH(BX321,$AR$2:$AX$2,0))*12/365*[11]核心假设及结论!$C$70*$H321,0)</f>
        <v>0</v>
      </c>
      <c r="CA321" s="1739">
        <f t="shared" si="136"/>
        <v>2038</v>
      </c>
      <c r="CB321" s="1742">
        <f>_xlfn.IFNA(INDEX($AR321:$AX321,MATCH(CA321,$AR$2:$AX$2,0))*12/365*[11]核心假设及结论!$C$70*$H321,0)</f>
        <v>0</v>
      </c>
    </row>
    <row r="322" spans="1:80" ht="30" customHeight="1">
      <c r="A322" s="1756" t="s">
        <v>1662</v>
      </c>
      <c r="B322" s="1757" t="s">
        <v>1774</v>
      </c>
      <c r="C322" s="1756" t="s">
        <v>1775</v>
      </c>
      <c r="D322" s="1756" t="s">
        <v>1685</v>
      </c>
      <c r="E322" s="1758" t="s">
        <v>1718</v>
      </c>
      <c r="F322" s="1759"/>
      <c r="G322" s="1760" t="s">
        <v>1661</v>
      </c>
      <c r="H322" s="1761">
        <v>103</v>
      </c>
      <c r="I322" s="1761" t="s">
        <v>1913</v>
      </c>
      <c r="J322" s="1773">
        <v>45245</v>
      </c>
      <c r="K322" s="1773">
        <v>45808</v>
      </c>
      <c r="L322" s="1764">
        <f t="shared" si="118"/>
        <v>19</v>
      </c>
      <c r="M322" s="1774">
        <f t="shared" si="129"/>
        <v>25062.99</v>
      </c>
      <c r="N322" s="1775">
        <f t="shared" si="130"/>
        <v>243.33</v>
      </c>
      <c r="O322" s="1760">
        <v>25062.99</v>
      </c>
      <c r="P322" s="1776">
        <v>0.16</v>
      </c>
      <c r="Q322" s="1783">
        <f t="shared" si="119"/>
        <v>0</v>
      </c>
      <c r="R322" s="1784">
        <v>0</v>
      </c>
      <c r="S322" s="1777">
        <f t="shared" si="120"/>
        <v>0</v>
      </c>
      <c r="T322" s="1777">
        <v>0</v>
      </c>
      <c r="U322" s="1777"/>
      <c r="V322" s="1785">
        <v>1290077.7777777801</v>
      </c>
      <c r="W322" s="1785">
        <f t="shared" si="121"/>
        <v>12525.026968716311</v>
      </c>
      <c r="X322" s="1786">
        <f t="shared" si="141"/>
        <v>1.9427503079056354E-2</v>
      </c>
      <c r="Y322" s="1789">
        <f>VLOOKUP(E322,[11]核心假设及结论!$C$25:$E$45,3,0)</f>
        <v>0.2</v>
      </c>
      <c r="Z322" s="1790">
        <f t="shared" si="140"/>
        <v>25814.89</v>
      </c>
      <c r="AA322" s="1790">
        <f t="shared" si="140"/>
        <v>0</v>
      </c>
      <c r="AB322" s="1790">
        <f t="shared" si="140"/>
        <v>0</v>
      </c>
      <c r="AC322" s="1790">
        <f t="shared" si="140"/>
        <v>0</v>
      </c>
      <c r="AD322" s="1790">
        <f t="shared" si="140"/>
        <v>0</v>
      </c>
      <c r="AE322" s="1790">
        <f t="shared" si="140"/>
        <v>0</v>
      </c>
      <c r="AF322" s="1790">
        <f t="shared" si="140"/>
        <v>0</v>
      </c>
      <c r="AG322" s="1794">
        <v>250.63</v>
      </c>
      <c r="AH322" s="1794">
        <v>0</v>
      </c>
      <c r="AI322" s="1794">
        <v>0</v>
      </c>
      <c r="AJ322" s="1794">
        <v>0</v>
      </c>
      <c r="AK322" s="1794">
        <v>0</v>
      </c>
      <c r="AL322" s="1794">
        <v>0</v>
      </c>
      <c r="AM322" s="1794">
        <v>0</v>
      </c>
      <c r="AN322" s="1795"/>
      <c r="AO322" s="1795"/>
      <c r="AP322" s="1808">
        <f t="shared" si="131"/>
        <v>9.7137515395281759E-2</v>
      </c>
      <c r="AQ322" s="1810">
        <f>IF(AP322&gt;[11]核心假设及结论!$B$59,[11]核心假设及结论!$D$59,IF(AP322&lt;=[11]核心假设及结论!$B$58,[11]核心假设及结论!$D$57,[11]核心假设及结论!$D$58))</f>
        <v>1.0342640124442799</v>
      </c>
      <c r="AR322" s="1809">
        <f t="shared" si="132"/>
        <v>250.63</v>
      </c>
      <c r="AS322" s="1811">
        <f>AH322*(AS$2&lt;=YEAR($K322))+AR322*$AQ322*(AS$2=YEAR($K322)+1)+INDEX([11]核心假设及结论!$E$17:$E$21,MATCH($D322,[11]核心假设及结论!$B$17:$B$21,0))*(AS$2&gt;YEAR($K322)+1)*AR322</f>
        <v>259.21758943890984</v>
      </c>
      <c r="AT322" s="1809">
        <f>AI322*(AT$2&lt;=YEAR($K322))+AS322*$AQ322*(AT$2=YEAR($K322)+1)+INDEX([11]核心假设及结论!$E$17:$E$21,MATCH($D322,[11]核心假设及结论!$B$17:$B$21,0))*(AT$2&gt;YEAR($K322)+1)*AS322</f>
        <v>266.23577373308945</v>
      </c>
      <c r="AU322" s="1809">
        <f>AJ322*(AU$2&lt;=YEAR($K322))+AT322*$AQ322*(AU$2=YEAR($K322)+1)+INDEX([11]核心假设及结论!$E$17:$E$21,MATCH($D322,[11]核心假设及结论!$B$17:$B$21,0))*(AU$2&gt;YEAR($K322)+1)*AT322</f>
        <v>273.44397179482888</v>
      </c>
      <c r="AV322" s="1809">
        <f>AK322*(AV$2&lt;=YEAR($K322))+AU322*$AQ322*(AV$2=YEAR($K322)+1)+INDEX([11]核心假设及结论!$E$17:$E$21,MATCH($D322,[11]核心假设及结论!$B$17:$B$21,0))*(AV$2&gt;YEAR($K322)+1)*AU322</f>
        <v>280.84732815016923</v>
      </c>
      <c r="AW322" s="1809">
        <f>AL322*(AW$2&lt;=YEAR($K322))+AV322*$AQ322*(AW$2=YEAR($K322)+1)+INDEX([11]核心假设及结论!$E$17:$E$21,MATCH($D322,[11]核心假设及结论!$B$17:$B$21,0))*(AW$2&gt;YEAR($K322)+1)*AV322</f>
        <v>288.45112661057556</v>
      </c>
      <c r="AX322" s="1809">
        <f>AM322*(AX$2&lt;=YEAR($K322))+AW322*$AQ322*(AX$2=YEAR($K322)+1)+INDEX([11]核心假设及结论!$E$17:$E$21,MATCH($D322,[11]核心假设及结论!$B$17:$B$21,0))*(AX$2&gt;YEAR($K322)+1)*AW322</f>
        <v>296.26079404401895</v>
      </c>
      <c r="AZ322" s="1746">
        <f t="shared" si="122"/>
        <v>45808</v>
      </c>
      <c r="BA322" s="1817">
        <f t="shared" si="123"/>
        <v>45658</v>
      </c>
      <c r="BB322" s="1817">
        <f t="shared" si="124"/>
        <v>45808</v>
      </c>
      <c r="BC322" s="1817">
        <f t="shared" si="125"/>
        <v>46022</v>
      </c>
      <c r="BD322" s="1818">
        <f t="shared" si="126"/>
        <v>151</v>
      </c>
      <c r="BE322" s="1818">
        <f t="shared" si="127"/>
        <v>214</v>
      </c>
      <c r="BG322" s="1777">
        <f t="shared" si="137"/>
        <v>31.600183549849152</v>
      </c>
      <c r="BH322" s="1777">
        <f t="shared" si="139"/>
        <v>32.547879758360956</v>
      </c>
      <c r="BI322" s="1777">
        <f t="shared" si="139"/>
        <v>33.429097036183094</v>
      </c>
      <c r="BJ322" s="1777">
        <f t="shared" si="139"/>
        <v>34.334172823269057</v>
      </c>
      <c r="BK322" s="1777">
        <f t="shared" si="138"/>
        <v>35.263753076613334</v>
      </c>
      <c r="BL322" s="1777">
        <f t="shared" si="138"/>
        <v>36.218501242167278</v>
      </c>
      <c r="BM322" s="1777">
        <f t="shared" si="138"/>
        <v>15.148747823890279</v>
      </c>
      <c r="BO322" s="1739">
        <f t="shared" si="128"/>
        <v>2025</v>
      </c>
      <c r="BP322" s="1742">
        <f>_xlfn.IFNA(INDEX($AR322:$AX322,MATCH(BO322,$AR$2:$AX$2,0))*12/365*[11]核心假设及结论!$C$70*$H322,0)</f>
        <v>25461.261369863012</v>
      </c>
      <c r="BR322" s="1739">
        <f t="shared" si="133"/>
        <v>2027</v>
      </c>
      <c r="BS322" s="1742">
        <f>_xlfn.IFNA(INDEX($AR322:$AX322,MATCH(BR322,$AR$2:$AX$2,0))*12/365*[11]核心假设及结论!$C$70*$H322,0)</f>
        <v>27046.636958966999</v>
      </c>
      <c r="BU322" s="1739">
        <f t="shared" si="134"/>
        <v>2029</v>
      </c>
      <c r="BV322" s="1742">
        <f>_xlfn.IFNA(INDEX($AR322:$AX322,MATCH(BU322,$AR$2:$AX$2,0))*12/365*[11]核心假设及结论!$C$70*$H322,0)</f>
        <v>28531.010761118563</v>
      </c>
      <c r="BX322" s="1739">
        <f t="shared" si="135"/>
        <v>2031</v>
      </c>
      <c r="BY322" s="1742">
        <f>_xlfn.IFNA(INDEX($AR322:$AX322,MATCH(BX322,$AR$2:$AX$2,0))*12/365*[11]核心假设及结论!$C$70*$H322,0)</f>
        <v>30096.849981238967</v>
      </c>
      <c r="CA322" s="1739">
        <f t="shared" si="136"/>
        <v>2033</v>
      </c>
      <c r="CB322" s="1742">
        <f>_xlfn.IFNA(INDEX($AR322:$AX322,MATCH(CA322,$AR$2:$AX$2,0))*12/365*[11]核心假设及结论!$C$70*$H322,0)</f>
        <v>0</v>
      </c>
    </row>
    <row r="323" spans="1:80" ht="30" customHeight="1">
      <c r="A323" s="1756" t="s">
        <v>1687</v>
      </c>
      <c r="B323" s="1757" t="s">
        <v>2339</v>
      </c>
      <c r="C323" s="1756" t="s">
        <v>2340</v>
      </c>
      <c r="D323" s="1756" t="s">
        <v>1685</v>
      </c>
      <c r="E323" s="1758" t="s">
        <v>1726</v>
      </c>
      <c r="F323" s="1759"/>
      <c r="G323" s="1760" t="s">
        <v>1661</v>
      </c>
      <c r="H323" s="1761">
        <v>102</v>
      </c>
      <c r="I323" s="1761" t="s">
        <v>1913</v>
      </c>
      <c r="J323" s="1773">
        <v>45123</v>
      </c>
      <c r="K323" s="1773">
        <v>46218</v>
      </c>
      <c r="L323" s="1764">
        <f t="shared" si="118"/>
        <v>36</v>
      </c>
      <c r="M323" s="1774">
        <f t="shared" si="129"/>
        <v>89088.84</v>
      </c>
      <c r="N323" s="1775">
        <f t="shared" si="130"/>
        <v>760.42</v>
      </c>
      <c r="O323" s="1760">
        <v>77562.84</v>
      </c>
      <c r="P323" s="1776">
        <v>0.09</v>
      </c>
      <c r="Q323" s="1783">
        <f t="shared" si="119"/>
        <v>95</v>
      </c>
      <c r="R323" s="1784">
        <v>9690</v>
      </c>
      <c r="S323" s="1777">
        <f t="shared" si="120"/>
        <v>18</v>
      </c>
      <c r="T323" s="1784">
        <v>1836</v>
      </c>
      <c r="U323" s="1777"/>
      <c r="V323" s="1785">
        <v>647776.25</v>
      </c>
      <c r="W323" s="1785">
        <f t="shared" si="121"/>
        <v>6350.7475490196075</v>
      </c>
      <c r="X323" s="1786">
        <f t="shared" si="141"/>
        <v>0.13469595404277326</v>
      </c>
      <c r="Y323" s="1789">
        <f>VLOOKUP(E323,[11]核心假设及结论!$C$25:$E$45,3,0)</f>
        <v>0.1</v>
      </c>
      <c r="Z323" s="1790">
        <f t="shared" si="140"/>
        <v>77562.84</v>
      </c>
      <c r="AA323" s="1790">
        <f t="shared" si="140"/>
        <v>79114.259999999995</v>
      </c>
      <c r="AB323" s="1790">
        <f t="shared" si="140"/>
        <v>0</v>
      </c>
      <c r="AC323" s="1790">
        <f t="shared" si="140"/>
        <v>0</v>
      </c>
      <c r="AD323" s="1790">
        <f t="shared" si="140"/>
        <v>0</v>
      </c>
      <c r="AE323" s="1790">
        <f t="shared" si="140"/>
        <v>0</v>
      </c>
      <c r="AF323" s="1790">
        <f t="shared" si="140"/>
        <v>0</v>
      </c>
      <c r="AG323" s="1794">
        <v>760.42</v>
      </c>
      <c r="AH323" s="1794">
        <v>775.63</v>
      </c>
      <c r="AI323" s="1794">
        <v>0</v>
      </c>
      <c r="AJ323" s="1794">
        <v>0</v>
      </c>
      <c r="AK323" s="1794">
        <v>0</v>
      </c>
      <c r="AL323" s="1794">
        <v>0</v>
      </c>
      <c r="AM323" s="1794">
        <v>0</v>
      </c>
      <c r="AN323" s="1797"/>
      <c r="AO323" s="1797"/>
      <c r="AP323" s="1808">
        <f t="shared" si="131"/>
        <v>1.3469595404277326</v>
      </c>
      <c r="AQ323" s="1810">
        <f>IF(AP323&gt;[11]核心假设及结论!$B$59,[11]核心假设及结论!$D$59,IF(AP323&lt;=[11]核心假设及结论!$B$58,[11]核心假设及结论!$D$57,[11]核心假设及结论!$D$58))</f>
        <v>1.0069999999999999</v>
      </c>
      <c r="AR323" s="1809">
        <f t="shared" si="132"/>
        <v>760.42</v>
      </c>
      <c r="AS323" s="1809">
        <f>AH323*(AS$2&lt;=YEAR($K323))+AR323*$AQ323*(AS$2=YEAR($K323)+1)+INDEX([11]核心假设及结论!$E$17:$E$21,MATCH($D323,[11]核心假设及结论!$B$17:$B$21,0))*(AS$2&gt;YEAR($K323)+1)*AR323</f>
        <v>775.63</v>
      </c>
      <c r="AT323" s="1811">
        <f>AI323*(AT$2&lt;=YEAR($K323))+AS323*$AQ323*(AT$2=YEAR($K323)+1)+INDEX([11]核心假设及结论!$E$17:$E$21,MATCH($D323,[11]核心假设及结论!$B$17:$B$21,0))*(AT$2&gt;YEAR($K323)+1)*AS323</f>
        <v>781.05940999999996</v>
      </c>
      <c r="AU323" s="1809">
        <f>AJ323*(AU$2&lt;=YEAR($K323))+AT323*$AQ323*(AU$2=YEAR($K323)+1)+INDEX([11]核心假设及结论!$E$17:$E$21,MATCH($D323,[11]核心假设及结论!$B$17:$B$21,0))*(AU$2&gt;YEAR($K323)+1)*AT323</f>
        <v>802.20619597215739</v>
      </c>
      <c r="AV323" s="1809">
        <f>AK323*(AV$2&lt;=YEAR($K323))+AU323*$AQ323*(AV$2=YEAR($K323)+1)+INDEX([11]核心假设及结论!$E$17:$E$21,MATCH($D323,[11]核心假设及结论!$B$17:$B$21,0))*(AV$2&gt;YEAR($K323)+1)*AU323</f>
        <v>823.92552041094973</v>
      </c>
      <c r="AW323" s="1809">
        <f>AL323*(AW$2&lt;=YEAR($K323))+AV323*$AQ323*(AW$2=YEAR($K323)+1)+INDEX([11]核心假设及结论!$E$17:$E$21,MATCH($D323,[11]核心假设及结论!$B$17:$B$21,0))*(AW$2&gt;YEAR($K323)+1)*AV323</f>
        <v>846.2328845039433</v>
      </c>
      <c r="AX323" s="1809">
        <f>AM323*(AX$2&lt;=YEAR($K323))+AW323*$AQ323*(AX$2=YEAR($K323)+1)+INDEX([11]核心假设及结论!$E$17:$E$21,MATCH($D323,[11]核心假设及结论!$B$17:$B$21,0))*(AX$2&gt;YEAR($K323)+1)*AW323</f>
        <v>869.14420912546768</v>
      </c>
      <c r="AZ323" s="1746">
        <f t="shared" si="122"/>
        <v>46218</v>
      </c>
      <c r="BA323" s="1817">
        <f t="shared" si="123"/>
        <v>45658</v>
      </c>
      <c r="BB323" s="1817">
        <f t="shared" si="124"/>
        <v>45853</v>
      </c>
      <c r="BC323" s="1817">
        <f t="shared" si="125"/>
        <v>46022</v>
      </c>
      <c r="BD323" s="1818">
        <f t="shared" si="126"/>
        <v>196</v>
      </c>
      <c r="BE323" s="1818">
        <f t="shared" si="127"/>
        <v>169</v>
      </c>
      <c r="BG323" s="1777">
        <f t="shared" si="137"/>
        <v>93.937402454794494</v>
      </c>
      <c r="BH323" s="1777">
        <f t="shared" si="139"/>
        <v>95.244812283550687</v>
      </c>
      <c r="BI323" s="1777">
        <f t="shared" si="139"/>
        <v>96.800120978262086</v>
      </c>
      <c r="BJ323" s="1777">
        <f t="shared" si="139"/>
        <v>99.420934983186825</v>
      </c>
      <c r="BK323" s="1777">
        <f t="shared" si="138"/>
        <v>102.1127061933195</v>
      </c>
      <c r="BL323" s="1777">
        <f t="shared" si="138"/>
        <v>104.87735573887446</v>
      </c>
      <c r="BM323" s="1777">
        <f t="shared" si="138"/>
        <v>57.126348587955128</v>
      </c>
      <c r="BO323" s="1739">
        <f t="shared" si="128"/>
        <v>2026</v>
      </c>
      <c r="BP323" s="1742">
        <f>_xlfn.IFNA(INDEX($AR323:$AX323,MATCH(BO323,$AR$2:$AX$2,0))*12/365*[11]核心假设及结论!$C$70*$H323,0)</f>
        <v>78030.503013698632</v>
      </c>
      <c r="BR323" s="1739">
        <f t="shared" si="133"/>
        <v>2029</v>
      </c>
      <c r="BS323" s="1742">
        <f>_xlfn.IFNA(INDEX($AR323:$AX323,MATCH(BR323,$AR$2:$AX$2,0))*12/365*[11]核心假设及结论!$C$70*$H323,0)</f>
        <v>82889.164683534458</v>
      </c>
      <c r="BU323" s="1739">
        <f t="shared" si="134"/>
        <v>2032</v>
      </c>
      <c r="BV323" s="1742">
        <f>_xlfn.IFNA(INDEX($AR323:$AX323,MATCH(BU323,$AR$2:$AX$2,0))*12/365*[11]核心假设及结论!$C$70*$H323,0)</f>
        <v>0</v>
      </c>
      <c r="BX323" s="1739">
        <f t="shared" si="135"/>
        <v>2035</v>
      </c>
      <c r="BY323" s="1742">
        <f>_xlfn.IFNA(INDEX($AR323:$AX323,MATCH(BX323,$AR$2:$AX$2,0))*12/365*[11]核心假设及结论!$C$70*$H323,0)</f>
        <v>0</v>
      </c>
      <c r="CA323" s="1739">
        <f t="shared" si="136"/>
        <v>2038</v>
      </c>
      <c r="CB323" s="1742">
        <f>_xlfn.IFNA(INDEX($AR323:$AX323,MATCH(CA323,$AR$2:$AX$2,0))*12/365*[11]核心假设及结论!$C$70*$H323,0)</f>
        <v>0</v>
      </c>
    </row>
    <row r="324" spans="1:80" ht="30" customHeight="1">
      <c r="A324" s="1756" t="s">
        <v>1662</v>
      </c>
      <c r="B324" s="1757" t="s">
        <v>2341</v>
      </c>
      <c r="C324" s="1756" t="s">
        <v>2342</v>
      </c>
      <c r="D324" s="1756" t="s">
        <v>1685</v>
      </c>
      <c r="E324" s="1758" t="s">
        <v>1718</v>
      </c>
      <c r="F324" s="1759"/>
      <c r="G324" s="1760" t="s">
        <v>1661</v>
      </c>
      <c r="H324" s="1761">
        <v>102</v>
      </c>
      <c r="I324" s="1761" t="s">
        <v>1913</v>
      </c>
      <c r="J324" s="1773">
        <v>45068</v>
      </c>
      <c r="K324" s="1773">
        <v>46163</v>
      </c>
      <c r="L324" s="1764">
        <f t="shared" ref="L324:L387" si="142">DATEDIF(J324,K324,"M")+1</f>
        <v>36</v>
      </c>
      <c r="M324" s="1774">
        <f t="shared" si="129"/>
        <v>85986</v>
      </c>
      <c r="N324" s="1775">
        <f t="shared" si="130"/>
        <v>730</v>
      </c>
      <c r="O324" s="1760">
        <v>74460</v>
      </c>
      <c r="P324" s="1776">
        <v>0.16</v>
      </c>
      <c r="Q324" s="1783">
        <f t="shared" ref="Q324:Q387" si="143">R324/H324</f>
        <v>95</v>
      </c>
      <c r="R324" s="1784">
        <v>9690</v>
      </c>
      <c r="S324" s="1777">
        <f t="shared" ref="S324:S387" si="144">T324/H324</f>
        <v>18</v>
      </c>
      <c r="T324" s="1777">
        <v>1836</v>
      </c>
      <c r="U324" s="1777"/>
      <c r="V324" s="1785">
        <v>421907.77583333303</v>
      </c>
      <c r="W324" s="1785">
        <f t="shared" ref="W324:W387" si="145">V324/H324</f>
        <v>4136.3507434640496</v>
      </c>
      <c r="X324" s="1786">
        <f t="shared" si="141"/>
        <v>0.1994511711328163</v>
      </c>
      <c r="Y324" s="1789">
        <f>VLOOKUP(E324,[11]核心假设及结论!$C$25:$E$45,3,0)</f>
        <v>0.2</v>
      </c>
      <c r="Z324" s="1790">
        <f t="shared" si="140"/>
        <v>74460</v>
      </c>
      <c r="AA324" s="1790">
        <f t="shared" si="140"/>
        <v>77562.84</v>
      </c>
      <c r="AB324" s="1790">
        <f t="shared" si="140"/>
        <v>0</v>
      </c>
      <c r="AC324" s="1790">
        <f t="shared" si="140"/>
        <v>0</v>
      </c>
      <c r="AD324" s="1790">
        <f t="shared" si="140"/>
        <v>0</v>
      </c>
      <c r="AE324" s="1790">
        <f t="shared" si="140"/>
        <v>0</v>
      </c>
      <c r="AF324" s="1790">
        <f t="shared" si="140"/>
        <v>0</v>
      </c>
      <c r="AG324" s="1794">
        <v>730</v>
      </c>
      <c r="AH324" s="1794">
        <v>760.42</v>
      </c>
      <c r="AI324" s="1794">
        <v>0</v>
      </c>
      <c r="AJ324" s="1794">
        <v>0</v>
      </c>
      <c r="AK324" s="1794">
        <v>0</v>
      </c>
      <c r="AL324" s="1794">
        <v>0</v>
      </c>
      <c r="AM324" s="1794">
        <v>0</v>
      </c>
      <c r="AN324" s="1795"/>
      <c r="AO324" s="1795"/>
      <c r="AP324" s="1808">
        <f t="shared" si="131"/>
        <v>0.99725585566408148</v>
      </c>
      <c r="AQ324" s="1810">
        <f>IF(AP324&gt;[11]核心假设及结论!$B$59,[11]核心假设及结论!$D$59,IF(AP324&lt;=[11]核心假设及结论!$B$58,[11]核心假设及结论!$D$57,[11]核心假设及结论!$D$58))</f>
        <v>1.0342640124442799</v>
      </c>
      <c r="AR324" s="1809">
        <f t="shared" si="132"/>
        <v>730</v>
      </c>
      <c r="AS324" s="1809">
        <f>AH324*(AS$2&lt;=YEAR($K324))+AR324*$AQ324*(AS$2=YEAR($K324)+1)+INDEX([11]核心假设及结论!$E$17:$E$21,MATCH($D324,[11]核心假设及结论!$B$17:$B$21,0))*(AS$2&gt;YEAR($K324)+1)*AR324</f>
        <v>760.42</v>
      </c>
      <c r="AT324" s="1811">
        <f>AI324*(AT$2&lt;=YEAR($K324))+AS324*$AQ324*(AT$2=YEAR($K324)+1)+INDEX([11]核心假设及结论!$E$17:$E$21,MATCH($D324,[11]核心假设及结论!$B$17:$B$21,0))*(AT$2&gt;YEAR($K324)+1)*AS324</f>
        <v>786.47504034287931</v>
      </c>
      <c r="AU324" s="1809">
        <f>AJ324*(AU$2&lt;=YEAR($K324))+AT324*$AQ324*(AU$2=YEAR($K324)+1)+INDEX([11]核心假设及结论!$E$17:$E$21,MATCH($D324,[11]核心假设及结论!$B$17:$B$21,0))*(AU$2&gt;YEAR($K324)+1)*AT324</f>
        <v>807.76845175005349</v>
      </c>
      <c r="AV324" s="1809">
        <f>AK324*(AV$2&lt;=YEAR($K324))+AU324*$AQ324*(AV$2=YEAR($K324)+1)+INDEX([11]核心假设及结论!$E$17:$E$21,MATCH($D324,[11]核心假设及结论!$B$17:$B$21,0))*(AV$2&gt;YEAR($K324)+1)*AU324</f>
        <v>829.63837143288447</v>
      </c>
      <c r="AW324" s="1809">
        <f>AL324*(AW$2&lt;=YEAR($K324))+AV324*$AQ324*(AW$2=YEAR($K324)+1)+INDEX([11]核心假设及结论!$E$17:$E$21,MATCH($D324,[11]核心假设及结论!$B$17:$B$21,0))*(AW$2&gt;YEAR($K324)+1)*AV324</f>
        <v>852.10040805949711</v>
      </c>
      <c r="AX324" s="1809">
        <f>AM324*(AX$2&lt;=YEAR($K324))+AW324*$AQ324*(AX$2=YEAR($K324)+1)+INDEX([11]核心假设及结论!$E$17:$E$21,MATCH($D324,[11]核心假设及结论!$B$17:$B$21,0))*(AX$2&gt;YEAR($K324)+1)*AW324</f>
        <v>875.17059289476106</v>
      </c>
      <c r="AZ324" s="1746">
        <f t="shared" ref="AZ324:AZ387" si="146">K324</f>
        <v>46163</v>
      </c>
      <c r="BA324" s="1817">
        <f t="shared" ref="BA324:BA387" si="147">$BA$2</f>
        <v>45658</v>
      </c>
      <c r="BB324" s="1817">
        <f t="shared" ref="BB324:BB387" si="148">DATE(YEAR(BA324),MONTH(AZ324),DAY(AZ324))</f>
        <v>45798</v>
      </c>
      <c r="BC324" s="1817">
        <f t="shared" ref="BC324:BC387" si="149">$BB$2</f>
        <v>46022</v>
      </c>
      <c r="BD324" s="1818">
        <f t="shared" ref="BD324:BD387" si="150">BB324-BA324+1</f>
        <v>141</v>
      </c>
      <c r="BE324" s="1818">
        <f t="shared" ref="BE324:BE387" si="151">365-BD324</f>
        <v>224</v>
      </c>
      <c r="BG324" s="1777">
        <f t="shared" si="137"/>
        <v>91.637050389041093</v>
      </c>
      <c r="BH324" s="1777">
        <f t="shared" si="139"/>
        <v>95.032576970150487</v>
      </c>
      <c r="BI324" s="1777">
        <f t="shared" si="139"/>
        <v>97.864035997139212</v>
      </c>
      <c r="BJ324" s="1777">
        <f t="shared" si="139"/>
        <v>100.51365495967501</v>
      </c>
      <c r="BK324" s="1777">
        <f t="shared" si="138"/>
        <v>103.23501100698455</v>
      </c>
      <c r="BL324" s="1777">
        <f t="shared" si="138"/>
        <v>106.03004638412446</v>
      </c>
      <c r="BM324" s="1777">
        <f t="shared" si="138"/>
        <v>41.380942905246428</v>
      </c>
      <c r="BO324" s="1739">
        <f t="shared" ref="BO324:BO387" si="152">YEAR(K324)</f>
        <v>2026</v>
      </c>
      <c r="BP324" s="1742">
        <f>_xlfn.IFNA(INDEX($AR324:$AX324,MATCH(BO324,$AR$2:$AX$2,0))*12/365*[11]核心假设及结论!$C$70*$H324,0)</f>
        <v>76500.33534246574</v>
      </c>
      <c r="BR324" s="1739">
        <f t="shared" si="133"/>
        <v>2029</v>
      </c>
      <c r="BS324" s="1742">
        <f>_xlfn.IFNA(INDEX($AR324:$AX324,MATCH(BR324,$AR$2:$AX$2,0))*12/365*[11]核心假设及结论!$C$70*$H324,0)</f>
        <v>83463.893147987721</v>
      </c>
      <c r="BU324" s="1739">
        <f t="shared" si="134"/>
        <v>2032</v>
      </c>
      <c r="BV324" s="1742">
        <f>_xlfn.IFNA(INDEX($AR324:$AX324,MATCH(BU324,$AR$2:$AX$2,0))*12/365*[11]核心假设及结论!$C$70*$H324,0)</f>
        <v>0</v>
      </c>
      <c r="BX324" s="1739">
        <f t="shared" si="135"/>
        <v>2035</v>
      </c>
      <c r="BY324" s="1742">
        <f>_xlfn.IFNA(INDEX($AR324:$AX324,MATCH(BX324,$AR$2:$AX$2,0))*12/365*[11]核心假设及结论!$C$70*$H324,0)</f>
        <v>0</v>
      </c>
      <c r="CA324" s="1739">
        <f t="shared" si="136"/>
        <v>2038</v>
      </c>
      <c r="CB324" s="1742">
        <f>_xlfn.IFNA(INDEX($AR324:$AX324,MATCH(CA324,$AR$2:$AX$2,0))*12/365*[11]核心假设及结论!$C$70*$H324,0)</f>
        <v>0</v>
      </c>
    </row>
    <row r="325" spans="1:80" ht="30" customHeight="1">
      <c r="A325" s="1756" t="s">
        <v>1666</v>
      </c>
      <c r="B325" s="1757" t="s">
        <v>2343</v>
      </c>
      <c r="C325" s="1756" t="s">
        <v>2344</v>
      </c>
      <c r="D325" s="1756" t="s">
        <v>1685</v>
      </c>
      <c r="E325" s="1758" t="s">
        <v>1692</v>
      </c>
      <c r="F325" s="1759"/>
      <c r="G325" s="1760" t="s">
        <v>1661</v>
      </c>
      <c r="H325" s="1761">
        <v>101</v>
      </c>
      <c r="I325" s="1761" t="s">
        <v>1913</v>
      </c>
      <c r="J325" s="1773">
        <v>45352</v>
      </c>
      <c r="K325" s="1773">
        <v>46349</v>
      </c>
      <c r="L325" s="1764">
        <f t="shared" si="142"/>
        <v>33</v>
      </c>
      <c r="M325" s="1774">
        <f t="shared" ref="M325:M388" si="153">O325+R325+T325</f>
        <v>78494.17</v>
      </c>
      <c r="N325" s="1775">
        <f t="shared" ref="N325:N388" si="154">O325/H325</f>
        <v>669.17</v>
      </c>
      <c r="O325" s="1760">
        <v>67586.17</v>
      </c>
      <c r="P325" s="1776">
        <v>0.17</v>
      </c>
      <c r="Q325" s="1783">
        <f t="shared" si="143"/>
        <v>90</v>
      </c>
      <c r="R325" s="1784">
        <v>9090</v>
      </c>
      <c r="S325" s="1777">
        <f t="shared" si="144"/>
        <v>18</v>
      </c>
      <c r="T325" s="1784">
        <v>1818</v>
      </c>
      <c r="U325" s="1777"/>
      <c r="V325" s="1785">
        <v>210820.02777777801</v>
      </c>
      <c r="W325" s="1785">
        <f t="shared" si="145"/>
        <v>2087.3270077007724</v>
      </c>
      <c r="X325" s="1786">
        <f>(N325+Q325+S325)*H325/V325</f>
        <v>0.37232786100730164</v>
      </c>
      <c r="Y325" s="1789">
        <f>VLOOKUP(E325,[11]核心假设及结论!$C$25:$E$45,3,0)</f>
        <v>0.2</v>
      </c>
      <c r="Z325" s="1790">
        <f t="shared" si="140"/>
        <v>69122.38</v>
      </c>
      <c r="AA325" s="1790">
        <f t="shared" si="140"/>
        <v>70657.58</v>
      </c>
      <c r="AB325" s="1790">
        <f t="shared" si="140"/>
        <v>0</v>
      </c>
      <c r="AC325" s="1790">
        <f t="shared" si="140"/>
        <v>0</v>
      </c>
      <c r="AD325" s="1790">
        <f t="shared" si="140"/>
        <v>0</v>
      </c>
      <c r="AE325" s="1790">
        <f t="shared" si="140"/>
        <v>0</v>
      </c>
      <c r="AF325" s="1790">
        <f t="shared" si="140"/>
        <v>0</v>
      </c>
      <c r="AG325" s="1794">
        <v>684.38</v>
      </c>
      <c r="AH325" s="1794">
        <v>699.58</v>
      </c>
      <c r="AI325" s="1794">
        <v>0</v>
      </c>
      <c r="AJ325" s="1794">
        <v>0</v>
      </c>
      <c r="AK325" s="1794">
        <v>0</v>
      </c>
      <c r="AL325" s="1794">
        <v>0</v>
      </c>
      <c r="AM325" s="1794">
        <v>0</v>
      </c>
      <c r="AN325" s="1797"/>
      <c r="AO325" s="1797"/>
      <c r="AP325" s="1808">
        <f t="shared" ref="AP325:AP388" si="155">IFERROR(X325/Y325,1.25)</f>
        <v>1.8616393050365081</v>
      </c>
      <c r="AQ325" s="1810">
        <f>IF(AP325&gt;[11]核心假设及结论!$B$59,[11]核心假设及结论!$D$59,IF(AP325&lt;=[11]核心假设及结论!$B$58,[11]核心假设及结论!$D$57,[11]核心假设及结论!$D$58))</f>
        <v>1</v>
      </c>
      <c r="AR325" s="1809">
        <f t="shared" ref="AR325:AR388" si="156">IF(K325&lt;=BA325,AQ325*AG325,AG325)</f>
        <v>684.38</v>
      </c>
      <c r="AS325" s="1809">
        <f>AH325*(AS$2&lt;=YEAR($K325))+AR325*$AQ325*(AS$2=YEAR($K325)+1)+INDEX([11]核心假设及结论!$E$17:$E$21,MATCH($D325,[11]核心假设及结论!$B$17:$B$21,0))*(AS$2&gt;YEAR($K325)+1)*AR325</f>
        <v>699.58</v>
      </c>
      <c r="AT325" s="1811">
        <f>AI325*(AT$2&lt;=YEAR($K325))+AS325*$AQ325*(AT$2=YEAR($K325)+1)+INDEX([11]核心假设及结论!$E$17:$E$21,MATCH($D325,[11]核心假设及结论!$B$17:$B$21,0))*(AT$2&gt;YEAR($K325)+1)*AS325</f>
        <v>699.58</v>
      </c>
      <c r="AU325" s="1809">
        <f>AJ325*(AU$2&lt;=YEAR($K325))+AT325*$AQ325*(AU$2=YEAR($K325)+1)+INDEX([11]核心假设及结论!$E$17:$E$21,MATCH($D325,[11]核心假设及结论!$B$17:$B$21,0))*(AU$2&gt;YEAR($K325)+1)*AT325</f>
        <v>718.52077241883808</v>
      </c>
      <c r="AV325" s="1809">
        <f>AK325*(AV$2&lt;=YEAR($K325))+AU325*$AQ325*(AV$2=YEAR($K325)+1)+INDEX([11]核心假设及结论!$E$17:$E$21,MATCH($D325,[11]核心假设及结论!$B$17:$B$21,0))*(AV$2&gt;YEAR($K325)+1)*AU325</f>
        <v>737.97435661019983</v>
      </c>
      <c r="AW325" s="1809">
        <f>AL325*(AW$2&lt;=YEAR($K325))+AV325*$AQ325*(AW$2=YEAR($K325)+1)+INDEX([11]核心假设及结论!$E$17:$E$21,MATCH($D325,[11]核心假设及结论!$B$17:$B$21,0))*(AW$2&gt;YEAR($K325)+1)*AV325</f>
        <v>757.95463669180901</v>
      </c>
      <c r="AX325" s="1809">
        <f>AM325*(AX$2&lt;=YEAR($K325))+AW325*$AQ325*(AX$2=YEAR($K325)+1)+INDEX([11]核心假设及结论!$E$17:$E$21,MATCH($D325,[11]核心假设及结论!$B$17:$B$21,0))*(AX$2&gt;YEAR($K325)+1)*AW325</f>
        <v>778.47587268680968</v>
      </c>
      <c r="AZ325" s="1746">
        <f t="shared" si="146"/>
        <v>46349</v>
      </c>
      <c r="BA325" s="1817">
        <f t="shared" si="147"/>
        <v>45658</v>
      </c>
      <c r="BB325" s="1817">
        <f t="shared" si="148"/>
        <v>45984</v>
      </c>
      <c r="BC325" s="1817">
        <f t="shared" si="149"/>
        <v>46022</v>
      </c>
      <c r="BD325" s="1818">
        <f t="shared" si="150"/>
        <v>327</v>
      </c>
      <c r="BE325" s="1818">
        <f t="shared" si="151"/>
        <v>38</v>
      </c>
      <c r="BG325" s="1777">
        <f t="shared" si="137"/>
        <v>83.138650849315056</v>
      </c>
      <c r="BH325" s="1777">
        <f t="shared" si="139"/>
        <v>84.789096000000001</v>
      </c>
      <c r="BI325" s="1777">
        <f t="shared" si="139"/>
        <v>85.028092223156705</v>
      </c>
      <c r="BJ325" s="1777">
        <f t="shared" si="139"/>
        <v>87.330184541414496</v>
      </c>
      <c r="BK325" s="1777">
        <f t="shared" si="138"/>
        <v>89.694604837440764</v>
      </c>
      <c r="BL325" s="1777">
        <f t="shared" si="138"/>
        <v>92.123040609509104</v>
      </c>
      <c r="BM325" s="1777">
        <f t="shared" si="138"/>
        <v>84.528403223760861</v>
      </c>
      <c r="BO325" s="1739">
        <f t="shared" si="152"/>
        <v>2026</v>
      </c>
      <c r="BP325" s="1742">
        <f>_xlfn.IFNA(INDEX($AR325:$AX325,MATCH(BO325,$AR$2:$AX$2,0))*12/365*[11]核心假设及结论!$C$70*$H325,0)</f>
        <v>69689.667945205496</v>
      </c>
      <c r="BR325" s="1739">
        <f t="shared" ref="BR325:BR388" si="157">BO325+ROUND($L325/12,0)</f>
        <v>2029</v>
      </c>
      <c r="BS325" s="1742">
        <f>_xlfn.IFNA(INDEX($AR325:$AX325,MATCH(BR325,$AR$2:$AX$2,0))*12/365*[11]核心假设及结论!$C$70*$H325,0)</f>
        <v>73514.377003690039</v>
      </c>
      <c r="BU325" s="1739">
        <f t="shared" ref="BU325:BU388" si="158">BR325+ROUND($L325/12,0)</f>
        <v>2032</v>
      </c>
      <c r="BV325" s="1742">
        <f>_xlfn.IFNA(INDEX($AR325:$AX325,MATCH(BU325,$AR$2:$AX$2,0))*12/365*[11]核心假设及结论!$C$70*$H325,0)</f>
        <v>0</v>
      </c>
      <c r="BX325" s="1739">
        <f t="shared" ref="BX325:BX388" si="159">BU325+ROUND($L325/12,0)</f>
        <v>2035</v>
      </c>
      <c r="BY325" s="1742">
        <f>_xlfn.IFNA(INDEX($AR325:$AX325,MATCH(BX325,$AR$2:$AX$2,0))*12/365*[11]核心假设及结论!$C$70*$H325,0)</f>
        <v>0</v>
      </c>
      <c r="CA325" s="1739">
        <f t="shared" ref="CA325:CA388" si="160">BX325+ROUND($L325/12,0)</f>
        <v>2038</v>
      </c>
      <c r="CB325" s="1742">
        <f>_xlfn.IFNA(INDEX($AR325:$AX325,MATCH(CA325,$AR$2:$AX$2,0))*12/365*[11]核心假设及结论!$C$70*$H325,0)</f>
        <v>0</v>
      </c>
    </row>
    <row r="326" spans="1:80" ht="30" customHeight="1">
      <c r="A326" s="1756" t="s">
        <v>1662</v>
      </c>
      <c r="B326" s="1757" t="s">
        <v>2345</v>
      </c>
      <c r="C326" s="1756" t="s">
        <v>2346</v>
      </c>
      <c r="D326" s="1756" t="s">
        <v>1685</v>
      </c>
      <c r="E326" s="1758" t="s">
        <v>1838</v>
      </c>
      <c r="F326" s="1759"/>
      <c r="G326" s="1760" t="s">
        <v>1661</v>
      </c>
      <c r="H326" s="1761">
        <v>100</v>
      </c>
      <c r="I326" s="1761" t="s">
        <v>1913</v>
      </c>
      <c r="J326" s="1773">
        <v>43937</v>
      </c>
      <c r="K326" s="1773">
        <v>45889</v>
      </c>
      <c r="L326" s="1764">
        <f t="shared" si="142"/>
        <v>65</v>
      </c>
      <c r="M326" s="1774">
        <f t="shared" si="153"/>
        <v>118862</v>
      </c>
      <c r="N326" s="1775">
        <f t="shared" si="154"/>
        <v>1075</v>
      </c>
      <c r="O326" s="1760">
        <v>107500</v>
      </c>
      <c r="P326" s="1776">
        <v>0.1</v>
      </c>
      <c r="Q326" s="1783">
        <f t="shared" si="143"/>
        <v>95</v>
      </c>
      <c r="R326" s="1784">
        <v>9500</v>
      </c>
      <c r="S326" s="1777">
        <f t="shared" si="144"/>
        <v>18.62</v>
      </c>
      <c r="T326" s="1784">
        <v>1862</v>
      </c>
      <c r="U326" s="1777"/>
      <c r="V326" s="1785">
        <v>2480468.75</v>
      </c>
      <c r="W326" s="1785">
        <f t="shared" si="145"/>
        <v>24804.6875</v>
      </c>
      <c r="X326" s="1786">
        <f>(N326+Q326)*H326/V326</f>
        <v>4.7168503937007875E-2</v>
      </c>
      <c r="Y326" s="1789">
        <f>VLOOKUP(E326,[11]核心假设及结论!$C$25:$E$45,3,0)</f>
        <v>0.2</v>
      </c>
      <c r="Z326" s="1790">
        <f t="shared" si="140"/>
        <v>110000</v>
      </c>
      <c r="AA326" s="1790">
        <f t="shared" si="140"/>
        <v>0</v>
      </c>
      <c r="AB326" s="1790">
        <f t="shared" si="140"/>
        <v>0</v>
      </c>
      <c r="AC326" s="1790">
        <f t="shared" si="140"/>
        <v>0</v>
      </c>
      <c r="AD326" s="1790">
        <f t="shared" si="140"/>
        <v>0</v>
      </c>
      <c r="AE326" s="1790">
        <f t="shared" si="140"/>
        <v>0</v>
      </c>
      <c r="AF326" s="1790">
        <f t="shared" si="140"/>
        <v>0</v>
      </c>
      <c r="AG326" s="1794">
        <v>1100</v>
      </c>
      <c r="AH326" s="1794">
        <v>0</v>
      </c>
      <c r="AI326" s="1794">
        <v>0</v>
      </c>
      <c r="AJ326" s="1794">
        <v>0</v>
      </c>
      <c r="AK326" s="1794">
        <v>0</v>
      </c>
      <c r="AL326" s="1794">
        <v>0</v>
      </c>
      <c r="AM326" s="1794">
        <v>0</v>
      </c>
      <c r="AN326" s="1797"/>
      <c r="AO326" s="1797"/>
      <c r="AP326" s="1808">
        <f t="shared" si="155"/>
        <v>0.23584251968503936</v>
      </c>
      <c r="AQ326" s="1810">
        <f>IF(AP326&gt;[11]核心假设及结论!$B$59,[11]核心假设及结论!$D$59,IF(AP326&lt;=[11]核心假设及结论!$B$58,[11]核心假设及结论!$D$57,[11]核心假设及结论!$D$58))</f>
        <v>1.0342640124442799</v>
      </c>
      <c r="AR326" s="1809">
        <f t="shared" si="156"/>
        <v>1100</v>
      </c>
      <c r="AS326" s="1811">
        <f>AH326*(AS$2&lt;=YEAR($K326))+AR326*$AQ326*(AS$2=YEAR($K326)+1)+INDEX([11]核心假设及结论!$E$17:$E$21,MATCH($D326,[11]核心假设及结论!$B$17:$B$21,0))*(AS$2&gt;YEAR($K326)+1)*AR326</f>
        <v>1137.6904136887078</v>
      </c>
      <c r="AT326" s="1809">
        <f>AI326*(AT$2&lt;=YEAR($K326))+AS326*$AQ326*(AT$2=YEAR($K326)+1)+INDEX([11]核心假设及结论!$E$17:$E$21,MATCH($D326,[11]核心假设及结论!$B$17:$B$21,0))*(AT$2&gt;YEAR($K326)+1)*AS326</f>
        <v>1168.4928025631345</v>
      </c>
      <c r="AU326" s="1809">
        <f>AJ326*(AU$2&lt;=YEAR($K326))+AT326*$AQ326*(AU$2=YEAR($K326)+1)+INDEX([11]核心假设及结论!$E$17:$E$21,MATCH($D326,[11]核心假设及结论!$B$17:$B$21,0))*(AU$2&gt;YEAR($K326)+1)*AT326</f>
        <v>1200.1291504381431</v>
      </c>
      <c r="AV326" s="1809">
        <f>AK326*(AV$2&lt;=YEAR($K326))+AU326*$AQ326*(AV$2=YEAR($K326)+1)+INDEX([11]核心假设及结论!$E$17:$E$21,MATCH($D326,[11]核心假设及结论!$B$17:$B$21,0))*(AV$2&gt;YEAR($K326)+1)*AU326</f>
        <v>1232.6220363291952</v>
      </c>
      <c r="AW326" s="1809">
        <f>AL326*(AW$2&lt;=YEAR($K326))+AV326*$AQ326*(AW$2=YEAR($K326)+1)+INDEX([11]核心假设及结论!$E$17:$E$21,MATCH($D326,[11]核心假设及结论!$B$17:$B$21,0))*(AW$2&gt;YEAR($K326)+1)*AV326</f>
        <v>1265.9946505671037</v>
      </c>
      <c r="AX326" s="1809">
        <f>AM326*(AX$2&lt;=YEAR($K326))+AW326*$AQ326*(AX$2=YEAR($K326)+1)+INDEX([11]核心假设及结论!$E$17:$E$21,MATCH($D326,[11]核心假设及结论!$B$17:$B$21,0))*(AX$2&gt;YEAR($K326)+1)*AW326</f>
        <v>1300.2708113490842</v>
      </c>
      <c r="AZ326" s="1746">
        <f t="shared" si="146"/>
        <v>45889</v>
      </c>
      <c r="BA326" s="1817">
        <f t="shared" si="147"/>
        <v>45658</v>
      </c>
      <c r="BB326" s="1817">
        <f t="shared" si="148"/>
        <v>45889</v>
      </c>
      <c r="BC326" s="1817">
        <f t="shared" si="149"/>
        <v>46022</v>
      </c>
      <c r="BD326" s="1818">
        <f t="shared" si="150"/>
        <v>232</v>
      </c>
      <c r="BE326" s="1818">
        <f t="shared" si="151"/>
        <v>133</v>
      </c>
      <c r="BG326" s="1777">
        <f t="shared" si="137"/>
        <v>133.64805206156652</v>
      </c>
      <c r="BH326" s="1777">
        <f t="shared" si="139"/>
        <v>137.8697157424692</v>
      </c>
      <c r="BI326" s="1777">
        <f t="shared" si="139"/>
        <v>141.60246812150805</v>
      </c>
      <c r="BJ326" s="1777">
        <f t="shared" si="139"/>
        <v>145.43628287126535</v>
      </c>
      <c r="BK326" s="1777">
        <f t="shared" si="138"/>
        <v>149.37389620398841</v>
      </c>
      <c r="BL326" s="1777">
        <f t="shared" si="138"/>
        <v>153.41811841347823</v>
      </c>
      <c r="BM326" s="1777">
        <f t="shared" si="138"/>
        <v>99.176820240982209</v>
      </c>
      <c r="BO326" s="1739">
        <f t="shared" si="152"/>
        <v>2025</v>
      </c>
      <c r="BP326" s="1742">
        <f>_xlfn.IFNA(INDEX($AR326:$AX326,MATCH(BO326,$AR$2:$AX$2,0))*12/365*[11]核心假设及结论!$C$70*$H326,0)</f>
        <v>108493.15068493152</v>
      </c>
      <c r="BR326" s="1739">
        <f t="shared" si="157"/>
        <v>2030</v>
      </c>
      <c r="BS326" s="1742">
        <f>_xlfn.IFNA(INDEX($AR326:$AX326,MATCH(BR326,$AR$2:$AX$2,0))*12/365*[11]核心假设及结论!$C$70*$H326,0)</f>
        <v>124865.22580935816</v>
      </c>
      <c r="BU326" s="1739">
        <f t="shared" si="158"/>
        <v>2035</v>
      </c>
      <c r="BV326" s="1742">
        <f>_xlfn.IFNA(INDEX($AR326:$AX326,MATCH(BU326,$AR$2:$AX$2,0))*12/365*[11]核心假设及结论!$C$70*$H326,0)</f>
        <v>0</v>
      </c>
      <c r="BX326" s="1739">
        <f t="shared" si="159"/>
        <v>2040</v>
      </c>
      <c r="BY326" s="1742">
        <f>_xlfn.IFNA(INDEX($AR326:$AX326,MATCH(BX326,$AR$2:$AX$2,0))*12/365*[11]核心假设及结论!$C$70*$H326,0)</f>
        <v>0</v>
      </c>
      <c r="CA326" s="1739">
        <f t="shared" si="160"/>
        <v>2045</v>
      </c>
      <c r="CB326" s="1742">
        <f>_xlfn.IFNA(INDEX($AR326:$AX326,MATCH(CA326,$AR$2:$AX$2,0))*12/365*[11]核心假设及结论!$C$70*$H326,0)</f>
        <v>0</v>
      </c>
    </row>
    <row r="327" spans="1:80" ht="30" customHeight="1">
      <c r="A327" s="1756" t="s">
        <v>1687</v>
      </c>
      <c r="B327" s="1757" t="s">
        <v>2347</v>
      </c>
      <c r="C327" s="1756" t="s">
        <v>2348</v>
      </c>
      <c r="D327" s="1756" t="s">
        <v>1685</v>
      </c>
      <c r="E327" s="1758" t="s">
        <v>1692</v>
      </c>
      <c r="F327" s="1759"/>
      <c r="G327" s="1760" t="s">
        <v>1661</v>
      </c>
      <c r="H327" s="1761">
        <v>100</v>
      </c>
      <c r="I327" s="1761" t="s">
        <v>1913</v>
      </c>
      <c r="J327" s="1773">
        <v>45243</v>
      </c>
      <c r="K327" s="1773">
        <v>46338</v>
      </c>
      <c r="L327" s="1764">
        <f t="shared" si="142"/>
        <v>36</v>
      </c>
      <c r="M327" s="1774">
        <f t="shared" si="153"/>
        <v>102550</v>
      </c>
      <c r="N327" s="1775">
        <f t="shared" si="154"/>
        <v>912.5</v>
      </c>
      <c r="O327" s="1760">
        <v>91250</v>
      </c>
      <c r="P327" s="1776">
        <v>0.18</v>
      </c>
      <c r="Q327" s="1783">
        <f t="shared" si="143"/>
        <v>95</v>
      </c>
      <c r="R327" s="1784">
        <v>9500</v>
      </c>
      <c r="S327" s="1777">
        <f t="shared" si="144"/>
        <v>18</v>
      </c>
      <c r="T327" s="1777">
        <v>1800</v>
      </c>
      <c r="U327" s="1777"/>
      <c r="V327" s="1785">
        <v>226022.91666666701</v>
      </c>
      <c r="W327" s="1785">
        <f t="shared" si="145"/>
        <v>2260.2291666666702</v>
      </c>
      <c r="X327" s="1786">
        <f>(N327+Q327+S327)*H327/V327</f>
        <v>0.4537150547049979</v>
      </c>
      <c r="Y327" s="1789">
        <f>VLOOKUP(E327,[11]核心假设及结论!$C$25:$E$45,3,0)</f>
        <v>0.2</v>
      </c>
      <c r="Z327" s="1790">
        <f t="shared" si="140"/>
        <v>93075</v>
      </c>
      <c r="AA327" s="1790">
        <f t="shared" si="140"/>
        <v>94900</v>
      </c>
      <c r="AB327" s="1790">
        <f t="shared" si="140"/>
        <v>0</v>
      </c>
      <c r="AC327" s="1790">
        <f t="shared" si="140"/>
        <v>0</v>
      </c>
      <c r="AD327" s="1790">
        <f t="shared" si="140"/>
        <v>0</v>
      </c>
      <c r="AE327" s="1790">
        <f t="shared" si="140"/>
        <v>0</v>
      </c>
      <c r="AF327" s="1790">
        <f t="shared" si="140"/>
        <v>0</v>
      </c>
      <c r="AG327" s="1794">
        <v>930.75</v>
      </c>
      <c r="AH327" s="1794">
        <v>949</v>
      </c>
      <c r="AI327" s="1794">
        <v>0</v>
      </c>
      <c r="AJ327" s="1794">
        <v>0</v>
      </c>
      <c r="AK327" s="1794">
        <v>0</v>
      </c>
      <c r="AL327" s="1794">
        <v>0</v>
      </c>
      <c r="AM327" s="1794">
        <v>0</v>
      </c>
      <c r="AN327" s="1795"/>
      <c r="AO327" s="1795"/>
      <c r="AP327" s="1808">
        <f t="shared" si="155"/>
        <v>2.2685752735249896</v>
      </c>
      <c r="AQ327" s="1810">
        <f>IF(AP327&gt;[11]核心假设及结论!$B$59,[11]核心假设及结论!$D$59,IF(AP327&lt;=[11]核心假设及结论!$B$58,[11]核心假设及结论!$D$57,[11]核心假设及结论!$D$58))</f>
        <v>1</v>
      </c>
      <c r="AR327" s="1809">
        <f t="shared" si="156"/>
        <v>930.75</v>
      </c>
      <c r="AS327" s="1809">
        <f>AH327*(AS$2&lt;=YEAR($K327))+AR327*$AQ327*(AS$2=YEAR($K327)+1)+INDEX([11]核心假设及结论!$E$17:$E$21,MATCH($D327,[11]核心假设及结论!$B$17:$B$21,0))*(AS$2&gt;YEAR($K327)+1)*AR327</f>
        <v>949</v>
      </c>
      <c r="AT327" s="1811">
        <f>AI327*(AT$2&lt;=YEAR($K327))+AS327*$AQ327*(AT$2=YEAR($K327)+1)+INDEX([11]核心假设及结论!$E$17:$E$21,MATCH($D327,[11]核心假设及结论!$B$17:$B$21,0))*(AT$2&gt;YEAR($K327)+1)*AS327</f>
        <v>949</v>
      </c>
      <c r="AU327" s="1809">
        <f>AJ327*(AU$2&lt;=YEAR($K327))+AT327*$AQ327*(AU$2=YEAR($K327)+1)+INDEX([11]核心假设及结论!$E$17:$E$21,MATCH($D327,[11]核心假设及结论!$B$17:$B$21,0))*(AU$2&gt;YEAR($K327)+1)*AT327</f>
        <v>974.69369196586126</v>
      </c>
      <c r="AV327" s="1809">
        <f>AK327*(AV$2&lt;=YEAR($K327))+AU327*$AQ327*(AV$2=YEAR($K327)+1)+INDEX([11]核心假设及结论!$E$17:$E$21,MATCH($D327,[11]核心假设及结论!$B$17:$B$21,0))*(AV$2&gt;YEAR($K327)+1)*AU327</f>
        <v>1001.0830275637948</v>
      </c>
      <c r="AW327" s="1809">
        <f>AL327*(AW$2&lt;=YEAR($K327))+AV327*$AQ327*(AW$2=YEAR($K327)+1)+INDEX([11]核心假设及结论!$E$17:$E$21,MATCH($D327,[11]核心假设及结论!$B$17:$B$21,0))*(AW$2&gt;YEAR($K327)+1)*AV327</f>
        <v>1028.1868409910612</v>
      </c>
      <c r="AX327" s="1809">
        <f>AM327*(AX$2&lt;=YEAR($K327))+AW327*$AQ327*(AX$2=YEAR($K327)+1)+INDEX([11]核心假设及结论!$E$17:$E$21,MATCH($D327,[11]核心假设及结论!$B$17:$B$21,0))*(AX$2&gt;YEAR($K327)+1)*AW327</f>
        <v>1056.024476371226</v>
      </c>
      <c r="AZ327" s="1746">
        <f t="shared" si="146"/>
        <v>46338</v>
      </c>
      <c r="BA327" s="1817">
        <f t="shared" si="147"/>
        <v>45658</v>
      </c>
      <c r="BB327" s="1817">
        <f t="shared" si="148"/>
        <v>45973</v>
      </c>
      <c r="BC327" s="1817">
        <f t="shared" si="149"/>
        <v>46022</v>
      </c>
      <c r="BD327" s="1818">
        <f t="shared" si="150"/>
        <v>316</v>
      </c>
      <c r="BE327" s="1818">
        <f t="shared" si="151"/>
        <v>49</v>
      </c>
      <c r="BG327" s="1777">
        <f t="shared" si="137"/>
        <v>111.98399999999999</v>
      </c>
      <c r="BH327" s="1777">
        <f t="shared" si="139"/>
        <v>113.88</v>
      </c>
      <c r="BI327" s="1777">
        <f t="shared" si="139"/>
        <v>114.29391481851854</v>
      </c>
      <c r="BJ327" s="1777">
        <f t="shared" si="139"/>
        <v>117.38836438745362</v>
      </c>
      <c r="BK327" s="1777">
        <f t="shared" si="138"/>
        <v>120.56659460341518</v>
      </c>
      <c r="BL327" s="1777">
        <f t="shared" si="138"/>
        <v>123.83087378477768</v>
      </c>
      <c r="BM327" s="1777">
        <f t="shared" si="138"/>
        <v>109.71081683286819</v>
      </c>
      <c r="BO327" s="1739">
        <f t="shared" si="152"/>
        <v>2026</v>
      </c>
      <c r="BP327" s="1742">
        <f>_xlfn.IFNA(INDEX($AR327:$AX327,MATCH(BO327,$AR$2:$AX$2,0))*12/365*[11]核心假设及结论!$C$70*$H327,0)</f>
        <v>93600</v>
      </c>
      <c r="BR327" s="1739">
        <f t="shared" si="157"/>
        <v>2029</v>
      </c>
      <c r="BS327" s="1742">
        <f>_xlfn.IFNA(INDEX($AR327:$AX327,MATCH(BR327,$AR$2:$AX$2,0))*12/365*[11]核心假设及结论!$C$70*$H327,0)</f>
        <v>98736.956143278381</v>
      </c>
      <c r="BU327" s="1739">
        <f t="shared" si="158"/>
        <v>2032</v>
      </c>
      <c r="BV327" s="1742">
        <f>_xlfn.IFNA(INDEX($AR327:$AX327,MATCH(BU327,$AR$2:$AX$2,0))*12/365*[11]核心假设及结论!$C$70*$H327,0)</f>
        <v>0</v>
      </c>
      <c r="BX327" s="1739">
        <f t="shared" si="159"/>
        <v>2035</v>
      </c>
      <c r="BY327" s="1742">
        <f>_xlfn.IFNA(INDEX($AR327:$AX327,MATCH(BX327,$AR$2:$AX$2,0))*12/365*[11]核心假设及结论!$C$70*$H327,0)</f>
        <v>0</v>
      </c>
      <c r="CA327" s="1739">
        <f t="shared" si="160"/>
        <v>2038</v>
      </c>
      <c r="CB327" s="1742">
        <f>_xlfn.IFNA(INDEX($AR327:$AX327,MATCH(CA327,$AR$2:$AX$2,0))*12/365*[11]核心假设及结论!$C$70*$H327,0)</f>
        <v>0</v>
      </c>
    </row>
    <row r="328" spans="1:80" ht="30" customHeight="1">
      <c r="A328" s="1756" t="s">
        <v>1687</v>
      </c>
      <c r="B328" s="1757" t="s">
        <v>2349</v>
      </c>
      <c r="C328" s="1756" t="s">
        <v>2350</v>
      </c>
      <c r="D328" s="1756" t="s">
        <v>1676</v>
      </c>
      <c r="E328" s="1758" t="s">
        <v>1677</v>
      </c>
      <c r="F328" s="1759"/>
      <c r="G328" s="1760" t="s">
        <v>1661</v>
      </c>
      <c r="H328" s="1761">
        <v>100</v>
      </c>
      <c r="I328" s="1761" t="s">
        <v>1913</v>
      </c>
      <c r="J328" s="1773">
        <v>45139</v>
      </c>
      <c r="K328" s="1773">
        <v>46161</v>
      </c>
      <c r="L328" s="1764">
        <f t="shared" si="142"/>
        <v>34</v>
      </c>
      <c r="M328" s="1774">
        <f t="shared" si="153"/>
        <v>36653</v>
      </c>
      <c r="N328" s="1775">
        <f t="shared" si="154"/>
        <v>258.52999999999997</v>
      </c>
      <c r="O328" s="1760">
        <v>25853</v>
      </c>
      <c r="P328" s="1776">
        <v>0.12</v>
      </c>
      <c r="Q328" s="1783">
        <f t="shared" si="143"/>
        <v>90</v>
      </c>
      <c r="R328" s="1784">
        <v>9000</v>
      </c>
      <c r="S328" s="1777">
        <f t="shared" si="144"/>
        <v>18</v>
      </c>
      <c r="T328" s="1784">
        <v>1800</v>
      </c>
      <c r="U328" s="1777"/>
      <c r="V328" s="1785">
        <v>60381.928333333301</v>
      </c>
      <c r="W328" s="1785">
        <f t="shared" si="145"/>
        <v>603.81928333333303</v>
      </c>
      <c r="X328" s="1786">
        <f>(N328+Q328)*H328/V328</f>
        <v>0.57720912468374608</v>
      </c>
      <c r="Y328" s="1789">
        <f>VLOOKUP(E328,[11]核心假设及结论!$C$25:$E$45,3,0)</f>
        <v>0.25</v>
      </c>
      <c r="Z328" s="1790">
        <f t="shared" si="140"/>
        <v>25852.999999999996</v>
      </c>
      <c r="AA328" s="1790">
        <f t="shared" si="140"/>
        <v>27370</v>
      </c>
      <c r="AB328" s="1790">
        <f t="shared" si="140"/>
        <v>0</v>
      </c>
      <c r="AC328" s="1790">
        <f t="shared" si="140"/>
        <v>0</v>
      </c>
      <c r="AD328" s="1790">
        <f t="shared" si="140"/>
        <v>0</v>
      </c>
      <c r="AE328" s="1790">
        <f t="shared" si="140"/>
        <v>0</v>
      </c>
      <c r="AF328" s="1790">
        <f t="shared" si="140"/>
        <v>0</v>
      </c>
      <c r="AG328" s="1794">
        <v>258.52999999999997</v>
      </c>
      <c r="AH328" s="1794">
        <v>273.7</v>
      </c>
      <c r="AI328" s="1794">
        <v>0</v>
      </c>
      <c r="AJ328" s="1794">
        <v>0</v>
      </c>
      <c r="AK328" s="1794">
        <v>0</v>
      </c>
      <c r="AL328" s="1794">
        <v>0</v>
      </c>
      <c r="AM328" s="1794">
        <v>0</v>
      </c>
      <c r="AN328" s="1797"/>
      <c r="AO328" s="1797"/>
      <c r="AP328" s="1808">
        <f t="shared" si="155"/>
        <v>2.3088364987349843</v>
      </c>
      <c r="AQ328" s="1808">
        <f>IF(AP328&gt;[11]核心假设及结论!$B$65,[11]核心假设及结论!$D$65,IF(AP328&lt;=[11]核心假设及结论!$B$64,[11]核心假设及结论!$D$63,[11]核心假设及结论!$D$64))</f>
        <v>0.72793038402688603</v>
      </c>
      <c r="AR328" s="1809">
        <f t="shared" si="156"/>
        <v>258.52999999999997</v>
      </c>
      <c r="AS328" s="1809">
        <f>AH328*(AS$2&lt;=YEAR($K328))+AR328*$AQ328*(AS$2=YEAR($K328)+1)+INDEX([11]核心假设及结论!$E$17:$E$21,MATCH($D328,[11]核心假设及结论!$B$17:$B$21,0))*(AS$2&gt;YEAR($K328)+1)*AR328</f>
        <v>273.7</v>
      </c>
      <c r="AT328" s="1811">
        <f>AI328*(AT$2&lt;=YEAR($K328))+AS328*$AQ328*(AT$2=YEAR($K328)+1)+INDEX([11]核心假设及结论!$E$17:$E$21,MATCH($D328,[11]核心假设及结论!$B$17:$B$21,0))*(AT$2&gt;YEAR($K328)+1)*AS328</f>
        <v>199.2345461081587</v>
      </c>
      <c r="AU328" s="1809">
        <f>AJ328*(AU$2&lt;=YEAR($K328))+AT328*$AQ328*(AU$2=YEAR($K328)+1)+INDEX([11]核心假设及结论!$E$17:$E$21,MATCH($D328,[11]核心假设及结论!$B$17:$B$21,0))*(AU$2&gt;YEAR($K328)+1)*AT328</f>
        <v>206.12309797237296</v>
      </c>
      <c r="AV328" s="1809">
        <f>AK328*(AV$2&lt;=YEAR($K328))+AU328*$AQ328*(AV$2=YEAR($K328)+1)+INDEX([11]核心假设及结论!$E$17:$E$21,MATCH($D328,[11]核心假设及结论!$B$17:$B$21,0))*(AV$2&gt;YEAR($K328)+1)*AU328</f>
        <v>213.24982212002351</v>
      </c>
      <c r="AW328" s="1809">
        <f>AL328*(AW$2&lt;=YEAR($K328))+AV328*$AQ328*(AW$2=YEAR($K328)+1)+INDEX([11]核心假设及结论!$E$17:$E$21,MATCH($D328,[11]核心假设及结论!$B$17:$B$21,0))*(AW$2&gt;YEAR($K328)+1)*AV328</f>
        <v>220.62295337864961</v>
      </c>
      <c r="AX328" s="1809">
        <f>AM328*(AX$2&lt;=YEAR($K328))+AW328*$AQ328*(AX$2=YEAR($K328)+1)+INDEX([11]核心假设及结论!$E$17:$E$21,MATCH($D328,[11]核心假设及结论!$B$17:$B$21,0))*(AX$2&gt;YEAR($K328)+1)*AW328</f>
        <v>228.25101129567327</v>
      </c>
      <c r="AZ328" s="1746">
        <f t="shared" si="146"/>
        <v>46161</v>
      </c>
      <c r="BA328" s="1817">
        <f t="shared" si="147"/>
        <v>45658</v>
      </c>
      <c r="BB328" s="1817">
        <f t="shared" si="148"/>
        <v>45796</v>
      </c>
      <c r="BC328" s="1817">
        <f t="shared" si="149"/>
        <v>46022</v>
      </c>
      <c r="BD328" s="1818">
        <f t="shared" si="150"/>
        <v>139</v>
      </c>
      <c r="BE328" s="1818">
        <f t="shared" si="151"/>
        <v>226</v>
      </c>
      <c r="BG328" s="1777">
        <f t="shared" si="137"/>
        <v>32.150751780821921</v>
      </c>
      <c r="BH328" s="1777">
        <f t="shared" si="139"/>
        <v>27.311114768365108</v>
      </c>
      <c r="BI328" s="1777">
        <f t="shared" si="139"/>
        <v>24.419974372862583</v>
      </c>
      <c r="BJ328" s="1777">
        <f t="shared" si="139"/>
        <v>25.264297123491009</v>
      </c>
      <c r="BK328" s="1777">
        <f t="shared" si="138"/>
        <v>26.137812407098547</v>
      </c>
      <c r="BL328" s="1777">
        <f t="shared" si="138"/>
        <v>27.041529558067214</v>
      </c>
      <c r="BM328" s="1777">
        <f t="shared" si="138"/>
        <v>10.430758543594054</v>
      </c>
      <c r="BO328" s="1739">
        <f t="shared" si="152"/>
        <v>2026</v>
      </c>
      <c r="BP328" s="1742">
        <f>_xlfn.IFNA(INDEX($AR328:$AX328,MATCH(BO328,$AR$2:$AX$2,0))*12/365*[11]核心假设及结论!$C$70*$H328,0)</f>
        <v>26995.068493150684</v>
      </c>
      <c r="BR328" s="1739">
        <f t="shared" si="157"/>
        <v>2029</v>
      </c>
      <c r="BS328" s="1742">
        <f>_xlfn.IFNA(INDEX($AR328:$AX328,MATCH(BR328,$AR$2:$AX$2,0))*12/365*[11]核心假设及结论!$C$70*$H328,0)</f>
        <v>21032.859168002316</v>
      </c>
      <c r="BU328" s="1739">
        <f t="shared" si="158"/>
        <v>2032</v>
      </c>
      <c r="BV328" s="1742">
        <f>_xlfn.IFNA(INDEX($AR328:$AX328,MATCH(BU328,$AR$2:$AX$2,0))*12/365*[11]核心假设及结论!$C$70*$H328,0)</f>
        <v>0</v>
      </c>
      <c r="BX328" s="1739">
        <f t="shared" si="159"/>
        <v>2035</v>
      </c>
      <c r="BY328" s="1742">
        <f>_xlfn.IFNA(INDEX($AR328:$AX328,MATCH(BX328,$AR$2:$AX$2,0))*12/365*[11]核心假设及结论!$C$70*$H328,0)</f>
        <v>0</v>
      </c>
      <c r="CA328" s="1739">
        <f t="shared" si="160"/>
        <v>2038</v>
      </c>
      <c r="CB328" s="1742">
        <f>_xlfn.IFNA(INDEX($AR328:$AX328,MATCH(CA328,$AR$2:$AX$2,0))*12/365*[11]核心假设及结论!$C$70*$H328,0)</f>
        <v>0</v>
      </c>
    </row>
    <row r="329" spans="1:80" ht="30" customHeight="1">
      <c r="A329" s="1756" t="s">
        <v>2351</v>
      </c>
      <c r="B329" s="1757" t="s">
        <v>2352</v>
      </c>
      <c r="C329" s="1756" t="s">
        <v>2353</v>
      </c>
      <c r="D329" s="1756" t="s">
        <v>1676</v>
      </c>
      <c r="E329" s="1758" t="s">
        <v>1758</v>
      </c>
      <c r="F329" s="1759"/>
      <c r="G329" s="1763" t="s">
        <v>1682</v>
      </c>
      <c r="H329" s="1761">
        <v>100</v>
      </c>
      <c r="I329" s="1761" t="s">
        <v>1913</v>
      </c>
      <c r="J329" s="1773">
        <v>45607</v>
      </c>
      <c r="K329" s="1773">
        <v>46336</v>
      </c>
      <c r="L329" s="1764">
        <f t="shared" si="142"/>
        <v>24</v>
      </c>
      <c r="M329" s="1774">
        <f t="shared" si="153"/>
        <v>31672</v>
      </c>
      <c r="N329" s="1775">
        <f t="shared" si="154"/>
        <v>282.95999999999998</v>
      </c>
      <c r="O329" s="1760">
        <v>28296</v>
      </c>
      <c r="P329" s="1776">
        <v>0</v>
      </c>
      <c r="Q329" s="1783">
        <f t="shared" si="143"/>
        <v>33.76</v>
      </c>
      <c r="R329" s="1784">
        <v>3376</v>
      </c>
      <c r="S329" s="1777">
        <f t="shared" si="144"/>
        <v>0</v>
      </c>
      <c r="T329" s="1784">
        <v>0</v>
      </c>
      <c r="U329" s="1777"/>
      <c r="V329" s="1785">
        <v>133611.525833333</v>
      </c>
      <c r="W329" s="1785">
        <f t="shared" si="145"/>
        <v>1336.1152583333301</v>
      </c>
      <c r="X329" s="1786">
        <f>(N329+Q329)*H329/V329</f>
        <v>0.23704541806900437</v>
      </c>
      <c r="Y329" s="1789">
        <f>VLOOKUP(E329,[11]核心假设及结论!$C$25:$E$45,3,0)</f>
        <v>0.2</v>
      </c>
      <c r="Z329" s="1790">
        <f t="shared" si="140"/>
        <v>28295.999999999996</v>
      </c>
      <c r="AA329" s="1790">
        <f t="shared" si="140"/>
        <v>29139</v>
      </c>
      <c r="AB329" s="1790">
        <f t="shared" si="140"/>
        <v>0</v>
      </c>
      <c r="AC329" s="1790">
        <f t="shared" si="140"/>
        <v>0</v>
      </c>
      <c r="AD329" s="1790">
        <f t="shared" si="140"/>
        <v>0</v>
      </c>
      <c r="AE329" s="1790">
        <f t="shared" si="140"/>
        <v>0</v>
      </c>
      <c r="AF329" s="1790">
        <f t="shared" si="140"/>
        <v>0</v>
      </c>
      <c r="AG329" s="1794">
        <v>282.95999999999998</v>
      </c>
      <c r="AH329" s="1794">
        <v>291.39</v>
      </c>
      <c r="AI329" s="1794">
        <v>0</v>
      </c>
      <c r="AJ329" s="1794">
        <v>0</v>
      </c>
      <c r="AK329" s="1794">
        <v>0</v>
      </c>
      <c r="AL329" s="1794">
        <v>0</v>
      </c>
      <c r="AM329" s="1794">
        <v>0</v>
      </c>
      <c r="AN329" s="1797"/>
      <c r="AO329" s="1797"/>
      <c r="AP329" s="1808">
        <f t="shared" si="155"/>
        <v>1.1852270903450217</v>
      </c>
      <c r="AQ329" s="1808">
        <f>IF(AP329&gt;[11]核心假设及结论!$B$65,[11]核心假设及结论!$D$65,IF(AP329&lt;=[11]核心假设及结论!$B$64,[11]核心假设及结论!$D$63,[11]核心假设及结论!$D$64))</f>
        <v>0.754</v>
      </c>
      <c r="AR329" s="1809">
        <f t="shared" si="156"/>
        <v>282.95999999999998</v>
      </c>
      <c r="AS329" s="1809">
        <f>AH329*(AS$2&lt;=YEAR($K329))+AR329*$AQ329*(AS$2=YEAR($K329)+1)+INDEX([11]核心假设及结论!$E$17:$E$21,MATCH($D329,[11]核心假设及结论!$B$17:$B$21,0))*(AS$2&gt;YEAR($K329)+1)*AR329</f>
        <v>291.39</v>
      </c>
      <c r="AT329" s="1811">
        <f>AI329*(AT$2&lt;=YEAR($K329))+AS329*$AQ329*(AT$2=YEAR($K329)+1)+INDEX([11]核心假设及结论!$E$17:$E$21,MATCH($D329,[11]核心假设及结论!$B$17:$B$21,0))*(AT$2&gt;YEAR($K329)+1)*AS329</f>
        <v>219.70805999999999</v>
      </c>
      <c r="AU329" s="1809">
        <f>AJ329*(AU$2&lt;=YEAR($K329))+AT329*$AQ329*(AU$2=YEAR($K329)+1)+INDEX([11]核心假设及结论!$E$17:$E$21,MATCH($D329,[11]核心假设及结论!$B$17:$B$21,0))*(AU$2&gt;YEAR($K329)+1)*AT329</f>
        <v>227.30448539840594</v>
      </c>
      <c r="AV329" s="1809">
        <f>AK329*(AV$2&lt;=YEAR($K329))+AU329*$AQ329*(AV$2=YEAR($K329)+1)+INDEX([11]核心假设及结论!$E$17:$E$21,MATCH($D329,[11]核心假设及结论!$B$17:$B$21,0))*(AV$2&gt;YEAR($K329)+1)*AU329</f>
        <v>235.16355786963004</v>
      </c>
      <c r="AW329" s="1809">
        <f>AL329*(AW$2&lt;=YEAR($K329))+AV329*$AQ329*(AW$2=YEAR($K329)+1)+INDEX([11]核心假设及结论!$E$17:$E$21,MATCH($D329,[11]核心假设及结论!$B$17:$B$21,0))*(AW$2&gt;YEAR($K329)+1)*AV329</f>
        <v>243.29435845919588</v>
      </c>
      <c r="AX329" s="1809">
        <f>AM329*(AX$2&lt;=YEAR($K329))+AW329*$AQ329*(AX$2=YEAR($K329)+1)+INDEX([11]核心假设及结论!$E$17:$E$21,MATCH($D329,[11]核心假设及结论!$B$17:$B$21,0))*(AX$2&gt;YEAR($K329)+1)*AW329</f>
        <v>251.70628219057068</v>
      </c>
      <c r="AZ329" s="1746">
        <f t="shared" si="146"/>
        <v>46336</v>
      </c>
      <c r="BA329" s="1817">
        <f t="shared" si="147"/>
        <v>45658</v>
      </c>
      <c r="BB329" s="1817">
        <f t="shared" si="148"/>
        <v>45971</v>
      </c>
      <c r="BC329" s="1817">
        <f t="shared" si="149"/>
        <v>46022</v>
      </c>
      <c r="BD329" s="1818">
        <f t="shared" si="150"/>
        <v>314</v>
      </c>
      <c r="BE329" s="1818">
        <f t="shared" si="151"/>
        <v>51</v>
      </c>
      <c r="BG329" s="1777">
        <f t="shared" si="137"/>
        <v>34.096546849315061</v>
      </c>
      <c r="BH329" s="1777">
        <f t="shared" si="139"/>
        <v>33.764900074520547</v>
      </c>
      <c r="BI329" s="1777">
        <f t="shared" si="139"/>
        <v>26.492337401200668</v>
      </c>
      <c r="BJ329" s="1777">
        <f t="shared" si="139"/>
        <v>27.408312284860475</v>
      </c>
      <c r="BK329" s="1777">
        <f t="shared" si="138"/>
        <v>28.355957080268325</v>
      </c>
      <c r="BL329" s="1777">
        <f t="shared" si="138"/>
        <v>29.336366777393955</v>
      </c>
      <c r="BM329" s="1777">
        <f t="shared" si="138"/>
        <v>25.984363597097811</v>
      </c>
      <c r="BO329" s="1739">
        <f t="shared" si="152"/>
        <v>2026</v>
      </c>
      <c r="BP329" s="1742">
        <f>_xlfn.IFNA(INDEX($AR329:$AX329,MATCH(BO329,$AR$2:$AX$2,0))*12/365*[11]核心假设及结论!$C$70*$H329,0)</f>
        <v>28739.835616438351</v>
      </c>
      <c r="BR329" s="1739">
        <f t="shared" si="157"/>
        <v>2028</v>
      </c>
      <c r="BS329" s="1742">
        <f>_xlfn.IFNA(INDEX($AR329:$AX329,MATCH(BR329,$AR$2:$AX$2,0))*12/365*[11]核心假设及结论!$C$70*$H329,0)</f>
        <v>22419.072532445516</v>
      </c>
      <c r="BU329" s="1739">
        <f t="shared" si="158"/>
        <v>2030</v>
      </c>
      <c r="BV329" s="1742">
        <f>_xlfn.IFNA(INDEX($AR329:$AX329,MATCH(BU329,$AR$2:$AX$2,0))*12/365*[11]核心假设及结论!$C$70*$H329,0)</f>
        <v>23996.155902824798</v>
      </c>
      <c r="BX329" s="1739">
        <f t="shared" si="159"/>
        <v>2032</v>
      </c>
      <c r="BY329" s="1742">
        <f>_xlfn.IFNA(INDEX($AR329:$AX329,MATCH(BX329,$AR$2:$AX$2,0))*12/365*[11]核心假设及结论!$C$70*$H329,0)</f>
        <v>0</v>
      </c>
      <c r="CA329" s="1739">
        <f t="shared" si="160"/>
        <v>2034</v>
      </c>
      <c r="CB329" s="1742">
        <f>_xlfn.IFNA(INDEX($AR329:$AX329,MATCH(CA329,$AR$2:$AX$2,0))*12/365*[11]核心假设及结论!$C$70*$H329,0)</f>
        <v>0</v>
      </c>
    </row>
    <row r="330" spans="1:80" ht="30" customHeight="1">
      <c r="A330" s="1756" t="s">
        <v>1687</v>
      </c>
      <c r="B330" s="1757" t="s">
        <v>2354</v>
      </c>
      <c r="C330" s="1756" t="s">
        <v>2355</v>
      </c>
      <c r="D330" s="1756" t="s">
        <v>1685</v>
      </c>
      <c r="E330" s="1758" t="s">
        <v>1871</v>
      </c>
      <c r="F330" s="1759"/>
      <c r="G330" s="1760" t="s">
        <v>1661</v>
      </c>
      <c r="H330" s="1761">
        <v>99</v>
      </c>
      <c r="I330" s="1761" t="s">
        <v>2356</v>
      </c>
      <c r="J330" s="1773">
        <v>45610</v>
      </c>
      <c r="K330" s="1773">
        <v>46308</v>
      </c>
      <c r="L330" s="1764">
        <f t="shared" si="142"/>
        <v>23</v>
      </c>
      <c r="M330" s="1774">
        <f t="shared" si="153"/>
        <v>106036</v>
      </c>
      <c r="N330" s="1775">
        <f t="shared" si="154"/>
        <v>958.07070707070704</v>
      </c>
      <c r="O330" s="1760">
        <v>94849</v>
      </c>
      <c r="P330" s="1776">
        <v>0.18</v>
      </c>
      <c r="Q330" s="1783">
        <f t="shared" si="143"/>
        <v>95</v>
      </c>
      <c r="R330" s="1784">
        <v>9405</v>
      </c>
      <c r="S330" s="1777">
        <f t="shared" si="144"/>
        <v>18</v>
      </c>
      <c r="T330" s="1784">
        <v>1782</v>
      </c>
      <c r="U330" s="1777"/>
      <c r="V330" s="1785">
        <v>226376.57916666701</v>
      </c>
      <c r="W330" s="1785">
        <f t="shared" si="145"/>
        <v>2286.6321127946162</v>
      </c>
      <c r="X330" s="1786">
        <f>(N330+Q330+S330)*H330/V330</f>
        <v>0.46840534648212123</v>
      </c>
      <c r="Y330" s="1789">
        <f>VLOOKUP(E330,[11]核心假设及结论!$C$25:$E$45,3,0)</f>
        <v>0.2</v>
      </c>
      <c r="Z330" s="1790">
        <f t="shared" si="140"/>
        <v>84315.33</v>
      </c>
      <c r="AA330" s="1790">
        <f t="shared" si="140"/>
        <v>87325.92</v>
      </c>
      <c r="AB330" s="1790">
        <f t="shared" si="140"/>
        <v>0</v>
      </c>
      <c r="AC330" s="1790">
        <f t="shared" si="140"/>
        <v>0</v>
      </c>
      <c r="AD330" s="1790">
        <f t="shared" si="140"/>
        <v>0</v>
      </c>
      <c r="AE330" s="1790">
        <f t="shared" si="140"/>
        <v>0</v>
      </c>
      <c r="AF330" s="1790">
        <f t="shared" si="140"/>
        <v>0</v>
      </c>
      <c r="AG330" s="1794">
        <v>851.67</v>
      </c>
      <c r="AH330" s="1794">
        <v>882.08</v>
      </c>
      <c r="AI330" s="1794">
        <v>0</v>
      </c>
      <c r="AJ330" s="1794">
        <v>0</v>
      </c>
      <c r="AK330" s="1794">
        <v>0</v>
      </c>
      <c r="AL330" s="1794">
        <v>0</v>
      </c>
      <c r="AM330" s="1794">
        <v>0</v>
      </c>
      <c r="AN330" s="1797"/>
      <c r="AO330" s="1797"/>
      <c r="AP330" s="1808">
        <f t="shared" si="155"/>
        <v>2.3420267324106061</v>
      </c>
      <c r="AQ330" s="1810">
        <f>IF(AP330&gt;[11]核心假设及结论!$B$59,[11]核心假设及结论!$D$59,IF(AP330&lt;=[11]核心假设及结论!$B$58,[11]核心假设及结论!$D$57,[11]核心假设及结论!$D$58))</f>
        <v>1</v>
      </c>
      <c r="AR330" s="1809">
        <f t="shared" si="156"/>
        <v>851.67</v>
      </c>
      <c r="AS330" s="1809">
        <f>AH330*(AS$2&lt;=YEAR($K330))+AR330*$AQ330*(AS$2=YEAR($K330)+1)+INDEX([11]核心假设及结论!$E$17:$E$21,MATCH($D330,[11]核心假设及结论!$B$17:$B$21,0))*(AS$2&gt;YEAR($K330)+1)*AR330</f>
        <v>882.08</v>
      </c>
      <c r="AT330" s="1811">
        <f>AI330*(AT$2&lt;=YEAR($K330))+AS330*$AQ330*(AT$2=YEAR($K330)+1)+INDEX([11]核心假设及结论!$E$17:$E$21,MATCH($D330,[11]核心假设及结论!$B$17:$B$21,0))*(AT$2&gt;YEAR($K330)+1)*AS330</f>
        <v>882.08</v>
      </c>
      <c r="AU330" s="1809">
        <f>AJ330*(AU$2&lt;=YEAR($K330))+AT330*$AQ330*(AU$2=YEAR($K330)+1)+INDEX([11]核心假设及结论!$E$17:$E$21,MATCH($D330,[11]核心假设及结论!$B$17:$B$21,0))*(AU$2&gt;YEAR($K330)+1)*AT330</f>
        <v>905.96186702765749</v>
      </c>
      <c r="AV330" s="1809">
        <f>AK330*(AV$2&lt;=YEAR($K330))+AU330*$AQ330*(AV$2=YEAR($K330)+1)+INDEX([11]核心假设及结论!$E$17:$E$21,MATCH($D330,[11]核心假设及结论!$B$17:$B$21,0))*(AV$2&gt;YEAR($K330)+1)*AU330</f>
        <v>930.4903234493911</v>
      </c>
      <c r="AW330" s="1809">
        <f>AL330*(AW$2&lt;=YEAR($K330))+AV330*$AQ330*(AW$2=YEAR($K330)+1)+INDEX([11]核心假设及结论!$E$17:$E$21,MATCH($D330,[11]核心假设及结论!$B$17:$B$21,0))*(AW$2&gt;YEAR($K330)+1)*AV330</f>
        <v>955.68287534393619</v>
      </c>
      <c r="AX330" s="1809">
        <f>AM330*(AX$2&lt;=YEAR($K330))+AW330*$AQ330*(AX$2=YEAR($K330)+1)+INDEX([11]核心假设及结论!$E$17:$E$21,MATCH($D330,[11]核心假设及结论!$B$17:$B$21,0))*(AX$2&gt;YEAR($K330)+1)*AW330</f>
        <v>981.55750275819935</v>
      </c>
      <c r="AZ330" s="1746">
        <f t="shared" si="146"/>
        <v>46308</v>
      </c>
      <c r="BA330" s="1817">
        <f t="shared" si="147"/>
        <v>45658</v>
      </c>
      <c r="BB330" s="1817">
        <f t="shared" si="148"/>
        <v>45943</v>
      </c>
      <c r="BC330" s="1817">
        <f t="shared" si="149"/>
        <v>46022</v>
      </c>
      <c r="BD330" s="1818">
        <f t="shared" si="150"/>
        <v>286</v>
      </c>
      <c r="BE330" s="1818">
        <f t="shared" si="151"/>
        <v>79</v>
      </c>
      <c r="BG330" s="1777">
        <f t="shared" si="137"/>
        <v>101.96032458082193</v>
      </c>
      <c r="BH330" s="1777">
        <f t="shared" si="139"/>
        <v>104.791104</v>
      </c>
      <c r="BI330" s="1777">
        <f t="shared" si="139"/>
        <v>105.40517550254238</v>
      </c>
      <c r="BJ330" s="1777">
        <f t="shared" si="139"/>
        <v>108.25896697880148</v>
      </c>
      <c r="BK330" s="1777">
        <f t="shared" si="138"/>
        <v>111.19002340672104</v>
      </c>
      <c r="BL330" s="1777">
        <f t="shared" si="138"/>
        <v>114.20043669554002</v>
      </c>
      <c r="BM330" s="1777">
        <f t="shared" si="138"/>
        <v>91.3703642731912</v>
      </c>
      <c r="BO330" s="1739">
        <f t="shared" si="152"/>
        <v>2026</v>
      </c>
      <c r="BP330" s="1742">
        <f>_xlfn.IFNA(INDEX($AR330:$AX330,MATCH(BO330,$AR$2:$AX$2,0))*12/365*[11]核心假设及结论!$C$70*$H330,0)</f>
        <v>86129.674520547953</v>
      </c>
      <c r="BR330" s="1739">
        <f t="shared" si="157"/>
        <v>2028</v>
      </c>
      <c r="BS330" s="1742">
        <f>_xlfn.IFNA(INDEX($AR330:$AX330,MATCH(BR330,$AR$2:$AX$2,0))*12/365*[11]核心假设及结论!$C$70*$H330,0)</f>
        <v>88461.591618810169</v>
      </c>
      <c r="BU330" s="1739">
        <f t="shared" si="158"/>
        <v>2030</v>
      </c>
      <c r="BV330" s="1742">
        <f>_xlfn.IFNA(INDEX($AR330:$AX330,MATCH(BU330,$AR$2:$AX$2,0))*12/365*[11]核心假设及结论!$C$70*$H330,0)</f>
        <v>93316.54158152845</v>
      </c>
      <c r="BX330" s="1739">
        <f t="shared" si="159"/>
        <v>2032</v>
      </c>
      <c r="BY330" s="1742">
        <f>_xlfn.IFNA(INDEX($AR330:$AX330,MATCH(BX330,$AR$2:$AX$2,0))*12/365*[11]核心假设及结论!$C$70*$H330,0)</f>
        <v>0</v>
      </c>
      <c r="CA330" s="1739">
        <f t="shared" si="160"/>
        <v>2034</v>
      </c>
      <c r="CB330" s="1742">
        <f>_xlfn.IFNA(INDEX($AR330:$AX330,MATCH(CA330,$AR$2:$AX$2,0))*12/365*[11]核心假设及结论!$C$70*$H330,0)</f>
        <v>0</v>
      </c>
    </row>
    <row r="331" spans="1:80" ht="30" customHeight="1">
      <c r="A331" s="1763" t="s">
        <v>1662</v>
      </c>
      <c r="B331" s="1757" t="s">
        <v>2357</v>
      </c>
      <c r="C331" s="1764" t="s">
        <v>2358</v>
      </c>
      <c r="D331" s="1764" t="s">
        <v>1685</v>
      </c>
      <c r="E331" s="1764" t="s">
        <v>1692</v>
      </c>
      <c r="F331" s="1765"/>
      <c r="G331" s="1760" t="s">
        <v>1661</v>
      </c>
      <c r="H331" s="1761">
        <v>99</v>
      </c>
      <c r="I331" s="1763" t="s">
        <v>2356</v>
      </c>
      <c r="J331" s="1773">
        <v>45566</v>
      </c>
      <c r="K331" s="1773">
        <v>46632</v>
      </c>
      <c r="L331" s="1764">
        <f t="shared" si="142"/>
        <v>36</v>
      </c>
      <c r="M331" s="1774">
        <f t="shared" si="153"/>
        <v>77987.25</v>
      </c>
      <c r="N331" s="1775">
        <f t="shared" si="154"/>
        <v>638.75</v>
      </c>
      <c r="O331" s="1777">
        <v>63236.25</v>
      </c>
      <c r="P331" s="1763">
        <v>0.15</v>
      </c>
      <c r="Q331" s="1783">
        <f t="shared" si="143"/>
        <v>95</v>
      </c>
      <c r="R331" s="1763">
        <v>9405</v>
      </c>
      <c r="S331" s="1777">
        <f t="shared" si="144"/>
        <v>54</v>
      </c>
      <c r="T331" s="1763">
        <v>5346</v>
      </c>
      <c r="U331" s="1763"/>
      <c r="V331" s="1785"/>
      <c r="W331" s="1785">
        <f t="shared" si="145"/>
        <v>0</v>
      </c>
      <c r="X331" s="1786" t="e">
        <f>(N331+Q331+S331)*H331/V331</f>
        <v>#DIV/0!</v>
      </c>
      <c r="Y331" s="1789">
        <f>VLOOKUP(E331,[11]核心假设及结论!$C$25:$E$45,3,0)</f>
        <v>0.2</v>
      </c>
      <c r="Z331" s="1790">
        <f t="shared" si="140"/>
        <v>63236.25</v>
      </c>
      <c r="AA331" s="1790">
        <f t="shared" si="140"/>
        <v>66247.83</v>
      </c>
      <c r="AB331" s="1790">
        <f t="shared" si="140"/>
        <v>69258.42</v>
      </c>
      <c r="AC331" s="1790">
        <f t="shared" si="140"/>
        <v>0</v>
      </c>
      <c r="AD331" s="1790">
        <f t="shared" si="140"/>
        <v>0</v>
      </c>
      <c r="AE331" s="1790">
        <f t="shared" si="140"/>
        <v>0</v>
      </c>
      <c r="AF331" s="1790">
        <f t="shared" si="140"/>
        <v>0</v>
      </c>
      <c r="AG331" s="1794">
        <v>638.75</v>
      </c>
      <c r="AH331" s="1794">
        <v>669.17</v>
      </c>
      <c r="AI331" s="1794">
        <v>699.58</v>
      </c>
      <c r="AJ331" s="1794">
        <v>0</v>
      </c>
      <c r="AK331" s="1794">
        <v>0</v>
      </c>
      <c r="AL331" s="1794">
        <v>0</v>
      </c>
      <c r="AM331" s="1794">
        <v>0</v>
      </c>
      <c r="AN331" s="1764"/>
      <c r="AO331" s="1764"/>
      <c r="AP331" s="1808">
        <f t="shared" si="155"/>
        <v>1.25</v>
      </c>
      <c r="AQ331" s="1810">
        <f>IF(AP331&gt;[11]核心假设及结论!$B$59,[11]核心假设及结论!$D$59,IF(AP331&lt;=[11]核心假设及结论!$B$58,[11]核心假设及结论!$D$57,[11]核心假设及结论!$D$58))</f>
        <v>1.0069999999999999</v>
      </c>
      <c r="AR331" s="1809">
        <f t="shared" si="156"/>
        <v>638.75</v>
      </c>
      <c r="AS331" s="1809">
        <f>AH331*(AS$2&lt;=YEAR($K331))+AR331*$AQ331*(AS$2=YEAR($K331)+1)+INDEX([11]核心假设及结论!$E$17:$E$21,MATCH($D331,[11]核心假设及结论!$B$17:$B$21,0))*(AS$2&gt;YEAR($K331)+1)*AR331</f>
        <v>669.17</v>
      </c>
      <c r="AT331" s="1809">
        <f>AI331*(AT$2&lt;=YEAR($K331))+AS331*$AQ331*(AT$2=YEAR($K331)+1)+INDEX([11]核心假设及结论!$E$17:$E$21,MATCH($D331,[11]核心假设及结论!$B$17:$B$21,0))*(AT$2&gt;YEAR($K331)+1)*AS331</f>
        <v>699.58</v>
      </c>
      <c r="AU331" s="1811">
        <f>AJ331*(AU$2&lt;=YEAR($K331))+AT331*$AQ331*(AU$2=YEAR($K331)+1)+INDEX([11]核心假设及结论!$E$17:$E$21,MATCH($D331,[11]核心假设及结论!$B$17:$B$21,0))*(AU$2&gt;YEAR($K331)+1)*AT331</f>
        <v>704.47705999999994</v>
      </c>
      <c r="AV331" s="1809">
        <f>AK331*(AV$2&lt;=YEAR($K331))+AU331*$AQ331*(AV$2=YEAR($K331)+1)+INDEX([11]核心假设及结论!$E$17:$E$21,MATCH($D331,[11]核心假设及结论!$B$17:$B$21,0))*(AV$2&gt;YEAR($K331)+1)*AU331</f>
        <v>723.55041782576984</v>
      </c>
      <c r="AW331" s="1809">
        <f>AL331*(AW$2&lt;=YEAR($K331))+AV331*$AQ331*(AW$2=YEAR($K331)+1)+INDEX([11]核心假设及结论!$E$17:$E$21,MATCH($D331,[11]核心假设及结论!$B$17:$B$21,0))*(AW$2&gt;YEAR($K331)+1)*AV331</f>
        <v>743.14017710647113</v>
      </c>
      <c r="AX331" s="1809">
        <f>AM331*(AX$2&lt;=YEAR($K331))+AW331*$AQ331*(AX$2=YEAR($K331)+1)+INDEX([11]核心假设及结论!$E$17:$E$21,MATCH($D331,[11]核心假设及结论!$B$17:$B$21,0))*(AX$2&gt;YEAR($K331)+1)*AW331</f>
        <v>763.26031914865166</v>
      </c>
      <c r="AZ331" s="1746">
        <f t="shared" si="146"/>
        <v>46632</v>
      </c>
      <c r="BA331" s="1817">
        <f t="shared" si="147"/>
        <v>45658</v>
      </c>
      <c r="BB331" s="1817">
        <f t="shared" si="148"/>
        <v>45902</v>
      </c>
      <c r="BC331" s="1817">
        <f t="shared" si="149"/>
        <v>46022</v>
      </c>
      <c r="BD331" s="1818">
        <f t="shared" si="150"/>
        <v>245</v>
      </c>
      <c r="BE331" s="1818">
        <f t="shared" si="151"/>
        <v>120</v>
      </c>
      <c r="BG331" s="1777">
        <f t="shared" si="137"/>
        <v>77.071630191780812</v>
      </c>
      <c r="BH331" s="1777">
        <f t="shared" si="139"/>
        <v>80.685135616438345</v>
      </c>
      <c r="BI331" s="1777">
        <f t="shared" si="139"/>
        <v>83.301371088657547</v>
      </c>
      <c r="BJ331" s="1777">
        <f t="shared" si="139"/>
        <v>84.436833054477191</v>
      </c>
      <c r="BK331" s="1777">
        <f t="shared" si="138"/>
        <v>86.722917331689615</v>
      </c>
      <c r="BL331" s="1777">
        <f t="shared" si="138"/>
        <v>89.070896177107201</v>
      </c>
      <c r="BM331" s="1777">
        <f t="shared" si="138"/>
        <v>60.864259860659331</v>
      </c>
      <c r="BO331" s="1739">
        <f t="shared" si="152"/>
        <v>2027</v>
      </c>
      <c r="BP331" s="1742">
        <f>_xlfn.IFNA(INDEX($AR331:$AX331,MATCH(BO331,$AR$2:$AX$2,0))*12/365*[11]核心假设及结论!$C$70*$H331,0)</f>
        <v>68309.674520547953</v>
      </c>
      <c r="BR331" s="1739">
        <f t="shared" si="157"/>
        <v>2030</v>
      </c>
      <c r="BS331" s="1742">
        <f>_xlfn.IFNA(INDEX($AR331:$AX331,MATCH(BR331,$AR$2:$AX$2,0))*12/365*[11]核心假设及结论!$C$70*$H331,0)</f>
        <v>72563.057293355145</v>
      </c>
      <c r="BU331" s="1739">
        <f t="shared" si="158"/>
        <v>2033</v>
      </c>
      <c r="BV331" s="1742">
        <f>_xlfn.IFNA(INDEX($AR331:$AX331,MATCH(BU331,$AR$2:$AX$2,0))*12/365*[11]核心假设及结论!$C$70*$H331,0)</f>
        <v>0</v>
      </c>
      <c r="BX331" s="1739">
        <f t="shared" si="159"/>
        <v>2036</v>
      </c>
      <c r="BY331" s="1742">
        <f>_xlfn.IFNA(INDEX($AR331:$AX331,MATCH(BX331,$AR$2:$AX$2,0))*12/365*[11]核心假设及结论!$C$70*$H331,0)</f>
        <v>0</v>
      </c>
      <c r="CA331" s="1739">
        <f t="shared" si="160"/>
        <v>2039</v>
      </c>
      <c r="CB331" s="1742">
        <f>_xlfn.IFNA(INDEX($AR331:$AX331,MATCH(CA331,$AR$2:$AX$2,0))*12/365*[11]核心假设及结论!$C$70*$H331,0)</f>
        <v>0</v>
      </c>
    </row>
    <row r="332" spans="1:80" ht="30" customHeight="1">
      <c r="A332" s="1756" t="s">
        <v>1662</v>
      </c>
      <c r="B332" s="1757" t="s">
        <v>2359</v>
      </c>
      <c r="C332" s="1756" t="s">
        <v>2360</v>
      </c>
      <c r="D332" s="1756" t="s">
        <v>1685</v>
      </c>
      <c r="E332" s="1758" t="s">
        <v>1871</v>
      </c>
      <c r="F332" s="1759"/>
      <c r="G332" s="1760" t="s">
        <v>1661</v>
      </c>
      <c r="H332" s="1761">
        <v>99</v>
      </c>
      <c r="I332" s="1761" t="s">
        <v>2356</v>
      </c>
      <c r="J332" s="1773">
        <v>44525</v>
      </c>
      <c r="K332" s="1773">
        <v>46350</v>
      </c>
      <c r="L332" s="1764">
        <f t="shared" si="142"/>
        <v>60</v>
      </c>
      <c r="M332" s="1774">
        <f t="shared" si="153"/>
        <v>62438.31</v>
      </c>
      <c r="N332" s="1775">
        <f t="shared" si="154"/>
        <v>517.07000000000005</v>
      </c>
      <c r="O332" s="1760">
        <v>51189.93</v>
      </c>
      <c r="P332" s="1776">
        <v>0.05</v>
      </c>
      <c r="Q332" s="1783">
        <f t="shared" si="143"/>
        <v>95</v>
      </c>
      <c r="R332" s="1784">
        <v>9405</v>
      </c>
      <c r="S332" s="1777">
        <f t="shared" si="144"/>
        <v>18.62</v>
      </c>
      <c r="T332" s="1777">
        <v>1843.38</v>
      </c>
      <c r="U332" s="1777"/>
      <c r="V332" s="1785">
        <v>763700.83333333302</v>
      </c>
      <c r="W332" s="1785">
        <f t="shared" si="145"/>
        <v>7714.1498316498282</v>
      </c>
      <c r="X332" s="1786">
        <f>(N332+Q332+S332)*H332/V332</f>
        <v>8.1757551222610109E-2</v>
      </c>
      <c r="Y332" s="1789">
        <f>VLOOKUP(E332,[11]核心假设及结论!$C$25:$E$45,3,0)</f>
        <v>0.2</v>
      </c>
      <c r="Z332" s="1790">
        <f t="shared" si="140"/>
        <v>57214.079999999994</v>
      </c>
      <c r="AA332" s="1790">
        <f t="shared" si="140"/>
        <v>58929.75</v>
      </c>
      <c r="AB332" s="1790">
        <f t="shared" si="140"/>
        <v>0</v>
      </c>
      <c r="AC332" s="1790">
        <f t="shared" si="140"/>
        <v>0</v>
      </c>
      <c r="AD332" s="1790">
        <f t="shared" si="140"/>
        <v>0</v>
      </c>
      <c r="AE332" s="1790">
        <f t="shared" si="140"/>
        <v>0</v>
      </c>
      <c r="AF332" s="1790">
        <f t="shared" si="140"/>
        <v>0</v>
      </c>
      <c r="AG332" s="1794">
        <v>577.91999999999996</v>
      </c>
      <c r="AH332" s="1794">
        <v>595.25</v>
      </c>
      <c r="AI332" s="1794">
        <v>0</v>
      </c>
      <c r="AJ332" s="1794">
        <v>0</v>
      </c>
      <c r="AK332" s="1794">
        <v>0</v>
      </c>
      <c r="AL332" s="1794">
        <v>0</v>
      </c>
      <c r="AM332" s="1794">
        <v>0</v>
      </c>
      <c r="AN332" s="1795"/>
      <c r="AO332" s="1795"/>
      <c r="AP332" s="1808">
        <f t="shared" si="155"/>
        <v>0.40878775611305052</v>
      </c>
      <c r="AQ332" s="1810">
        <f>IF(AP332&gt;[11]核心假设及结论!$B$59,[11]核心假设及结论!$D$59,IF(AP332&lt;=[11]核心假设及结论!$B$58,[11]核心假设及结论!$D$57,[11]核心假设及结论!$D$58))</f>
        <v>1.0342640124442799</v>
      </c>
      <c r="AR332" s="1809">
        <f t="shared" si="156"/>
        <v>577.91999999999996</v>
      </c>
      <c r="AS332" s="1809">
        <f>AH332*(AS$2&lt;=YEAR($K332))+AR332*$AQ332*(AS$2=YEAR($K332)+1)+INDEX([11]核心假设及结论!$E$17:$E$21,MATCH($D332,[11]核心假设及结论!$B$17:$B$21,0))*(AS$2&gt;YEAR($K332)+1)*AR332</f>
        <v>595.25</v>
      </c>
      <c r="AT332" s="1811">
        <f>AI332*(AT$2&lt;=YEAR($K332))+AS332*$AQ332*(AT$2=YEAR($K332)+1)+INDEX([11]核心假设及结论!$E$17:$E$21,MATCH($D332,[11]核心假设及结论!$B$17:$B$21,0))*(AT$2&gt;YEAR($K332)+1)*AS332</f>
        <v>615.64565340745764</v>
      </c>
      <c r="AU332" s="1809">
        <f>AJ332*(AU$2&lt;=YEAR($K332))+AT332*$AQ332*(AU$2=YEAR($K332)+1)+INDEX([11]核心假设及结论!$E$17:$E$21,MATCH($D332,[11]核心假设及结论!$B$17:$B$21,0))*(AU$2&gt;YEAR($K332)+1)*AT332</f>
        <v>632.31394611427811</v>
      </c>
      <c r="AV332" s="1809">
        <f>AK332*(AV$2&lt;=YEAR($K332))+AU332*$AQ332*(AV$2=YEAR($K332)+1)+INDEX([11]核心假设及结论!$E$17:$E$21,MATCH($D332,[11]核心假设及结论!$B$17:$B$21,0))*(AV$2&gt;YEAR($K332)+1)*AU332</f>
        <v>649.43352436209523</v>
      </c>
      <c r="AW332" s="1809">
        <f>AL332*(AW$2&lt;=YEAR($K332))+AV332*$AQ332*(AW$2=YEAR($K332)+1)+INDEX([11]核心假设及结论!$E$17:$E$21,MATCH($D332,[11]核心假设及结论!$B$17:$B$21,0))*(AW$2&gt;YEAR($K332)+1)*AV332</f>
        <v>667.01660647723043</v>
      </c>
      <c r="AX332" s="1809">
        <f>AM332*(AX$2&lt;=YEAR($K332))+AW332*$AQ332*(AX$2=YEAR($K332)+1)+INDEX([11]核心假设及结论!$E$17:$E$21,MATCH($D332,[11]核心假设及结论!$B$17:$B$21,0))*(AX$2&gt;YEAR($K332)+1)*AW332</f>
        <v>685.07574159097135</v>
      </c>
      <c r="AZ332" s="1746">
        <f t="shared" si="146"/>
        <v>46350</v>
      </c>
      <c r="BA332" s="1817">
        <f t="shared" si="147"/>
        <v>45658</v>
      </c>
      <c r="BB332" s="1817">
        <f t="shared" si="148"/>
        <v>45985</v>
      </c>
      <c r="BC332" s="1841">
        <f t="shared" si="149"/>
        <v>46022</v>
      </c>
      <c r="BD332" s="1842">
        <f t="shared" si="150"/>
        <v>328</v>
      </c>
      <c r="BE332" s="1842">
        <f t="shared" si="151"/>
        <v>37</v>
      </c>
      <c r="BG332" s="1843">
        <f t="shared" si="137"/>
        <v>68.865596679452054</v>
      </c>
      <c r="BH332" s="1843">
        <f t="shared" si="139"/>
        <v>70.961319545528269</v>
      </c>
      <c r="BI332" s="1843">
        <f t="shared" si="139"/>
        <v>73.339435535551459</v>
      </c>
      <c r="BJ332" s="1843">
        <f t="shared" si="139"/>
        <v>75.325063423434074</v>
      </c>
      <c r="BK332" s="1843">
        <f t="shared" si="138"/>
        <v>77.364451175710855</v>
      </c>
      <c r="BL332" s="1843">
        <f t="shared" si="138"/>
        <v>79.459054313346925</v>
      </c>
      <c r="BM332" s="1843">
        <f t="shared" si="138"/>
        <v>73.136809252412135</v>
      </c>
      <c r="BO332" s="1739">
        <f t="shared" si="152"/>
        <v>2026</v>
      </c>
      <c r="BP332" s="1742">
        <f>_xlfn.IFNA(INDEX($AR332:$AX332,MATCH(BO332,$AR$2:$AX$2,0))*12/365*[11]核心假设及结论!$C$70*$H332,0)</f>
        <v>58122.493150684932</v>
      </c>
      <c r="BR332" s="1739">
        <f t="shared" si="157"/>
        <v>2031</v>
      </c>
      <c r="BS332" s="1742">
        <f>_xlfn.IFNA(INDEX($AR332:$AX332,MATCH(BR332,$AR$2:$AX$2,0))*12/365*[11]核心假设及结论!$C$70*$H332,0)</f>
        <v>66893.423096718412</v>
      </c>
      <c r="BU332" s="1739">
        <f t="shared" si="158"/>
        <v>2036</v>
      </c>
      <c r="BV332" s="1742">
        <f>_xlfn.IFNA(INDEX($AR332:$AX332,MATCH(BU332,$AR$2:$AX$2,0))*12/365*[11]核心假设及结论!$C$70*$H332,0)</f>
        <v>0</v>
      </c>
      <c r="BX332" s="1739">
        <f t="shared" si="159"/>
        <v>2041</v>
      </c>
      <c r="BY332" s="1742">
        <f>_xlfn.IFNA(INDEX($AR332:$AX332,MATCH(BX332,$AR$2:$AX$2,0))*12/365*[11]核心假设及结论!$C$70*$H332,0)</f>
        <v>0</v>
      </c>
      <c r="CA332" s="1739">
        <f t="shared" si="160"/>
        <v>2046</v>
      </c>
      <c r="CB332" s="1742">
        <f>_xlfn.IFNA(INDEX($AR332:$AX332,MATCH(CA332,$AR$2:$AX$2,0))*12/365*[11]核心假设及结论!$C$70*$H332,0)</f>
        <v>0</v>
      </c>
    </row>
    <row r="333" spans="1:80" ht="33" customHeight="1">
      <c r="A333" s="1756" t="s">
        <v>1666</v>
      </c>
      <c r="B333" s="1757" t="s">
        <v>2361</v>
      </c>
      <c r="C333" s="1756" t="s">
        <v>2362</v>
      </c>
      <c r="D333" s="1756" t="s">
        <v>1685</v>
      </c>
      <c r="E333" s="1758" t="s">
        <v>1735</v>
      </c>
      <c r="F333" s="1759"/>
      <c r="G333" s="1760" t="s">
        <v>1661</v>
      </c>
      <c r="H333" s="1761">
        <v>99</v>
      </c>
      <c r="I333" s="1761" t="s">
        <v>2356</v>
      </c>
      <c r="J333" s="1773">
        <v>45323</v>
      </c>
      <c r="K333" s="1773">
        <v>46310</v>
      </c>
      <c r="L333" s="1764">
        <f t="shared" si="142"/>
        <v>33</v>
      </c>
      <c r="M333" s="1774">
        <f t="shared" si="153"/>
        <v>61856.189999999995</v>
      </c>
      <c r="N333" s="1775">
        <f t="shared" si="154"/>
        <v>517.07999999999993</v>
      </c>
      <c r="O333" s="1760">
        <v>51190.92</v>
      </c>
      <c r="P333" s="1776">
        <v>0.18</v>
      </c>
      <c r="Q333" s="1783">
        <f t="shared" si="143"/>
        <v>90</v>
      </c>
      <c r="R333" s="1784">
        <v>8910</v>
      </c>
      <c r="S333" s="1777">
        <f t="shared" si="144"/>
        <v>17.73</v>
      </c>
      <c r="T333" s="1777">
        <v>1755.27</v>
      </c>
      <c r="U333" s="1777"/>
      <c r="V333" s="1785">
        <v>130547.86</v>
      </c>
      <c r="W333" s="1785">
        <f t="shared" si="145"/>
        <v>1318.6652525252525</v>
      </c>
      <c r="X333" s="1786">
        <f>(N333+Q333+S333)*H333/V333</f>
        <v>0.47382002278704527</v>
      </c>
      <c r="Y333" s="1789">
        <f>VLOOKUP(E333,[11]核心假设及结论!$C$25:$E$45,3,0)</f>
        <v>0.2</v>
      </c>
      <c r="Z333" s="1790">
        <f t="shared" si="140"/>
        <v>54202.5</v>
      </c>
      <c r="AA333" s="1790">
        <f t="shared" si="140"/>
        <v>57214.079999999994</v>
      </c>
      <c r="AB333" s="1790">
        <f t="shared" si="140"/>
        <v>0</v>
      </c>
      <c r="AC333" s="1790">
        <f t="shared" si="140"/>
        <v>0</v>
      </c>
      <c r="AD333" s="1790">
        <f t="shared" si="140"/>
        <v>0</v>
      </c>
      <c r="AE333" s="1790">
        <f t="shared" si="140"/>
        <v>0</v>
      </c>
      <c r="AF333" s="1790">
        <f t="shared" si="140"/>
        <v>0</v>
      </c>
      <c r="AG333" s="1794">
        <v>547.5</v>
      </c>
      <c r="AH333" s="1794">
        <v>577.91999999999996</v>
      </c>
      <c r="AI333" s="1794">
        <v>0</v>
      </c>
      <c r="AJ333" s="1794">
        <v>0</v>
      </c>
      <c r="AK333" s="1794">
        <v>0</v>
      </c>
      <c r="AL333" s="1794">
        <v>0</v>
      </c>
      <c r="AM333" s="1794">
        <v>0</v>
      </c>
      <c r="AN333" s="1795"/>
      <c r="AO333" s="1795"/>
      <c r="AP333" s="1808">
        <f t="shared" si="155"/>
        <v>2.3691001139352261</v>
      </c>
      <c r="AQ333" s="1810">
        <f>IF(AP333&gt;[11]核心假设及结论!$B$59,[11]核心假设及结论!$D$59,IF(AP333&lt;=[11]核心假设及结论!$B$58,[11]核心假设及结论!$D$57,[11]核心假设及结论!$D$58))</f>
        <v>1</v>
      </c>
      <c r="AR333" s="1809">
        <f t="shared" si="156"/>
        <v>547.5</v>
      </c>
      <c r="AS333" s="1809">
        <f>AH333*(AS$2&lt;=YEAR($K333))+AR333*$AQ333*(AS$2=YEAR($K333)+1)+INDEX([11]核心假设及结论!$E$17:$E$21,MATCH($D333,[11]核心假设及结论!$B$17:$B$21,0))*(AS$2&gt;YEAR($K333)+1)*AR333</f>
        <v>577.91999999999996</v>
      </c>
      <c r="AT333" s="1811">
        <f>AI333*(AT$2&lt;=YEAR($K333))+AS333*$AQ333*(AT$2=YEAR($K333)+1)+INDEX([11]核心假设及结论!$E$17:$E$21,MATCH($D333,[11]核心假设及结论!$B$17:$B$21,0))*(AT$2&gt;YEAR($K333)+1)*AS333</f>
        <v>577.91999999999996</v>
      </c>
      <c r="AU333" s="1809">
        <f>AJ333*(AU$2&lt;=YEAR($K333))+AT333*$AQ333*(AU$2=YEAR($K333)+1)+INDEX([11]核心假设及结论!$E$17:$E$21,MATCH($D333,[11]核心假设及结论!$B$17:$B$21,0))*(AU$2&gt;YEAR($K333)+1)*AT333</f>
        <v>593.56688984289838</v>
      </c>
      <c r="AV333" s="1809">
        <f>AK333*(AV$2&lt;=YEAR($K333))+AU333*$AQ333*(AV$2=YEAR($K333)+1)+INDEX([11]核心假设及结论!$E$17:$E$21,MATCH($D333,[11]核心假设及结论!$B$17:$B$21,0))*(AV$2&gt;YEAR($K333)+1)*AU333</f>
        <v>609.63741126413947</v>
      </c>
      <c r="AW333" s="1809">
        <f>AL333*(AW$2&lt;=YEAR($K333))+AV333*$AQ333*(AW$2=YEAR($K333)+1)+INDEX([11]核心假设及结论!$E$17:$E$21,MATCH($D333,[11]核心假设及结论!$B$17:$B$21,0))*(AW$2&gt;YEAR($K333)+1)*AV333</f>
        <v>626.14303387308144</v>
      </c>
      <c r="AX333" s="1809">
        <f>AM333*(AX$2&lt;=YEAR($K333))+AW333*$AQ333*(AX$2=YEAR($K333)+1)+INDEX([11]核心假设及结论!$E$17:$E$21,MATCH($D333,[11]核心假设及结论!$B$17:$B$21,0))*(AX$2&gt;YEAR($K333)+1)*AW333</f>
        <v>643.09553781291788</v>
      </c>
      <c r="AY333" s="1763"/>
      <c r="AZ333" s="1746">
        <f t="shared" si="146"/>
        <v>46310</v>
      </c>
      <c r="BA333" s="1817">
        <f t="shared" si="147"/>
        <v>45658</v>
      </c>
      <c r="BB333" s="1817">
        <f t="shared" si="148"/>
        <v>45945</v>
      </c>
      <c r="BC333" s="1841">
        <f t="shared" si="149"/>
        <v>46022</v>
      </c>
      <c r="BD333" s="1842">
        <f t="shared" si="150"/>
        <v>288</v>
      </c>
      <c r="BE333" s="1842">
        <f t="shared" si="151"/>
        <v>77</v>
      </c>
      <c r="BF333" s="1763"/>
      <c r="BG333" s="1843">
        <f t="shared" si="137"/>
        <v>65.805383539726023</v>
      </c>
      <c r="BH333" s="1843">
        <f t="shared" si="139"/>
        <v>68.656896000000003</v>
      </c>
      <c r="BI333" s="1843">
        <f t="shared" si="139"/>
        <v>69.049037067196977</v>
      </c>
      <c r="BJ333" s="1843">
        <f t="shared" si="139"/>
        <v>70.918504600330692</v>
      </c>
      <c r="BK333" s="1843">
        <f t="shared" si="138"/>
        <v>72.838587015378565</v>
      </c>
      <c r="BL333" s="1843">
        <f t="shared" si="138"/>
        <v>74.810654684505778</v>
      </c>
      <c r="BM333" s="1843">
        <f t="shared" si="138"/>
        <v>60.282542380674798</v>
      </c>
      <c r="BO333" s="1739">
        <f t="shared" si="152"/>
        <v>2026</v>
      </c>
      <c r="BP333" s="1742">
        <f>_xlfn.IFNA(INDEX($AR333:$AX333,MATCH(BO333,$AR$2:$AX$2,0))*12/365*[11]核心假设及结论!$C$70*$H333,0)</f>
        <v>56430.325479452047</v>
      </c>
      <c r="BR333" s="1739">
        <f t="shared" si="157"/>
        <v>2029</v>
      </c>
      <c r="BS333" s="1742">
        <f>_xlfn.IFNA(INDEX($AR333:$AX333,MATCH(BR333,$AR$2:$AX$2,0))*12/365*[11]核心假设及结论!$C$70*$H333,0)</f>
        <v>59527.335171106664</v>
      </c>
      <c r="BU333" s="1739">
        <f t="shared" si="158"/>
        <v>2032</v>
      </c>
      <c r="BV333" s="1742">
        <f>_xlfn.IFNA(INDEX($AR333:$AX333,MATCH(BU333,$AR$2:$AX$2,0))*12/365*[11]核心假设及结论!$C$70*$H333,0)</f>
        <v>0</v>
      </c>
      <c r="BX333" s="1739">
        <f t="shared" si="159"/>
        <v>2035</v>
      </c>
      <c r="BY333" s="1742">
        <f>_xlfn.IFNA(INDEX($AR333:$AX333,MATCH(BX333,$AR$2:$AX$2,0))*12/365*[11]核心假设及结论!$C$70*$H333,0)</f>
        <v>0</v>
      </c>
      <c r="CA333" s="1739">
        <f t="shared" si="160"/>
        <v>2038</v>
      </c>
      <c r="CB333" s="1742">
        <f>_xlfn.IFNA(INDEX($AR333:$AX333,MATCH(CA333,$AR$2:$AX$2,0))*12/365*[11]核心假设及结论!$C$70*$H333,0)</f>
        <v>0</v>
      </c>
    </row>
    <row r="334" spans="1:80" ht="33" customHeight="1">
      <c r="A334" s="1756" t="s">
        <v>1666</v>
      </c>
      <c r="B334" s="1757" t="s">
        <v>2363</v>
      </c>
      <c r="C334" s="1756" t="s">
        <v>2364</v>
      </c>
      <c r="D334" s="1756" t="s">
        <v>1685</v>
      </c>
      <c r="E334" s="1758" t="s">
        <v>1692</v>
      </c>
      <c r="F334" s="1759"/>
      <c r="G334" s="1760" t="s">
        <v>1661</v>
      </c>
      <c r="H334" s="1761">
        <v>98</v>
      </c>
      <c r="I334" s="1761" t="s">
        <v>2356</v>
      </c>
      <c r="J334" s="1773">
        <v>44928</v>
      </c>
      <c r="K334" s="1773">
        <v>46023</v>
      </c>
      <c r="L334" s="1764">
        <f t="shared" si="142"/>
        <v>36</v>
      </c>
      <c r="M334" s="1774">
        <f t="shared" si="153"/>
        <v>85595.16</v>
      </c>
      <c r="N334" s="1775">
        <f t="shared" si="154"/>
        <v>760.42000000000007</v>
      </c>
      <c r="O334" s="1760">
        <v>74521.16</v>
      </c>
      <c r="P334" s="1776">
        <v>0.18</v>
      </c>
      <c r="Q334" s="1783">
        <f t="shared" si="143"/>
        <v>95</v>
      </c>
      <c r="R334" s="1784">
        <v>9310</v>
      </c>
      <c r="S334" s="1777">
        <f t="shared" si="144"/>
        <v>18</v>
      </c>
      <c r="T334" s="1777">
        <v>1764</v>
      </c>
      <c r="U334" s="1777"/>
      <c r="V334" s="1785">
        <v>317131.20500000002</v>
      </c>
      <c r="W334" s="1785">
        <f t="shared" si="145"/>
        <v>3236.0327040816328</v>
      </c>
      <c r="X334" s="1786">
        <f>(N334+Q334+S334)*H334/V334</f>
        <v>0.26990456520984746</v>
      </c>
      <c r="Y334" s="1789">
        <f>VLOOKUP(E334,[11]核心假设及结论!$C$25:$E$45,3,0)</f>
        <v>0.2</v>
      </c>
      <c r="Z334" s="1790">
        <f t="shared" si="140"/>
        <v>76011.740000000005</v>
      </c>
      <c r="AA334" s="1790">
        <f t="shared" si="140"/>
        <v>78291.22</v>
      </c>
      <c r="AB334" s="1790">
        <f t="shared" si="140"/>
        <v>0</v>
      </c>
      <c r="AC334" s="1790">
        <f t="shared" si="140"/>
        <v>0</v>
      </c>
      <c r="AD334" s="1790">
        <f t="shared" si="140"/>
        <v>0</v>
      </c>
      <c r="AE334" s="1790">
        <f t="shared" si="140"/>
        <v>0</v>
      </c>
      <c r="AF334" s="1790">
        <f t="shared" si="140"/>
        <v>0</v>
      </c>
      <c r="AG334" s="1794">
        <v>775.63</v>
      </c>
      <c r="AH334" s="1794">
        <v>798.89</v>
      </c>
      <c r="AI334" s="1794">
        <v>0</v>
      </c>
      <c r="AJ334" s="1794">
        <v>0</v>
      </c>
      <c r="AK334" s="1794">
        <v>0</v>
      </c>
      <c r="AL334" s="1794">
        <v>0</v>
      </c>
      <c r="AM334" s="1794">
        <v>0</v>
      </c>
      <c r="AN334" s="1795"/>
      <c r="AO334" s="1795"/>
      <c r="AP334" s="1808">
        <f t="shared" si="155"/>
        <v>1.3495228260492371</v>
      </c>
      <c r="AQ334" s="1810">
        <f>IF(AP334&gt;[11]核心假设及结论!$B$59,[11]核心假设及结论!$D$59,IF(AP334&lt;=[11]核心假设及结论!$B$58,[11]核心假设及结论!$D$57,[11]核心假设及结论!$D$58))</f>
        <v>1.0069999999999999</v>
      </c>
      <c r="AR334" s="1809">
        <f t="shared" si="156"/>
        <v>775.63</v>
      </c>
      <c r="AS334" s="1809">
        <f>AH334*(AS$2&lt;=YEAR($K334))+AR334*$AQ334*(AS$2=YEAR($K334)+1)+INDEX([11]核心假设及结论!$E$17:$E$21,MATCH($D334,[11]核心假设及结论!$B$17:$B$21,0))*(AS$2&gt;YEAR($K334)+1)*AR334</f>
        <v>798.89</v>
      </c>
      <c r="AT334" s="1811">
        <f>AI334*(AT$2&lt;=YEAR($K334))+AS334*$AQ334*(AT$2=YEAR($K334)+1)+INDEX([11]核心假设及结论!$E$17:$E$21,MATCH($D334,[11]核心假设及结论!$B$17:$B$21,0))*(AT$2&gt;YEAR($K334)+1)*AS334</f>
        <v>804.48222999999996</v>
      </c>
      <c r="AU334" s="1809">
        <f>AJ334*(AU$2&lt;=YEAR($K334))+AT334*$AQ334*(AU$2=YEAR($K334)+1)+INDEX([11]核心假设及结论!$E$17:$E$21,MATCH($D334,[11]核心假设及结论!$B$17:$B$21,0))*(AU$2&gt;YEAR($K334)+1)*AT334</f>
        <v>826.26317690161136</v>
      </c>
      <c r="AV334" s="1809">
        <f>AK334*(AV$2&lt;=YEAR($K334))+AU334*$AQ334*(AV$2=YEAR($K334)+1)+INDEX([11]核心假设及结论!$E$17:$E$21,MATCH($D334,[11]核心假设及结论!$B$17:$B$21,0))*(AV$2&gt;YEAR($K334)+1)*AU334</f>
        <v>848.63383185423936</v>
      </c>
      <c r="AW334" s="1809">
        <f>AL334*(AW$2&lt;=YEAR($K334))+AV334*$AQ334*(AW$2=YEAR($K334)+1)+INDEX([11]核心假设及结论!$E$17:$E$21,MATCH($D334,[11]核心假设及结论!$B$17:$B$21,0))*(AW$2&gt;YEAR($K334)+1)*AV334</f>
        <v>871.61016090320811</v>
      </c>
      <c r="AX334" s="1809">
        <f>AM334*(AX$2&lt;=YEAR($K334))+AW334*$AQ334*(AX$2=YEAR($K334)+1)+INDEX([11]核心假设及结论!$E$17:$E$21,MATCH($D334,[11]核心假设及结论!$B$17:$B$21,0))*(AX$2&gt;YEAR($K334)+1)*AW334</f>
        <v>895.20856236639236</v>
      </c>
      <c r="AZ334" s="1746">
        <f t="shared" si="146"/>
        <v>46023</v>
      </c>
      <c r="BA334" s="1817">
        <f t="shared" si="147"/>
        <v>45658</v>
      </c>
      <c r="BB334" s="1817">
        <f t="shared" si="148"/>
        <v>45658</v>
      </c>
      <c r="BC334" s="1841">
        <f t="shared" si="149"/>
        <v>46022</v>
      </c>
      <c r="BD334" s="1842">
        <f t="shared" si="150"/>
        <v>1</v>
      </c>
      <c r="BE334" s="1842">
        <f t="shared" si="151"/>
        <v>364</v>
      </c>
      <c r="BG334" s="1843">
        <f t="shared" si="137"/>
        <v>93.941969819178098</v>
      </c>
      <c r="BH334" s="1843">
        <f t="shared" si="139"/>
        <v>94.605308477457513</v>
      </c>
      <c r="BI334" s="1843">
        <f t="shared" si="139"/>
        <v>97.161531961559291</v>
      </c>
      <c r="BJ334" s="1843">
        <f t="shared" si="139"/>
        <v>99.792130984901206</v>
      </c>
      <c r="BK334" s="1843">
        <f t="shared" si="138"/>
        <v>102.49395213784425</v>
      </c>
      <c r="BL334" s="1843">
        <f t="shared" si="138"/>
        <v>105.26892372329577</v>
      </c>
      <c r="BM334" s="1843">
        <f t="shared" si="138"/>
        <v>0.28842884091585685</v>
      </c>
      <c r="BO334" s="1739">
        <f t="shared" si="152"/>
        <v>2026</v>
      </c>
      <c r="BP334" s="1742">
        <f>_xlfn.IFNA(INDEX($AR334:$AX334,MATCH(BO334,$AR$2:$AX$2,0))*12/365*[11]核心假设及结论!$C$70*$H334,0)</f>
        <v>77218.737534246582</v>
      </c>
      <c r="BR334" s="1739">
        <f t="shared" si="157"/>
        <v>2029</v>
      </c>
      <c r="BS334" s="1742">
        <f>_xlfn.IFNA(INDEX($AR334:$AX334,MATCH(BR334,$AR$2:$AX$2,0))*12/365*[11]核心假设及结论!$C$70*$H334,0)</f>
        <v>82026.853665253599</v>
      </c>
      <c r="BU334" s="1739">
        <f t="shared" si="158"/>
        <v>2032</v>
      </c>
      <c r="BV334" s="1742">
        <f>_xlfn.IFNA(INDEX($AR334:$AX334,MATCH(BU334,$AR$2:$AX$2,0))*12/365*[11]核心假设及结论!$C$70*$H334,0)</f>
        <v>0</v>
      </c>
      <c r="BX334" s="1739">
        <f t="shared" si="159"/>
        <v>2035</v>
      </c>
      <c r="BY334" s="1742">
        <f>_xlfn.IFNA(INDEX($AR334:$AX334,MATCH(BX334,$AR$2:$AX$2,0))*12/365*[11]核心假设及结论!$C$70*$H334,0)</f>
        <v>0</v>
      </c>
      <c r="CA334" s="1739">
        <f t="shared" si="160"/>
        <v>2038</v>
      </c>
      <c r="CB334" s="1742">
        <f>_xlfn.IFNA(INDEX($AR334:$AX334,MATCH(CA334,$AR$2:$AX$2,0))*12/365*[11]核心假设及结论!$C$70*$H334,0)</f>
        <v>0</v>
      </c>
    </row>
    <row r="335" spans="1:80" ht="30" customHeight="1">
      <c r="A335" s="1756" t="s">
        <v>1687</v>
      </c>
      <c r="B335" s="1757" t="s">
        <v>2365</v>
      </c>
      <c r="C335" s="1756" t="s">
        <v>2366</v>
      </c>
      <c r="D335" s="1756" t="s">
        <v>1685</v>
      </c>
      <c r="E335" s="1758" t="s">
        <v>1888</v>
      </c>
      <c r="F335" s="1759"/>
      <c r="G335" s="1760" t="s">
        <v>1661</v>
      </c>
      <c r="H335" s="1761">
        <v>97</v>
      </c>
      <c r="I335" s="1761" t="s">
        <v>2356</v>
      </c>
      <c r="J335" s="1773">
        <v>44652</v>
      </c>
      <c r="K335" s="1773">
        <v>45747</v>
      </c>
      <c r="L335" s="1764">
        <f t="shared" si="142"/>
        <v>36</v>
      </c>
      <c r="M335" s="1774">
        <f t="shared" si="153"/>
        <v>93733.137000000002</v>
      </c>
      <c r="N335" s="1775">
        <f t="shared" si="154"/>
        <v>851.77</v>
      </c>
      <c r="O335" s="1760">
        <v>82621.69</v>
      </c>
      <c r="P335" s="1776">
        <v>0.18</v>
      </c>
      <c r="Q335" s="1783">
        <f t="shared" si="143"/>
        <v>95</v>
      </c>
      <c r="R335" s="1784">
        <v>9215</v>
      </c>
      <c r="S335" s="1777">
        <f t="shared" si="144"/>
        <v>19.550999999999998</v>
      </c>
      <c r="T335" s="1784">
        <v>1896.4469999999999</v>
      </c>
      <c r="U335" s="1777"/>
      <c r="V335" s="1785">
        <v>190064.33749999999</v>
      </c>
      <c r="W335" s="1785">
        <f t="shared" si="145"/>
        <v>1959.4261597938143</v>
      </c>
      <c r="X335" s="1786">
        <f>(N335+Q335)*H335/V335</f>
        <v>0.48318738385100785</v>
      </c>
      <c r="Y335" s="1789">
        <f>VLOOKUP(E335,[11]核心假设及结论!$C$25:$E$45,3,0)</f>
        <v>0.3</v>
      </c>
      <c r="Z335" s="1790">
        <f t="shared" si="140"/>
        <v>82621.69</v>
      </c>
      <c r="AA335" s="1790">
        <f t="shared" si="140"/>
        <v>0</v>
      </c>
      <c r="AB335" s="1790">
        <f t="shared" si="140"/>
        <v>0</v>
      </c>
      <c r="AC335" s="1790">
        <f t="shared" si="140"/>
        <v>0</v>
      </c>
      <c r="AD335" s="1790">
        <f t="shared" si="140"/>
        <v>0</v>
      </c>
      <c r="AE335" s="1790">
        <f t="shared" si="140"/>
        <v>0</v>
      </c>
      <c r="AF335" s="1790">
        <f t="shared" si="140"/>
        <v>0</v>
      </c>
      <c r="AG335" s="1794">
        <v>851.77</v>
      </c>
      <c r="AH335" s="1794">
        <v>0</v>
      </c>
      <c r="AI335" s="1794">
        <v>0</v>
      </c>
      <c r="AJ335" s="1794">
        <v>0</v>
      </c>
      <c r="AK335" s="1794">
        <v>0</v>
      </c>
      <c r="AL335" s="1794">
        <v>0</v>
      </c>
      <c r="AM335" s="1794">
        <v>0</v>
      </c>
      <c r="AN335" s="1797"/>
      <c r="AO335" s="1797"/>
      <c r="AP335" s="1808">
        <f t="shared" si="155"/>
        <v>1.6106246128366928</v>
      </c>
      <c r="AQ335" s="1810">
        <f>IF(AP335&gt;[11]核心假设及结论!$B$59,[11]核心假设及结论!$D$59,IF(AP335&lt;=[11]核心假设及结论!$B$58,[11]核心假设及结论!$D$57,[11]核心假设及结论!$D$58))</f>
        <v>1</v>
      </c>
      <c r="AR335" s="1809">
        <f t="shared" si="156"/>
        <v>851.77</v>
      </c>
      <c r="AS335" s="1811">
        <f>AH335*(AS$2&lt;=YEAR($K335))+AR335*$AQ335*(AS$2=YEAR($K335)+1)+INDEX([11]核心假设及结论!$E$17:$E$21,MATCH($D335,[11]核心假设及结论!$B$17:$B$21,0))*(AS$2&gt;YEAR($K335)+1)*AR335</f>
        <v>851.77</v>
      </c>
      <c r="AT335" s="1809">
        <f>AI335*(AT$2&lt;=YEAR($K335))+AS335*$AQ335*(AT$2=YEAR($K335)+1)+INDEX([11]核心假设及结论!$E$17:$E$21,MATCH($D335,[11]核心假设及结论!$B$17:$B$21,0))*(AT$2&gt;YEAR($K335)+1)*AS335</f>
        <v>874.83123920522826</v>
      </c>
      <c r="AU335" s="1809">
        <f>AJ335*(AU$2&lt;=YEAR($K335))+AT335*$AQ335*(AU$2=YEAR($K335)+1)+INDEX([11]核心假设及结论!$E$17:$E$21,MATCH($D335,[11]核心假设及结论!$B$17:$B$21,0))*(AU$2&gt;YEAR($K335)+1)*AT335</f>
        <v>898.51684972393411</v>
      </c>
      <c r="AV335" s="1809">
        <f>AK335*(AV$2&lt;=YEAR($K335))+AU335*$AQ335*(AV$2=YEAR($K335)+1)+INDEX([11]核心假设及结论!$E$17:$E$21,MATCH($D335,[11]核心假设及结论!$B$17:$B$21,0))*(AV$2&gt;YEAR($K335)+1)*AU335</f>
        <v>922.84373609162947</v>
      </c>
      <c r="AW335" s="1809">
        <f>AL335*(AW$2&lt;=YEAR($K335))+AV335*$AQ335*(AW$2=YEAR($K335)+1)+INDEX([11]核心假设及结论!$E$17:$E$21,MATCH($D335,[11]核心假设及结论!$B$17:$B$21,0))*(AW$2&gt;YEAR($K335)+1)*AV335</f>
        <v>947.82926052552079</v>
      </c>
      <c r="AX335" s="1809">
        <f>AM335*(AX$2&lt;=YEAR($K335))+AW335*$AQ335*(AX$2=YEAR($K335)+1)+INDEX([11]核心假设及结论!$E$17:$E$21,MATCH($D335,[11]核心假设及结论!$B$17:$B$21,0))*(AX$2&gt;YEAR($K335)+1)*AW335</f>
        <v>973.49125531600851</v>
      </c>
      <c r="AZ335" s="1746">
        <f t="shared" si="146"/>
        <v>45747</v>
      </c>
      <c r="BA335" s="1817">
        <f t="shared" si="147"/>
        <v>45658</v>
      </c>
      <c r="BB335" s="1817">
        <f t="shared" si="148"/>
        <v>45747</v>
      </c>
      <c r="BC335" s="1841">
        <f t="shared" si="149"/>
        <v>46022</v>
      </c>
      <c r="BD335" s="1842">
        <f t="shared" si="150"/>
        <v>90</v>
      </c>
      <c r="BE335" s="1842">
        <f t="shared" si="151"/>
        <v>275</v>
      </c>
      <c r="BG335" s="1843">
        <f t="shared" si="137"/>
        <v>99.146028000000001</v>
      </c>
      <c r="BH335" s="1843">
        <f t="shared" si="139"/>
        <v>101.16846708755989</v>
      </c>
      <c r="BI335" s="1843">
        <f t="shared" si="139"/>
        <v>103.90755183993724</v>
      </c>
      <c r="BJ335" s="1843">
        <f t="shared" si="139"/>
        <v>106.72079591781095</v>
      </c>
      <c r="BK335" s="1843">
        <f t="shared" si="138"/>
        <v>109.61020714717213</v>
      </c>
      <c r="BL335" s="1843">
        <f t="shared" si="138"/>
        <v>112.57784771487887</v>
      </c>
      <c r="BM335" s="1843">
        <f t="shared" si="138"/>
        <v>27.940532577234258</v>
      </c>
      <c r="BO335" s="1739">
        <f t="shared" si="152"/>
        <v>2025</v>
      </c>
      <c r="BP335" s="1742">
        <f>_xlfn.IFNA(INDEX($AR335:$AX335,MATCH(BO335,$AR$2:$AX$2,0))*12/365*[11]核心假设及结论!$C$70*$H335,0)</f>
        <v>81489.886027397253</v>
      </c>
      <c r="BR335" s="1739">
        <f t="shared" si="157"/>
        <v>2028</v>
      </c>
      <c r="BS335" s="1742">
        <f>_xlfn.IFNA(INDEX($AR335:$AX335,MATCH(BR335,$AR$2:$AX$2,0))*12/365*[11]核心假设及结论!$C$70*$H335,0)</f>
        <v>85962.214773588435</v>
      </c>
      <c r="BU335" s="1739">
        <f t="shared" si="158"/>
        <v>2031</v>
      </c>
      <c r="BV335" s="1742">
        <f>_xlfn.IFNA(INDEX($AR335:$AX335,MATCH(BU335,$AR$2:$AX$2,0))*12/365*[11]核心假设及结论!$C$70*$H335,0)</f>
        <v>93135.108590780874</v>
      </c>
      <c r="BX335" s="1739">
        <f t="shared" si="159"/>
        <v>2034</v>
      </c>
      <c r="BY335" s="1742">
        <f>_xlfn.IFNA(INDEX($AR335:$AX335,MATCH(BX335,$AR$2:$AX$2,0))*12/365*[11]核心假设及结论!$C$70*$H335,0)</f>
        <v>0</v>
      </c>
      <c r="CA335" s="1739">
        <f t="shared" si="160"/>
        <v>2037</v>
      </c>
      <c r="CB335" s="1742">
        <f>_xlfn.IFNA(INDEX($AR335:$AX335,MATCH(CA335,$AR$2:$AX$2,0))*12/365*[11]核心假设及结论!$C$70*$H335,0)</f>
        <v>0</v>
      </c>
    </row>
    <row r="336" spans="1:80" ht="30" customHeight="1">
      <c r="A336" s="1756" t="s">
        <v>1687</v>
      </c>
      <c r="B336" s="1757" t="s">
        <v>2367</v>
      </c>
      <c r="C336" s="1756" t="s">
        <v>2368</v>
      </c>
      <c r="D336" s="1756" t="s">
        <v>1676</v>
      </c>
      <c r="E336" s="1758" t="s">
        <v>1677</v>
      </c>
      <c r="F336" s="1759"/>
      <c r="G336" s="1760" t="s">
        <v>1661</v>
      </c>
      <c r="H336" s="1761">
        <v>97</v>
      </c>
      <c r="I336" s="1761" t="s">
        <v>2356</v>
      </c>
      <c r="J336" s="1773">
        <v>45525</v>
      </c>
      <c r="K336" s="1773">
        <v>46619</v>
      </c>
      <c r="L336" s="1764">
        <f t="shared" si="142"/>
        <v>36</v>
      </c>
      <c r="M336" s="1774">
        <f t="shared" si="153"/>
        <v>84721.74</v>
      </c>
      <c r="N336" s="1775">
        <f t="shared" si="154"/>
        <v>760.42000000000007</v>
      </c>
      <c r="O336" s="1760">
        <v>73760.740000000005</v>
      </c>
      <c r="P336" s="1776">
        <v>0.13</v>
      </c>
      <c r="Q336" s="1783">
        <f t="shared" si="143"/>
        <v>95</v>
      </c>
      <c r="R336" s="1784">
        <v>9215</v>
      </c>
      <c r="S336" s="1777">
        <f t="shared" si="144"/>
        <v>18</v>
      </c>
      <c r="T336" s="1777">
        <v>1746</v>
      </c>
      <c r="U336" s="1777"/>
      <c r="V336" s="1785"/>
      <c r="W336" s="1785">
        <f t="shared" si="145"/>
        <v>0</v>
      </c>
      <c r="X336" s="1786" t="e">
        <f>(N336+Q336)*H336/V336</f>
        <v>#DIV/0!</v>
      </c>
      <c r="Y336" s="1789">
        <f>VLOOKUP(E336,[11]核心假设及结论!$C$25:$E$45,3,0)</f>
        <v>0.25</v>
      </c>
      <c r="Z336" s="1790">
        <f t="shared" si="140"/>
        <v>73760.739999999991</v>
      </c>
      <c r="AA336" s="1790">
        <f t="shared" si="140"/>
        <v>76710.510000000009</v>
      </c>
      <c r="AB336" s="1790">
        <f t="shared" si="140"/>
        <v>79661.25</v>
      </c>
      <c r="AC336" s="1790">
        <f t="shared" si="140"/>
        <v>0</v>
      </c>
      <c r="AD336" s="1790">
        <f t="shared" si="140"/>
        <v>0</v>
      </c>
      <c r="AE336" s="1790">
        <f t="shared" si="140"/>
        <v>0</v>
      </c>
      <c r="AF336" s="1790">
        <f t="shared" si="140"/>
        <v>0</v>
      </c>
      <c r="AG336" s="1794">
        <v>760.42</v>
      </c>
      <c r="AH336" s="1794">
        <v>790.83</v>
      </c>
      <c r="AI336" s="1794">
        <v>821.25</v>
      </c>
      <c r="AJ336" s="1794">
        <v>0</v>
      </c>
      <c r="AK336" s="1794">
        <v>0</v>
      </c>
      <c r="AL336" s="1794">
        <v>0</v>
      </c>
      <c r="AM336" s="1794">
        <v>0</v>
      </c>
      <c r="AN336" s="1795"/>
      <c r="AO336" s="1795"/>
      <c r="AP336" s="1808">
        <f t="shared" si="155"/>
        <v>1.25</v>
      </c>
      <c r="AQ336" s="1808">
        <f>IF(AP336&gt;[11]核心假设及结论!$B$65,[11]核心假设及结论!$D$65,IF(AP336&lt;=[11]核心假设及结论!$B$64,[11]核心假设及结论!$D$63,[11]核心假设及结论!$D$64))</f>
        <v>0.754</v>
      </c>
      <c r="AR336" s="1809">
        <f t="shared" si="156"/>
        <v>760.42</v>
      </c>
      <c r="AS336" s="1809">
        <f>AH336*(AS$2&lt;=YEAR($K336))+AR336*$AQ336*(AS$2=YEAR($K336)+1)+INDEX([11]核心假设及结论!$E$17:$E$21,MATCH($D336,[11]核心假设及结论!$B$17:$B$21,0))*(AS$2&gt;YEAR($K336)+1)*AR336</f>
        <v>790.83</v>
      </c>
      <c r="AT336" s="1809">
        <f>AI336*(AT$2&lt;=YEAR($K336))+AS336*$AQ336*(AT$2=YEAR($K336)+1)+INDEX([11]核心假设及结论!$E$17:$E$21,MATCH($D336,[11]核心假设及结论!$B$17:$B$21,0))*(AT$2&gt;YEAR($K336)+1)*AS336</f>
        <v>821.25</v>
      </c>
      <c r="AU336" s="1811">
        <f>AJ336*(AU$2&lt;=YEAR($K336))+AT336*$AQ336*(AU$2=YEAR($K336)+1)+INDEX([11]核心假设及结论!$E$17:$E$21,MATCH($D336,[11]核心假设及结论!$B$17:$B$21,0))*(AU$2&gt;YEAR($K336)+1)*AT336</f>
        <v>619.22249999999997</v>
      </c>
      <c r="AV336" s="1809">
        <f>AK336*(AV$2&lt;=YEAR($K336))+AU336*$AQ336*(AV$2=YEAR($K336)+1)+INDEX([11]核心假设及结论!$E$17:$E$21,MATCH($D336,[11]核心假设及结论!$B$17:$B$21,0))*(AV$2&gt;YEAR($K336)+1)*AU336</f>
        <v>640.63217211792062</v>
      </c>
      <c r="AW336" s="1809">
        <f>AL336*(AW$2&lt;=YEAR($K336))+AV336*$AQ336*(AW$2=YEAR($K336)+1)+INDEX([11]核心假设及结论!$E$17:$E$21,MATCH($D336,[11]核心假设及结论!$B$17:$B$21,0))*(AW$2&gt;YEAR($K336)+1)*AV336</f>
        <v>662.78208552261117</v>
      </c>
      <c r="AX336" s="1809">
        <f>AM336*(AX$2&lt;=YEAR($K336))+AW336*$AQ336*(AX$2=YEAR($K336)+1)+INDEX([11]核心假设及结论!$E$17:$E$21,MATCH($D336,[11]核心假设及结论!$B$17:$B$21,0))*(AX$2&gt;YEAR($K336)+1)*AW336</f>
        <v>685.69783412133097</v>
      </c>
      <c r="AZ336" s="1746">
        <f t="shared" si="146"/>
        <v>46619</v>
      </c>
      <c r="BA336" s="1817">
        <f t="shared" si="147"/>
        <v>45658</v>
      </c>
      <c r="BB336" s="1817">
        <f t="shared" si="148"/>
        <v>45889</v>
      </c>
      <c r="BC336" s="1841">
        <f t="shared" si="149"/>
        <v>46022</v>
      </c>
      <c r="BD336" s="1842">
        <f t="shared" si="150"/>
        <v>232</v>
      </c>
      <c r="BE336" s="1842">
        <f t="shared" si="151"/>
        <v>133</v>
      </c>
      <c r="BG336" s="1843">
        <f t="shared" si="137"/>
        <v>89.802705238356168</v>
      </c>
      <c r="BH336" s="1843">
        <f t="shared" si="139"/>
        <v>93.342853380821907</v>
      </c>
      <c r="BI336" s="1843">
        <f t="shared" si="139"/>
        <v>87.024655799999991</v>
      </c>
      <c r="BJ336" s="1843">
        <f t="shared" si="139"/>
        <v>72.985574112306708</v>
      </c>
      <c r="BK336" s="1843">
        <f t="shared" si="138"/>
        <v>75.509056723294989</v>
      </c>
      <c r="BL336" s="1843">
        <f t="shared" si="138"/>
        <v>78.119788966356609</v>
      </c>
      <c r="BM336" s="1843">
        <f t="shared" si="138"/>
        <v>50.731870879122518</v>
      </c>
      <c r="BO336" s="1739">
        <f t="shared" si="152"/>
        <v>2027</v>
      </c>
      <c r="BP336" s="1742">
        <f>_xlfn.IFNA(INDEX($AR336:$AX336,MATCH(BO336,$AR$2:$AX$2,0))*12/365*[11]核心假设及结论!$C$70*$H336,0)</f>
        <v>78570</v>
      </c>
      <c r="BR336" s="1739">
        <f t="shared" si="157"/>
        <v>2030</v>
      </c>
      <c r="BS336" s="1742">
        <f>_xlfn.IFNA(INDEX($AR336:$AX336,MATCH(BR336,$AR$2:$AX$2,0))*12/365*[11]核心假设及结论!$C$70*$H336,0)</f>
        <v>63409.179250546797</v>
      </c>
      <c r="BU336" s="1739">
        <f t="shared" si="158"/>
        <v>2033</v>
      </c>
      <c r="BV336" s="1742">
        <f>_xlfn.IFNA(INDEX($AR336:$AX336,MATCH(BU336,$AR$2:$AX$2,0))*12/365*[11]核心假设及结论!$C$70*$H336,0)</f>
        <v>0</v>
      </c>
      <c r="BX336" s="1739">
        <f t="shared" si="159"/>
        <v>2036</v>
      </c>
      <c r="BY336" s="1742">
        <f>_xlfn.IFNA(INDEX($AR336:$AX336,MATCH(BX336,$AR$2:$AX$2,0))*12/365*[11]核心假设及结论!$C$70*$H336,0)</f>
        <v>0</v>
      </c>
      <c r="CA336" s="1739">
        <f t="shared" si="160"/>
        <v>2039</v>
      </c>
      <c r="CB336" s="1742">
        <f>_xlfn.IFNA(INDEX($AR336:$AX336,MATCH(CA336,$AR$2:$AX$2,0))*12/365*[11]核心假设及结论!$C$70*$H336,0)</f>
        <v>0</v>
      </c>
    </row>
    <row r="337" spans="1:80" ht="30" customHeight="1">
      <c r="A337" s="1756" t="s">
        <v>1662</v>
      </c>
      <c r="B337" s="1757" t="s">
        <v>2369</v>
      </c>
      <c r="C337" s="1756" t="s">
        <v>2370</v>
      </c>
      <c r="D337" s="1756" t="s">
        <v>1685</v>
      </c>
      <c r="E337" s="1758" t="s">
        <v>1888</v>
      </c>
      <c r="F337" s="1759"/>
      <c r="G337" s="1760" t="s">
        <v>1661</v>
      </c>
      <c r="H337" s="1761">
        <v>96</v>
      </c>
      <c r="I337" s="1761" t="s">
        <v>2356</v>
      </c>
      <c r="J337" s="1773">
        <v>45231</v>
      </c>
      <c r="K337" s="1773">
        <v>46326</v>
      </c>
      <c r="L337" s="1764">
        <f t="shared" si="142"/>
        <v>36</v>
      </c>
      <c r="M337" s="1774">
        <f t="shared" si="153"/>
        <v>115488</v>
      </c>
      <c r="N337" s="1775">
        <f t="shared" si="154"/>
        <v>1095</v>
      </c>
      <c r="O337" s="1760">
        <v>105120</v>
      </c>
      <c r="P337" s="1776">
        <v>0.18</v>
      </c>
      <c r="Q337" s="1783">
        <f t="shared" si="143"/>
        <v>90</v>
      </c>
      <c r="R337" s="1784">
        <v>8640</v>
      </c>
      <c r="S337" s="1777">
        <f t="shared" si="144"/>
        <v>18</v>
      </c>
      <c r="T337" s="1777">
        <v>1728</v>
      </c>
      <c r="U337" s="1777"/>
      <c r="V337" s="1785">
        <v>197372.79166666701</v>
      </c>
      <c r="W337" s="1785">
        <f t="shared" si="145"/>
        <v>2055.9665798611145</v>
      </c>
      <c r="X337" s="1786">
        <f>(N337+Q337+S337)*H337/V337</f>
        <v>0.58512624270442448</v>
      </c>
      <c r="Y337" s="1789">
        <f>VLOOKUP(E337,[11]核心假设及结论!$C$25:$E$45,3,0)</f>
        <v>0.3</v>
      </c>
      <c r="Z337" s="1790">
        <f t="shared" si="140"/>
        <v>108040.32000000001</v>
      </c>
      <c r="AA337" s="1790">
        <f t="shared" si="140"/>
        <v>110959.67999999999</v>
      </c>
      <c r="AB337" s="1790">
        <f t="shared" si="140"/>
        <v>0</v>
      </c>
      <c r="AC337" s="1790">
        <f t="shared" si="140"/>
        <v>0</v>
      </c>
      <c r="AD337" s="1790">
        <f t="shared" si="140"/>
        <v>0</v>
      </c>
      <c r="AE337" s="1790">
        <f t="shared" si="140"/>
        <v>0</v>
      </c>
      <c r="AF337" s="1790">
        <f t="shared" si="140"/>
        <v>0</v>
      </c>
      <c r="AG337" s="1794">
        <v>1125.42</v>
      </c>
      <c r="AH337" s="1794">
        <v>1155.83</v>
      </c>
      <c r="AI337" s="1794">
        <v>0</v>
      </c>
      <c r="AJ337" s="1794">
        <v>0</v>
      </c>
      <c r="AK337" s="1794">
        <v>0</v>
      </c>
      <c r="AL337" s="1794">
        <v>0</v>
      </c>
      <c r="AM337" s="1794">
        <v>0</v>
      </c>
      <c r="AN337" s="1795"/>
      <c r="AO337" s="1795"/>
      <c r="AP337" s="1808">
        <f t="shared" si="155"/>
        <v>1.9504208090147483</v>
      </c>
      <c r="AQ337" s="1810">
        <f>IF(AP337&gt;[11]核心假设及结论!$B$59,[11]核心假设及结论!$D$59,IF(AP337&lt;=[11]核心假设及结论!$B$58,[11]核心假设及结论!$D$57,[11]核心假设及结论!$D$58))</f>
        <v>1</v>
      </c>
      <c r="AR337" s="1809">
        <f t="shared" si="156"/>
        <v>1125.42</v>
      </c>
      <c r="AS337" s="1809">
        <f>AH337*(AS$2&lt;=YEAR($K337))+AR337*$AQ337*(AS$2=YEAR($K337)+1)+INDEX([11]核心假设及结论!$E$17:$E$21,MATCH($D337,[11]核心假设及结论!$B$17:$B$21,0))*(AS$2&gt;YEAR($K337)+1)*AR337</f>
        <v>1155.83</v>
      </c>
      <c r="AT337" s="1811">
        <f>AI337*(AT$2&lt;=YEAR($K337))+AS337*$AQ337*(AT$2=YEAR($K337)+1)+INDEX([11]核心假设及结论!$E$17:$E$21,MATCH($D337,[11]核心假设及结论!$B$17:$B$21,0))*(AT$2&gt;YEAR($K337)+1)*AS337</f>
        <v>1155.83</v>
      </c>
      <c r="AU337" s="1809">
        <f>AJ337*(AU$2&lt;=YEAR($K337))+AT337*$AQ337*(AU$2=YEAR($K337)+1)+INDEX([11]核心假设及结论!$E$17:$E$21,MATCH($D337,[11]核心假设及结论!$B$17:$B$21,0))*(AU$2&gt;YEAR($K337)+1)*AT337</f>
        <v>1187.1235089408865</v>
      </c>
      <c r="AV337" s="1809">
        <f>AK337*(AV$2&lt;=YEAR($K337))+AU337*$AQ337*(AV$2=YEAR($K337)+1)+INDEX([11]核心假设及结论!$E$17:$E$21,MATCH($D337,[11]核心假设及结论!$B$17:$B$21,0))*(AV$2&gt;YEAR($K337)+1)*AU337</f>
        <v>1219.2642737081778</v>
      </c>
      <c r="AW337" s="1809">
        <f>AL337*(AW$2&lt;=YEAR($K337))+AV337*$AQ337*(AW$2=YEAR($K337)+1)+INDEX([11]核心假设及结论!$E$17:$E$21,MATCH($D337,[11]核心假设及结论!$B$17:$B$21,0))*(AW$2&gt;YEAR($K337)+1)*AV337</f>
        <v>1252.2752333221267</v>
      </c>
      <c r="AX337" s="1809">
        <f>AM337*(AX$2&lt;=YEAR($K337))+AW337*$AQ337*(AX$2=YEAR($K337)+1)+INDEX([11]核心假设及结论!$E$17:$E$21,MATCH($D337,[11]核心假设及结论!$B$17:$B$21,0))*(AX$2&gt;YEAR($K337)+1)*AW337</f>
        <v>1286.1799478652836</v>
      </c>
      <c r="AZ337" s="1746">
        <f t="shared" si="146"/>
        <v>46326</v>
      </c>
      <c r="BA337" s="1817">
        <f t="shared" si="147"/>
        <v>45658</v>
      </c>
      <c r="BB337" s="1817">
        <f t="shared" si="148"/>
        <v>45961</v>
      </c>
      <c r="BC337" s="1841">
        <f t="shared" si="149"/>
        <v>46022</v>
      </c>
      <c r="BD337" s="1842">
        <f t="shared" si="150"/>
        <v>304</v>
      </c>
      <c r="BE337" s="1842">
        <f t="shared" si="151"/>
        <v>61</v>
      </c>
      <c r="BG337" s="1843">
        <f t="shared" si="137"/>
        <v>130.2338556493151</v>
      </c>
      <c r="BH337" s="1843">
        <f t="shared" si="139"/>
        <v>133.15161599999999</v>
      </c>
      <c r="BI337" s="1843">
        <f t="shared" si="139"/>
        <v>133.75409749597094</v>
      </c>
      <c r="BJ337" s="1843">
        <f t="shared" si="139"/>
        <v>137.37542160580574</v>
      </c>
      <c r="BK337" s="1843">
        <f t="shared" si="138"/>
        <v>141.09479122268661</v>
      </c>
      <c r="BL337" s="1843">
        <f t="shared" si="138"/>
        <v>144.91486087881222</v>
      </c>
      <c r="BM337" s="1843">
        <f t="shared" si="138"/>
        <v>123.40561840602884</v>
      </c>
      <c r="BO337" s="1739">
        <f t="shared" si="152"/>
        <v>2026</v>
      </c>
      <c r="BP337" s="1742">
        <f>_xlfn.IFNA(INDEX($AR337:$AX337,MATCH(BO337,$AR$2:$AX$2,0))*12/365*[11]核心假设及结论!$C$70*$H337,0)</f>
        <v>109439.68438356166</v>
      </c>
      <c r="BR337" s="1739">
        <f t="shared" si="157"/>
        <v>2029</v>
      </c>
      <c r="BS337" s="1742">
        <f>_xlfn.IFNA(INDEX($AR337:$AX337,MATCH(BR337,$AR$2:$AX$2,0))*12/365*[11]核心假设及结论!$C$70*$H337,0)</f>
        <v>115445.9542448072</v>
      </c>
      <c r="BU337" s="1739">
        <f t="shared" si="158"/>
        <v>2032</v>
      </c>
      <c r="BV337" s="1742">
        <f>_xlfn.IFNA(INDEX($AR337:$AX337,MATCH(BU337,$AR$2:$AX$2,0))*12/365*[11]核心假设及结论!$C$70*$H337,0)</f>
        <v>0</v>
      </c>
      <c r="BX337" s="1739">
        <f t="shared" si="159"/>
        <v>2035</v>
      </c>
      <c r="BY337" s="1742">
        <f>_xlfn.IFNA(INDEX($AR337:$AX337,MATCH(BX337,$AR$2:$AX$2,0))*12/365*[11]核心假设及结论!$C$70*$H337,0)</f>
        <v>0</v>
      </c>
      <c r="CA337" s="1739">
        <f t="shared" si="160"/>
        <v>2038</v>
      </c>
      <c r="CB337" s="1742">
        <f>_xlfn.IFNA(INDEX($AR337:$AX337,MATCH(CA337,$AR$2:$AX$2,0))*12/365*[11]核心假设及结论!$C$70*$H337,0)</f>
        <v>0</v>
      </c>
    </row>
    <row r="338" spans="1:80" ht="30" customHeight="1">
      <c r="A338" s="1756" t="s">
        <v>1687</v>
      </c>
      <c r="B338" s="1757" t="s">
        <v>2371</v>
      </c>
      <c r="C338" s="1756" t="s">
        <v>2372</v>
      </c>
      <c r="D338" s="1756" t="s">
        <v>1685</v>
      </c>
      <c r="E338" s="1758" t="s">
        <v>1888</v>
      </c>
      <c r="F338" s="1759"/>
      <c r="G338" s="1760" t="s">
        <v>1661</v>
      </c>
      <c r="H338" s="1761">
        <v>96</v>
      </c>
      <c r="I338" s="1761" t="s">
        <v>2356</v>
      </c>
      <c r="J338" s="1773">
        <v>45154</v>
      </c>
      <c r="K338" s="1773">
        <v>46249</v>
      </c>
      <c r="L338" s="1764">
        <f t="shared" si="142"/>
        <v>36</v>
      </c>
      <c r="M338" s="1774">
        <f t="shared" si="153"/>
        <v>86287.679999999993</v>
      </c>
      <c r="N338" s="1775">
        <f t="shared" si="154"/>
        <v>790.82999999999993</v>
      </c>
      <c r="O338" s="1760">
        <v>75919.679999999993</v>
      </c>
      <c r="P338" s="1776">
        <v>0.18</v>
      </c>
      <c r="Q338" s="1783">
        <f t="shared" si="143"/>
        <v>90</v>
      </c>
      <c r="R338" s="1784">
        <v>8640</v>
      </c>
      <c r="S338" s="1777">
        <f t="shared" si="144"/>
        <v>18</v>
      </c>
      <c r="T338" s="1784">
        <v>1728</v>
      </c>
      <c r="U338" s="1777"/>
      <c r="V338" s="1785">
        <v>447591.61083333299</v>
      </c>
      <c r="W338" s="1785">
        <f t="shared" si="145"/>
        <v>4662.412612847219</v>
      </c>
      <c r="X338" s="1786">
        <f>(N338+Q338+S338)*H338/V338</f>
        <v>0.19278216550875082</v>
      </c>
      <c r="Y338" s="1789">
        <f>VLOOKUP(E338,[11]核心假设及结论!$C$25:$E$45,3,0)</f>
        <v>0.3</v>
      </c>
      <c r="Z338" s="1790">
        <f t="shared" si="140"/>
        <v>78840</v>
      </c>
      <c r="AA338" s="1790">
        <f t="shared" si="140"/>
        <v>81760.319999999992</v>
      </c>
      <c r="AB338" s="1790">
        <f t="shared" si="140"/>
        <v>0</v>
      </c>
      <c r="AC338" s="1790">
        <f t="shared" si="140"/>
        <v>0</v>
      </c>
      <c r="AD338" s="1790">
        <f t="shared" si="140"/>
        <v>0</v>
      </c>
      <c r="AE338" s="1790">
        <f t="shared" si="140"/>
        <v>0</v>
      </c>
      <c r="AF338" s="1790">
        <f t="shared" si="140"/>
        <v>0</v>
      </c>
      <c r="AG338" s="1794">
        <v>821.25</v>
      </c>
      <c r="AH338" s="1794">
        <v>851.67</v>
      </c>
      <c r="AI338" s="1794">
        <v>0</v>
      </c>
      <c r="AJ338" s="1794">
        <v>0</v>
      </c>
      <c r="AK338" s="1794">
        <v>0</v>
      </c>
      <c r="AL338" s="1794">
        <v>0</v>
      </c>
      <c r="AM338" s="1794">
        <v>0</v>
      </c>
      <c r="AN338" s="1797"/>
      <c r="AO338" s="1797"/>
      <c r="AP338" s="1808">
        <f t="shared" si="155"/>
        <v>0.64260721836250279</v>
      </c>
      <c r="AQ338" s="1810">
        <f>IF(AP338&gt;[11]核心假设及结论!$B$59,[11]核心假设及结论!$D$59,IF(AP338&lt;=[11]核心假设及结论!$B$58,[11]核心假设及结论!$D$57,[11]核心假设及结论!$D$58))</f>
        <v>1.0342640124442799</v>
      </c>
      <c r="AR338" s="1809">
        <f t="shared" si="156"/>
        <v>821.25</v>
      </c>
      <c r="AS338" s="1809">
        <f>AH338*(AS$2&lt;=YEAR($K338))+AR338*$AQ338*(AS$2=YEAR($K338)+1)+INDEX([11]核心假设及结论!$E$17:$E$21,MATCH($D338,[11]核心假设及结论!$B$17:$B$21,0))*(AS$2&gt;YEAR($K338)+1)*AR338</f>
        <v>851.67</v>
      </c>
      <c r="AT338" s="1811">
        <f>AI338*(AT$2&lt;=YEAR($K338))+AS338*$AQ338*(AT$2=YEAR($K338)+1)+INDEX([11]核心假设及结论!$E$17:$E$21,MATCH($D338,[11]核心假设及结论!$B$17:$B$21,0))*(AT$2&gt;YEAR($K338)+1)*AS338</f>
        <v>880.85163147841979</v>
      </c>
      <c r="AU338" s="1809">
        <f>AJ338*(AU$2&lt;=YEAR($K338))+AT338*$AQ338*(AU$2=YEAR($K338)+1)+INDEX([11]核心假设及结论!$E$17:$E$21,MATCH($D338,[11]核心假设及结论!$B$17:$B$21,0))*(AU$2&gt;YEAR($K338)+1)*AT338</f>
        <v>904.70024105358618</v>
      </c>
      <c r="AV338" s="1809">
        <f>AK338*(AV$2&lt;=YEAR($K338))+AU338*$AQ338*(AV$2=YEAR($K338)+1)+INDEX([11]核心假设及结论!$E$17:$E$21,MATCH($D338,[11]核心假设及结论!$B$17:$B$21,0))*(AV$2&gt;YEAR($K338)+1)*AU338</f>
        <v>929.19453959423038</v>
      </c>
      <c r="AW338" s="1809">
        <f>AL338*(AW$2&lt;=YEAR($K338))+AV338*$AQ338*(AW$2=YEAR($K338)+1)+INDEX([11]核心假设及结论!$E$17:$E$21,MATCH($D338,[11]核心假设及结论!$B$17:$B$21,0))*(AW$2&gt;YEAR($K338)+1)*AV338</f>
        <v>954.35200880044158</v>
      </c>
      <c r="AX338" s="1809">
        <f>AM338*(AX$2&lt;=YEAR($K338))+AW338*$AQ338*(AX$2=YEAR($K338)+1)+INDEX([11]核心假设及结论!$E$17:$E$21,MATCH($D338,[11]核心假设及结论!$B$17:$B$21,0))*(AX$2&gt;YEAR($K338)+1)*AW338</f>
        <v>980.19060368044109</v>
      </c>
      <c r="AZ338" s="1746">
        <f t="shared" si="146"/>
        <v>46249</v>
      </c>
      <c r="BA338" s="1817">
        <f t="shared" si="147"/>
        <v>45658</v>
      </c>
      <c r="BB338" s="1817">
        <f t="shared" si="148"/>
        <v>45884</v>
      </c>
      <c r="BC338" s="1841">
        <f t="shared" si="149"/>
        <v>46022</v>
      </c>
      <c r="BD338" s="1842">
        <f t="shared" si="150"/>
        <v>227</v>
      </c>
      <c r="BE338" s="1842">
        <f t="shared" si="151"/>
        <v>138</v>
      </c>
      <c r="BG338" s="1843">
        <f t="shared" si="137"/>
        <v>95.932945183561642</v>
      </c>
      <c r="BH338" s="1843">
        <f t="shared" si="139"/>
        <v>99.38339195778444</v>
      </c>
      <c r="BI338" s="1843">
        <f t="shared" si="139"/>
        <v>102.51283576982675</v>
      </c>
      <c r="BJ338" s="1843">
        <f t="shared" si="139"/>
        <v>105.28831862000254</v>
      </c>
      <c r="BK338" s="1843">
        <f t="shared" si="138"/>
        <v>108.1389462556462</v>
      </c>
      <c r="BL338" s="1843">
        <f t="shared" si="138"/>
        <v>111.06675318357603</v>
      </c>
      <c r="BM338" s="1843">
        <f t="shared" si="138"/>
        <v>70.225688664342485</v>
      </c>
      <c r="BO338" s="1739">
        <f t="shared" si="152"/>
        <v>2026</v>
      </c>
      <c r="BP338" s="1742">
        <f>_xlfn.IFNA(INDEX($AR338:$AX338,MATCH(BO338,$AR$2:$AX$2,0))*12/365*[11]核心假设及结论!$C$70*$H338,0)</f>
        <v>80640.31561643834</v>
      </c>
      <c r="BR338" s="1739">
        <f t="shared" si="157"/>
        <v>2029</v>
      </c>
      <c r="BS338" s="1742">
        <f>_xlfn.IFNA(INDEX($AR338:$AX338,MATCH(BR338,$AR$2:$AX$2,0))*12/365*[11]核心假设及结论!$C$70*$H338,0)</f>
        <v>87980.721338018106</v>
      </c>
      <c r="BU338" s="1739">
        <f t="shared" si="158"/>
        <v>2032</v>
      </c>
      <c r="BV338" s="1742">
        <f>_xlfn.IFNA(INDEX($AR338:$AX338,MATCH(BU338,$AR$2:$AX$2,0))*12/365*[11]核心假设及结论!$C$70*$H338,0)</f>
        <v>0</v>
      </c>
      <c r="BX338" s="1739">
        <f t="shared" si="159"/>
        <v>2035</v>
      </c>
      <c r="BY338" s="1742">
        <f>_xlfn.IFNA(INDEX($AR338:$AX338,MATCH(BX338,$AR$2:$AX$2,0))*12/365*[11]核心假设及结论!$C$70*$H338,0)</f>
        <v>0</v>
      </c>
      <c r="CA338" s="1739">
        <f t="shared" si="160"/>
        <v>2038</v>
      </c>
      <c r="CB338" s="1742">
        <f>_xlfn.IFNA(INDEX($AR338:$AX338,MATCH(CA338,$AR$2:$AX$2,0))*12/365*[11]核心假设及结论!$C$70*$H338,0)</f>
        <v>0</v>
      </c>
    </row>
    <row r="339" spans="1:80" ht="30" customHeight="1">
      <c r="A339" s="1756" t="s">
        <v>1666</v>
      </c>
      <c r="B339" s="1757" t="s">
        <v>2373</v>
      </c>
      <c r="C339" s="1756" t="s">
        <v>2374</v>
      </c>
      <c r="D339" s="1756" t="s">
        <v>1685</v>
      </c>
      <c r="E339" s="1758" t="s">
        <v>1692</v>
      </c>
      <c r="F339" s="1759"/>
      <c r="G339" s="1760" t="s">
        <v>1661</v>
      </c>
      <c r="H339" s="1761">
        <v>96</v>
      </c>
      <c r="I339" s="1761" t="s">
        <v>2356</v>
      </c>
      <c r="J339" s="1773">
        <v>45281</v>
      </c>
      <c r="K339" s="1773">
        <v>46376</v>
      </c>
      <c r="L339" s="1764">
        <f t="shared" si="142"/>
        <v>36</v>
      </c>
      <c r="M339" s="1774">
        <f t="shared" si="153"/>
        <v>68741.759999999995</v>
      </c>
      <c r="N339" s="1775">
        <f t="shared" si="154"/>
        <v>608.33000000000004</v>
      </c>
      <c r="O339" s="1760">
        <v>58399.68</v>
      </c>
      <c r="P339" s="1776">
        <v>0.17</v>
      </c>
      <c r="Q339" s="1783">
        <f t="shared" si="143"/>
        <v>90</v>
      </c>
      <c r="R339" s="1784">
        <v>8640</v>
      </c>
      <c r="S339" s="1777">
        <f t="shared" si="144"/>
        <v>17.73</v>
      </c>
      <c r="T339" s="1784">
        <v>1702.08</v>
      </c>
      <c r="U339" s="1777"/>
      <c r="V339" s="1785">
        <v>435343.99</v>
      </c>
      <c r="W339" s="1785">
        <f t="shared" si="145"/>
        <v>4534.8332291666666</v>
      </c>
      <c r="X339" s="1786">
        <f>(N339+Q339+S339)*H339/V339</f>
        <v>0.15790216835197382</v>
      </c>
      <c r="Y339" s="1789">
        <f>VLOOKUP(E339,[11]核心假设及结论!$C$25:$E$45,3,0)</f>
        <v>0.2</v>
      </c>
      <c r="Z339" s="1790">
        <f t="shared" si="140"/>
        <v>60151.680000000008</v>
      </c>
      <c r="AA339" s="1790">
        <f t="shared" si="140"/>
        <v>61903.680000000008</v>
      </c>
      <c r="AB339" s="1790">
        <f t="shared" si="140"/>
        <v>0</v>
      </c>
      <c r="AC339" s="1790">
        <f t="shared" ref="AC339:AF402" si="161">AJ339*$H339</f>
        <v>0</v>
      </c>
      <c r="AD339" s="1790">
        <f t="shared" si="161"/>
        <v>0</v>
      </c>
      <c r="AE339" s="1790">
        <f t="shared" si="161"/>
        <v>0</v>
      </c>
      <c r="AF339" s="1790">
        <f t="shared" si="161"/>
        <v>0</v>
      </c>
      <c r="AG339" s="1794">
        <v>626.58000000000004</v>
      </c>
      <c r="AH339" s="1794">
        <v>644.83000000000004</v>
      </c>
      <c r="AI339" s="1794">
        <v>0</v>
      </c>
      <c r="AJ339" s="1794">
        <v>0</v>
      </c>
      <c r="AK339" s="1794">
        <v>0</v>
      </c>
      <c r="AL339" s="1794">
        <v>0</v>
      </c>
      <c r="AM339" s="1794">
        <v>0</v>
      </c>
      <c r="AN339" s="1796"/>
      <c r="AO339" s="1796"/>
      <c r="AP339" s="1808">
        <f t="shared" si="155"/>
        <v>0.78951084175986908</v>
      </c>
      <c r="AQ339" s="1810">
        <f>IF(AP339&gt;[11]核心假设及结论!$B$59,[11]核心假设及结论!$D$59,IF(AP339&lt;=[11]核心假设及结论!$B$58,[11]核心假设及结论!$D$57,[11]核心假设及结论!$D$58))</f>
        <v>1.0342640124442799</v>
      </c>
      <c r="AR339" s="1809">
        <f t="shared" si="156"/>
        <v>626.58000000000004</v>
      </c>
      <c r="AS339" s="1809">
        <f>AH339*(AS$2&lt;=YEAR($K339))+AR339*$AQ339*(AS$2=YEAR($K339)+1)+INDEX([11]核心假设及结论!$E$17:$E$21,MATCH($D339,[11]核心假设及结论!$B$17:$B$21,0))*(AS$2&gt;YEAR($K339)+1)*AR339</f>
        <v>644.83000000000004</v>
      </c>
      <c r="AT339" s="1811">
        <f>AI339*(AT$2&lt;=YEAR($K339))+AS339*$AQ339*(AT$2=YEAR($K339)+1)+INDEX([11]核心假设及结论!$E$17:$E$21,MATCH($D339,[11]核心假设及结论!$B$17:$B$21,0))*(AT$2&gt;YEAR($K339)+1)*AS339</f>
        <v>666.9244631444451</v>
      </c>
      <c r="AU339" s="1809">
        <f>AJ339*(AU$2&lt;=YEAR($K339))+AT339*$AQ339*(AU$2=YEAR($K339)+1)+INDEX([11]核心假设及结论!$E$17:$E$21,MATCH($D339,[11]核心假设及结论!$B$17:$B$21,0))*(AU$2&gt;YEAR($K339)+1)*AT339</f>
        <v>684.98110352435106</v>
      </c>
      <c r="AV339" s="1809">
        <f>AK339*(AV$2&lt;=YEAR($K339))+AU339*$AQ339*(AV$2=YEAR($K339)+1)+INDEX([11]核心假设及结论!$E$17:$E$21,MATCH($D339,[11]核心假设及结论!$B$17:$B$21,0))*(AV$2&gt;YEAR($K339)+1)*AU339</f>
        <v>703.52661825184362</v>
      </c>
      <c r="AW339" s="1809">
        <f>AL339*(AW$2&lt;=YEAR($K339))+AV339*$AQ339*(AW$2=YEAR($K339)+1)+INDEX([11]核心假设及结论!$E$17:$E$21,MATCH($D339,[11]核心假设及结论!$B$17:$B$21,0))*(AW$2&gt;YEAR($K339)+1)*AV339</f>
        <v>722.57424335105009</v>
      </c>
      <c r="AX339" s="1809">
        <f>AM339*(AX$2&lt;=YEAR($K339))+AW339*$AQ339*(AX$2=YEAR($K339)+1)+INDEX([11]核心假设及结论!$E$17:$E$21,MATCH($D339,[11]核心假设及结论!$B$17:$B$21,0))*(AX$2&gt;YEAR($K339)+1)*AW339</f>
        <v>742.13757320471416</v>
      </c>
      <c r="AZ339" s="1746">
        <f t="shared" si="146"/>
        <v>46376</v>
      </c>
      <c r="BA339" s="1817">
        <f t="shared" si="147"/>
        <v>45658</v>
      </c>
      <c r="BB339" s="1817">
        <f t="shared" si="148"/>
        <v>46011</v>
      </c>
      <c r="BC339" s="1841">
        <f t="shared" si="149"/>
        <v>46022</v>
      </c>
      <c r="BD339" s="1842">
        <f t="shared" si="150"/>
        <v>354</v>
      </c>
      <c r="BE339" s="1842">
        <f t="shared" si="151"/>
        <v>11</v>
      </c>
      <c r="BG339" s="1843">
        <f t="shared" si="137"/>
        <v>72.245375999999993</v>
      </c>
      <c r="BH339" s="1843">
        <f t="shared" si="139"/>
        <v>74.361123133415447</v>
      </c>
      <c r="BI339" s="1843">
        <f t="shared" si="139"/>
        <v>76.892386852019285</v>
      </c>
      <c r="BJ339" s="1843">
        <f t="shared" si="139"/>
        <v>78.974209088368767</v>
      </c>
      <c r="BK339" s="1843">
        <f t="shared" si="138"/>
        <v>81.112395602134882</v>
      </c>
      <c r="BL339" s="1843">
        <f t="shared" si="138"/>
        <v>83.308472427439767</v>
      </c>
      <c r="BM339" s="1843">
        <f t="shared" si="138"/>
        <v>82.917709439306307</v>
      </c>
      <c r="BO339" s="1739">
        <f t="shared" si="152"/>
        <v>2026</v>
      </c>
      <c r="BP339" s="1742">
        <f>_xlfn.IFNA(INDEX($AR339:$AX339,MATCH(BO339,$AR$2:$AX$2,0))*12/365*[11]核心假设及结论!$C$70*$H339,0)</f>
        <v>61055.684383561653</v>
      </c>
      <c r="BR339" s="1739">
        <f t="shared" si="157"/>
        <v>2029</v>
      </c>
      <c r="BS339" s="1742">
        <f>_xlfn.IFNA(INDEX($AR339:$AX339,MATCH(BR339,$AR$2:$AX$2,0))*12/365*[11]核心假设及结论!$C$70*$H339,0)</f>
        <v>66613.369662421144</v>
      </c>
      <c r="BU339" s="1739">
        <f t="shared" si="158"/>
        <v>2032</v>
      </c>
      <c r="BV339" s="1742">
        <f>_xlfn.IFNA(INDEX($AR339:$AX339,MATCH(BU339,$AR$2:$AX$2,0))*12/365*[11]核心假设及结论!$C$70*$H339,0)</f>
        <v>0</v>
      </c>
      <c r="BX339" s="1739">
        <f t="shared" si="159"/>
        <v>2035</v>
      </c>
      <c r="BY339" s="1742">
        <f>_xlfn.IFNA(INDEX($AR339:$AX339,MATCH(BX339,$AR$2:$AX$2,0))*12/365*[11]核心假设及结论!$C$70*$H339,0)</f>
        <v>0</v>
      </c>
      <c r="CA339" s="1739">
        <f t="shared" si="160"/>
        <v>2038</v>
      </c>
      <c r="CB339" s="1742">
        <f>_xlfn.IFNA(INDEX($AR339:$AX339,MATCH(CA339,$AR$2:$AX$2,0))*12/365*[11]核心假设及结论!$C$70*$H339,0)</f>
        <v>0</v>
      </c>
    </row>
    <row r="340" spans="1:80" ht="30" customHeight="1">
      <c r="A340" s="1756" t="s">
        <v>1662</v>
      </c>
      <c r="B340" s="1757" t="s">
        <v>2375</v>
      </c>
      <c r="C340" s="1756" t="s">
        <v>2376</v>
      </c>
      <c r="D340" s="1756" t="s">
        <v>1685</v>
      </c>
      <c r="E340" s="1758" t="s">
        <v>1871</v>
      </c>
      <c r="F340" s="1759"/>
      <c r="G340" s="1760" t="s">
        <v>1661</v>
      </c>
      <c r="H340" s="1761">
        <v>95</v>
      </c>
      <c r="I340" s="1761" t="s">
        <v>2356</v>
      </c>
      <c r="J340" s="1773">
        <v>45657</v>
      </c>
      <c r="K340" s="1773">
        <v>46721</v>
      </c>
      <c r="L340" s="1764">
        <f t="shared" si="142"/>
        <v>35</v>
      </c>
      <c r="M340" s="1774">
        <f t="shared" si="153"/>
        <v>121091.75</v>
      </c>
      <c r="N340" s="1775">
        <f t="shared" si="154"/>
        <v>1161.9199999999998</v>
      </c>
      <c r="O340" s="1760">
        <v>110382.39999999999</v>
      </c>
      <c r="P340" s="1776">
        <v>0.11</v>
      </c>
      <c r="Q340" s="1783">
        <f t="shared" si="143"/>
        <v>95</v>
      </c>
      <c r="R340" s="1784">
        <v>9025</v>
      </c>
      <c r="S340" s="1777">
        <f t="shared" si="144"/>
        <v>17.73</v>
      </c>
      <c r="T340" s="1777">
        <v>1684.35</v>
      </c>
      <c r="U340" s="1777"/>
      <c r="V340" s="1785">
        <v>179354.25</v>
      </c>
      <c r="W340" s="1785">
        <f t="shared" si="145"/>
        <v>1887.9394736842105</v>
      </c>
      <c r="X340" s="1786">
        <f t="shared" ref="X340:X345" si="162">(N340+Q340)*H340/V340</f>
        <v>0.66576286873603485</v>
      </c>
      <c r="Y340" s="1789">
        <f>VLOOKUP(E340,[11]核心假设及结论!$C$25:$E$45,3,0)</f>
        <v>0.2</v>
      </c>
      <c r="Z340" s="1790">
        <f t="shared" ref="Z340:AF403" si="163">AG340*$H340</f>
        <v>101135.09999999999</v>
      </c>
      <c r="AA340" s="1790">
        <f t="shared" si="163"/>
        <v>107203.7</v>
      </c>
      <c r="AB340" s="1790">
        <f t="shared" si="163"/>
        <v>113849.90000000001</v>
      </c>
      <c r="AC340" s="1790">
        <f t="shared" si="161"/>
        <v>0</v>
      </c>
      <c r="AD340" s="1790">
        <f t="shared" si="161"/>
        <v>0</v>
      </c>
      <c r="AE340" s="1790">
        <f t="shared" si="161"/>
        <v>0</v>
      </c>
      <c r="AF340" s="1790">
        <f t="shared" si="161"/>
        <v>0</v>
      </c>
      <c r="AG340" s="1794">
        <v>1064.58</v>
      </c>
      <c r="AH340" s="1794">
        <v>1128.46</v>
      </c>
      <c r="AI340" s="1794">
        <v>1198.42</v>
      </c>
      <c r="AJ340" s="1794">
        <v>0</v>
      </c>
      <c r="AK340" s="1794">
        <v>0</v>
      </c>
      <c r="AL340" s="1794">
        <v>0</v>
      </c>
      <c r="AM340" s="1794">
        <v>0</v>
      </c>
      <c r="AN340" s="1795"/>
      <c r="AO340" s="1795"/>
      <c r="AP340" s="1808">
        <f t="shared" si="155"/>
        <v>3.328814343680174</v>
      </c>
      <c r="AQ340" s="1810">
        <f>IF(AP340&gt;[11]核心假设及结论!$B$59,[11]核心假设及结论!$D$59,IF(AP340&lt;=[11]核心假设及结论!$B$58,[11]核心假设及结论!$D$57,[11]核心假设及结论!$D$58))</f>
        <v>1</v>
      </c>
      <c r="AR340" s="1809">
        <f t="shared" si="156"/>
        <v>1064.58</v>
      </c>
      <c r="AS340" s="1809">
        <f>AH340*(AS$2&lt;=YEAR($K340))+AR340*$AQ340*(AS$2=YEAR($K340)+1)+INDEX([11]核心假设及结论!$E$17:$E$21,MATCH($D340,[11]核心假设及结论!$B$17:$B$21,0))*(AS$2&gt;YEAR($K340)+1)*AR340</f>
        <v>1128.46</v>
      </c>
      <c r="AT340" s="1809">
        <f>AI340*(AT$2&lt;=YEAR($K340))+AS340*$AQ340*(AT$2=YEAR($K340)+1)+INDEX([11]核心假设及结论!$E$17:$E$21,MATCH($D340,[11]核心假设及结论!$B$17:$B$21,0))*(AT$2&gt;YEAR($K340)+1)*AS340</f>
        <v>1198.42</v>
      </c>
      <c r="AU340" s="1811">
        <f>AJ340*(AU$2&lt;=YEAR($K340))+AT340*$AQ340*(AU$2=YEAR($K340)+1)+INDEX([11]核心假设及结论!$E$17:$E$21,MATCH($D340,[11]核心假设及结论!$B$17:$B$21,0))*(AU$2&gt;YEAR($K340)+1)*AT340</f>
        <v>1198.42</v>
      </c>
      <c r="AV340" s="1809">
        <f>AK340*(AV$2&lt;=YEAR($K340))+AU340*$AQ340*(AV$2=YEAR($K340)+1)+INDEX([11]核心假设及结论!$E$17:$E$21,MATCH($D340,[11]核心假设及结论!$B$17:$B$21,0))*(AV$2&gt;YEAR($K340)+1)*AU340</f>
        <v>1230.8666115128847</v>
      </c>
      <c r="AW340" s="1809">
        <f>AL340*(AW$2&lt;=YEAR($K340))+AV340*$AQ340*(AW$2=YEAR($K340)+1)+INDEX([11]核心假设及结论!$E$17:$E$21,MATCH($D340,[11]核心假设及结论!$B$17:$B$21,0))*(AW$2&gt;YEAR($K340)+1)*AV340</f>
        <v>1264.19169851739</v>
      </c>
      <c r="AX340" s="1809">
        <f>AM340*(AX$2&lt;=YEAR($K340))+AW340*$AQ340*(AX$2=YEAR($K340)+1)+INDEX([11]核心假设及结论!$E$17:$E$21,MATCH($D340,[11]核心假设及结论!$B$17:$B$21,0))*(AX$2&gt;YEAR($K340)+1)*AW340</f>
        <v>1298.419045290314</v>
      </c>
      <c r="AZ340" s="1746">
        <f t="shared" si="146"/>
        <v>46721</v>
      </c>
      <c r="BA340" s="1817">
        <f t="shared" si="147"/>
        <v>45658</v>
      </c>
      <c r="BB340" s="1817">
        <f t="shared" si="148"/>
        <v>45991</v>
      </c>
      <c r="BC340" s="1841">
        <f t="shared" si="149"/>
        <v>46022</v>
      </c>
      <c r="BD340" s="1842">
        <f t="shared" si="150"/>
        <v>334</v>
      </c>
      <c r="BE340" s="1842">
        <f t="shared" si="151"/>
        <v>31</v>
      </c>
      <c r="BG340" s="1843">
        <f t="shared" si="137"/>
        <v>121.98061841095888</v>
      </c>
      <c r="BH340" s="1843">
        <f t="shared" si="139"/>
        <v>129.32180613698628</v>
      </c>
      <c r="BI340" s="1843">
        <f t="shared" si="139"/>
        <v>136.61987999999999</v>
      </c>
      <c r="BJ340" s="1843">
        <f t="shared" si="139"/>
        <v>136.93403431530558</v>
      </c>
      <c r="BK340" s="1843">
        <f t="shared" si="138"/>
        <v>140.64145359595904</v>
      </c>
      <c r="BL340" s="1843">
        <f t="shared" si="138"/>
        <v>144.4492493665866</v>
      </c>
      <c r="BM340" s="1843">
        <f t="shared" si="138"/>
        <v>135.44822895472328</v>
      </c>
      <c r="BO340" s="1739">
        <f t="shared" si="152"/>
        <v>2027</v>
      </c>
      <c r="BP340" s="1742">
        <f>_xlfn.IFNA(INDEX($AR340:$AX340,MATCH(BO340,$AR$2:$AX$2,0))*12/365*[11]核心假设及结论!$C$70*$H340,0)</f>
        <v>112290.31232876713</v>
      </c>
      <c r="BR340" s="1739">
        <f t="shared" si="157"/>
        <v>2030</v>
      </c>
      <c r="BS340" s="1742">
        <f>_xlfn.IFNA(INDEX($AR340:$AX340,MATCH(BR340,$AR$2:$AX$2,0))*12/365*[11]核心假设及结论!$C$70*$H340,0)</f>
        <v>118453.03038162942</v>
      </c>
      <c r="BU340" s="1739">
        <f t="shared" si="158"/>
        <v>2033</v>
      </c>
      <c r="BV340" s="1742">
        <f>_xlfn.IFNA(INDEX($AR340:$AX340,MATCH(BU340,$AR$2:$AX$2,0))*12/365*[11]核心假设及结论!$C$70*$H340,0)</f>
        <v>0</v>
      </c>
      <c r="BX340" s="1739">
        <f t="shared" si="159"/>
        <v>2036</v>
      </c>
      <c r="BY340" s="1742">
        <f>_xlfn.IFNA(INDEX($AR340:$AX340,MATCH(BX340,$AR$2:$AX$2,0))*12/365*[11]核心假设及结论!$C$70*$H340,0)</f>
        <v>0</v>
      </c>
      <c r="CA340" s="1739">
        <f t="shared" si="160"/>
        <v>2039</v>
      </c>
      <c r="CB340" s="1742">
        <f>_xlfn.IFNA(INDEX($AR340:$AX340,MATCH(CA340,$AR$2:$AX$2,0))*12/365*[11]核心假设及结论!$C$70*$H340,0)</f>
        <v>0</v>
      </c>
    </row>
    <row r="341" spans="1:80" ht="30" customHeight="1">
      <c r="A341" s="1756" t="s">
        <v>1687</v>
      </c>
      <c r="B341" s="1757" t="s">
        <v>2377</v>
      </c>
      <c r="C341" s="1756" t="s">
        <v>2378</v>
      </c>
      <c r="D341" s="1756" t="s">
        <v>1685</v>
      </c>
      <c r="E341" s="1758" t="s">
        <v>1692</v>
      </c>
      <c r="F341" s="1759"/>
      <c r="G341" s="1760" t="s">
        <v>1661</v>
      </c>
      <c r="H341" s="1761">
        <v>95</v>
      </c>
      <c r="I341" s="1761" t="s">
        <v>2356</v>
      </c>
      <c r="J341" s="1773">
        <v>45764</v>
      </c>
      <c r="K341" s="1773">
        <v>46453</v>
      </c>
      <c r="L341" s="1764">
        <f t="shared" si="142"/>
        <v>23</v>
      </c>
      <c r="M341" s="1774">
        <f t="shared" si="153"/>
        <v>87308.800000000003</v>
      </c>
      <c r="N341" s="1775">
        <f t="shared" si="154"/>
        <v>806.04000000000008</v>
      </c>
      <c r="O341" s="1760">
        <v>76573.8</v>
      </c>
      <c r="P341" s="1776">
        <v>0.18</v>
      </c>
      <c r="Q341" s="1783">
        <f t="shared" si="143"/>
        <v>95</v>
      </c>
      <c r="R341" s="1784">
        <v>9025</v>
      </c>
      <c r="S341" s="1777">
        <f t="shared" si="144"/>
        <v>18</v>
      </c>
      <c r="T341" s="1784">
        <v>1710</v>
      </c>
      <c r="U341" s="1777"/>
      <c r="V341" s="1785">
        <v>255707.875</v>
      </c>
      <c r="W341" s="1785">
        <f t="shared" si="145"/>
        <v>2691.6618421052631</v>
      </c>
      <c r="X341" s="1786">
        <f t="shared" si="162"/>
        <v>0.33475230279865259</v>
      </c>
      <c r="Y341" s="1789">
        <f>VLOOKUP(E341,[11]核心假设及结论!$C$25:$E$45,3,0)</f>
        <v>0.2</v>
      </c>
      <c r="Z341" s="1790">
        <f t="shared" si="163"/>
        <v>55358.449999999953</v>
      </c>
      <c r="AA341" s="1790">
        <f t="shared" si="163"/>
        <v>58047</v>
      </c>
      <c r="AB341" s="1790">
        <f t="shared" si="163"/>
        <v>58047</v>
      </c>
      <c r="AC341" s="1790">
        <f t="shared" si="161"/>
        <v>0</v>
      </c>
      <c r="AD341" s="1790">
        <f t="shared" si="161"/>
        <v>0</v>
      </c>
      <c r="AE341" s="1790">
        <f t="shared" si="161"/>
        <v>0</v>
      </c>
      <c r="AF341" s="1790">
        <f t="shared" si="161"/>
        <v>0</v>
      </c>
      <c r="AG341" s="1794">
        <v>582.72052631578902</v>
      </c>
      <c r="AH341" s="1794">
        <v>611.02105263157898</v>
      </c>
      <c r="AI341" s="1794">
        <v>611.02105263157898</v>
      </c>
      <c r="AJ341" s="1794">
        <v>0</v>
      </c>
      <c r="AK341" s="1794">
        <v>0</v>
      </c>
      <c r="AL341" s="1794">
        <v>0</v>
      </c>
      <c r="AM341" s="1794">
        <v>0</v>
      </c>
      <c r="AN341" s="1797"/>
      <c r="AO341" s="1797"/>
      <c r="AP341" s="1808">
        <f t="shared" si="155"/>
        <v>1.6737615139932629</v>
      </c>
      <c r="AQ341" s="1810">
        <f>IF(AP341&gt;[11]核心假设及结论!$B$59,[11]核心假设及结论!$D$59,IF(AP341&lt;=[11]核心假设及结论!$B$58,[11]核心假设及结论!$D$57,[11]核心假设及结论!$D$58))</f>
        <v>1</v>
      </c>
      <c r="AR341" s="1809">
        <f t="shared" si="156"/>
        <v>582.72052631578902</v>
      </c>
      <c r="AS341" s="1809">
        <f>AH341*(AS$2&lt;=YEAR($K341))+AR341*$AQ341*(AS$2=YEAR($K341)+1)+INDEX([11]核心假设及结论!$E$17:$E$21,MATCH($D341,[11]核心假设及结论!$B$17:$B$21,0))*(AS$2&gt;YEAR($K341)+1)*AR341</f>
        <v>611.02105263157898</v>
      </c>
      <c r="AT341" s="1809">
        <f>AI341*(AT$2&lt;=YEAR($K341))+AS341*$AQ341*(AT$2=YEAR($K341)+1)+INDEX([11]核心假设及结论!$E$17:$E$21,MATCH($D341,[11]核心假设及结论!$B$17:$B$21,0))*(AT$2&gt;YEAR($K341)+1)*AS341</f>
        <v>611.02105263157898</v>
      </c>
      <c r="AU341" s="1811">
        <f>AJ341*(AU$2&lt;=YEAR($K341))+AT341*$AQ341*(AU$2=YEAR($K341)+1)+INDEX([11]核心假设及结论!$E$17:$E$21,MATCH($D341,[11]核心假设及结论!$B$17:$B$21,0))*(AU$2&gt;YEAR($K341)+1)*AT341</f>
        <v>611.02105263157898</v>
      </c>
      <c r="AV341" s="1809">
        <f>AK341*(AV$2&lt;=YEAR($K341))+AU341*$AQ341*(AV$2=YEAR($K341)+1)+INDEX([11]核心假设及结论!$E$17:$E$21,MATCH($D341,[11]核心假设及结论!$B$17:$B$21,0))*(AV$2&gt;YEAR($K341)+1)*AU341</f>
        <v>627.56413662628086</v>
      </c>
      <c r="AW341" s="1809">
        <f>AL341*(AW$2&lt;=YEAR($K341))+AV341*$AQ341*(AW$2=YEAR($K341)+1)+INDEX([11]核心假设及结论!$E$17:$E$21,MATCH($D341,[11]核心假设及结论!$B$17:$B$21,0))*(AW$2&gt;YEAR($K341)+1)*AV341</f>
        <v>644.55511619982917</v>
      </c>
      <c r="AX341" s="1809">
        <f>AM341*(AX$2&lt;=YEAR($K341))+AW341*$AQ341*(AX$2=YEAR($K341)+1)+INDEX([11]核心假设及结论!$E$17:$E$21,MATCH($D341,[11]核心假设及结论!$B$17:$B$21,0))*(AX$2&gt;YEAR($K341)+1)*AW341</f>
        <v>662.00611789704556</v>
      </c>
      <c r="AZ341" s="1746">
        <f t="shared" si="146"/>
        <v>46453</v>
      </c>
      <c r="BA341" s="1817">
        <f t="shared" si="147"/>
        <v>45658</v>
      </c>
      <c r="BB341" s="1817">
        <f t="shared" si="148"/>
        <v>45723</v>
      </c>
      <c r="BC341" s="1841">
        <f t="shared" si="149"/>
        <v>46022</v>
      </c>
      <c r="BD341" s="1842">
        <f t="shared" si="150"/>
        <v>66</v>
      </c>
      <c r="BE341" s="1842">
        <f t="shared" si="151"/>
        <v>299</v>
      </c>
      <c r="BG341" s="1843">
        <f t="shared" si="137"/>
        <v>69.073021479452066</v>
      </c>
      <c r="BH341" s="1843">
        <f t="shared" si="139"/>
        <v>69.656400000000005</v>
      </c>
      <c r="BI341" s="1843">
        <f t="shared" si="139"/>
        <v>69.656400000000005</v>
      </c>
      <c r="BJ341" s="1843">
        <f t="shared" si="139"/>
        <v>71.201297427516181</v>
      </c>
      <c r="BK341" s="1843">
        <f t="shared" si="138"/>
        <v>73.129036314420603</v>
      </c>
      <c r="BL341" s="1843">
        <f t="shared" si="138"/>
        <v>75.108967750482776</v>
      </c>
      <c r="BM341" s="1843">
        <f t="shared" si="138"/>
        <v>13.646394605636635</v>
      </c>
      <c r="BO341" s="1739">
        <f t="shared" si="152"/>
        <v>2027</v>
      </c>
      <c r="BP341" s="1742">
        <f>_xlfn.IFNA(INDEX($AR341:$AX341,MATCH(BO341,$AR$2:$AX$2,0))*12/365*[11]核心假设及结论!$C$70*$H341,0)</f>
        <v>57251.835616438366</v>
      </c>
      <c r="BR341" s="1739">
        <f t="shared" si="157"/>
        <v>2029</v>
      </c>
      <c r="BS341" s="1742">
        <f>_xlfn.IFNA(INDEX($AR341:$AX341,MATCH(BR341,$AR$2:$AX$2,0))*12/365*[11]核心假设及结论!$C$70*$H341,0)</f>
        <v>58801.899924983038</v>
      </c>
      <c r="BU341" s="1739">
        <f t="shared" si="158"/>
        <v>2031</v>
      </c>
      <c r="BV341" s="1742">
        <f>_xlfn.IFNA(INDEX($AR341:$AX341,MATCH(BU341,$AR$2:$AX$2,0))*12/365*[11]核心假设及结论!$C$70*$H341,0)</f>
        <v>62029.066389257423</v>
      </c>
      <c r="BX341" s="1739">
        <f t="shared" si="159"/>
        <v>2033</v>
      </c>
      <c r="BY341" s="1742">
        <f>_xlfn.IFNA(INDEX($AR341:$AX341,MATCH(BX341,$AR$2:$AX$2,0))*12/365*[11]核心假设及结论!$C$70*$H341,0)</f>
        <v>0</v>
      </c>
      <c r="CA341" s="1739">
        <f t="shared" si="160"/>
        <v>2035</v>
      </c>
      <c r="CB341" s="1742">
        <f>_xlfn.IFNA(INDEX($AR341:$AX341,MATCH(CA341,$AR$2:$AX$2,0))*12/365*[11]核心假设及结论!$C$70*$H341,0)</f>
        <v>0</v>
      </c>
    </row>
    <row r="342" spans="1:80" ht="30" customHeight="1">
      <c r="A342" s="1756" t="s">
        <v>1687</v>
      </c>
      <c r="B342" s="1757" t="s">
        <v>2379</v>
      </c>
      <c r="C342" s="1756" t="s">
        <v>2380</v>
      </c>
      <c r="D342" s="1756" t="s">
        <v>1685</v>
      </c>
      <c r="E342" s="1758" t="s">
        <v>1692</v>
      </c>
      <c r="F342" s="1759"/>
      <c r="G342" s="1760" t="s">
        <v>1661</v>
      </c>
      <c r="H342" s="1761">
        <v>94</v>
      </c>
      <c r="I342" s="1761" t="s">
        <v>2356</v>
      </c>
      <c r="J342" s="1773">
        <v>44824</v>
      </c>
      <c r="K342" s="1773">
        <v>45919</v>
      </c>
      <c r="L342" s="1764">
        <f t="shared" si="142"/>
        <v>36</v>
      </c>
      <c r="M342" s="1774">
        <f t="shared" si="153"/>
        <v>99245.2</v>
      </c>
      <c r="N342" s="1775">
        <f t="shared" si="154"/>
        <v>942.8</v>
      </c>
      <c r="O342" s="1760">
        <v>88623.2</v>
      </c>
      <c r="P342" s="1776">
        <v>0.18</v>
      </c>
      <c r="Q342" s="1783">
        <f t="shared" si="143"/>
        <v>95</v>
      </c>
      <c r="R342" s="1784">
        <v>8930</v>
      </c>
      <c r="S342" s="1777">
        <f t="shared" si="144"/>
        <v>18</v>
      </c>
      <c r="T342" s="1784">
        <v>1692</v>
      </c>
      <c r="U342" s="1777"/>
      <c r="V342" s="1785">
        <v>131031.181818182</v>
      </c>
      <c r="W342" s="1785">
        <f t="shared" si="145"/>
        <v>1393.948742746617</v>
      </c>
      <c r="X342" s="1786">
        <f t="shared" si="162"/>
        <v>0.74450370244972808</v>
      </c>
      <c r="Y342" s="1789">
        <f>VLOOKUP(E342,[11]核心假设及结论!$C$25:$E$45,3,0)</f>
        <v>0.2</v>
      </c>
      <c r="Z342" s="1790">
        <f t="shared" si="163"/>
        <v>91487.000000000044</v>
      </c>
      <c r="AA342" s="1790">
        <f t="shared" si="163"/>
        <v>0</v>
      </c>
      <c r="AB342" s="1790">
        <f t="shared" si="163"/>
        <v>0</v>
      </c>
      <c r="AC342" s="1790">
        <f t="shared" si="161"/>
        <v>0</v>
      </c>
      <c r="AD342" s="1790">
        <f t="shared" si="161"/>
        <v>0</v>
      </c>
      <c r="AE342" s="1790">
        <f t="shared" si="161"/>
        <v>0</v>
      </c>
      <c r="AF342" s="1790">
        <f t="shared" si="161"/>
        <v>0</v>
      </c>
      <c r="AG342" s="1794">
        <v>973.26595744680901</v>
      </c>
      <c r="AH342" s="1794">
        <v>0</v>
      </c>
      <c r="AI342" s="1794">
        <v>0</v>
      </c>
      <c r="AJ342" s="1794">
        <v>0</v>
      </c>
      <c r="AK342" s="1794">
        <v>0</v>
      </c>
      <c r="AL342" s="1794">
        <v>0</v>
      </c>
      <c r="AM342" s="1794">
        <v>0</v>
      </c>
      <c r="AN342" s="1797"/>
      <c r="AO342" s="1797"/>
      <c r="AP342" s="1808">
        <f t="shared" si="155"/>
        <v>3.7225185122486404</v>
      </c>
      <c r="AQ342" s="1810">
        <f>IF(AP342&gt;[11]核心假设及结论!$B$59,[11]核心假设及结论!$D$59,IF(AP342&lt;=[11]核心假设及结论!$B$58,[11]核心假设及结论!$D$57,[11]核心假设及结论!$D$58))</f>
        <v>1</v>
      </c>
      <c r="AR342" s="1809">
        <f t="shared" si="156"/>
        <v>973.26595744680901</v>
      </c>
      <c r="AS342" s="1811">
        <f>AH342*(AS$2&lt;=YEAR($K342))+AR342*$AQ342*(AS$2=YEAR($K342)+1)+INDEX([11]核心假设及结论!$E$17:$E$21,MATCH($D342,[11]核心假设及结论!$B$17:$B$21,0))*(AS$2&gt;YEAR($K342)+1)*AR342</f>
        <v>973.26595744680901</v>
      </c>
      <c r="AT342" s="1809">
        <f>AI342*(AT$2&lt;=YEAR($K342))+AS342*$AQ342*(AT$2=YEAR($K342)+1)+INDEX([11]核心假设及结论!$E$17:$E$21,MATCH($D342,[11]核心假设及结论!$B$17:$B$21,0))*(AT$2&gt;YEAR($K342)+1)*AS342</f>
        <v>999.61663785934581</v>
      </c>
      <c r="AU342" s="1809">
        <f>AJ342*(AU$2&lt;=YEAR($K342))+AT342*$AQ342*(AU$2=YEAR($K342)+1)+INDEX([11]核心假设及结论!$E$17:$E$21,MATCH($D342,[11]核心假设及结论!$B$17:$B$21,0))*(AU$2&gt;YEAR($K342)+1)*AT342</f>
        <v>1026.6807495317462</v>
      </c>
      <c r="AV342" s="1809">
        <f>AK342*(AV$2&lt;=YEAR($K342))+AU342*$AQ342*(AV$2=YEAR($K342)+1)+INDEX([11]核心假设及结论!$E$17:$E$21,MATCH($D342,[11]核心假设及结论!$B$17:$B$21,0))*(AV$2&gt;YEAR($K342)+1)*AU342</f>
        <v>1054.4776082522396</v>
      </c>
      <c r="AW342" s="1809">
        <f>AL342*(AW$2&lt;=YEAR($K342))+AV342*$AQ342*(AW$2=YEAR($K342)+1)+INDEX([11]核心假设及结论!$E$17:$E$21,MATCH($D342,[11]核心假设及结论!$B$17:$B$21,0))*(AW$2&gt;YEAR($K342)+1)*AV342</f>
        <v>1083.0270527741902</v>
      </c>
      <c r="AX342" s="1809">
        <f>AM342*(AX$2&lt;=YEAR($K342))+AW342*$AQ342*(AX$2=YEAR($K342)+1)+INDEX([11]核心假设及结论!$E$17:$E$21,MATCH($D342,[11]核心假设及结论!$B$17:$B$21,0))*(AX$2&gt;YEAR($K342)+1)*AW342</f>
        <v>1112.3494589751119</v>
      </c>
      <c r="AZ342" s="1746">
        <f t="shared" si="146"/>
        <v>45919</v>
      </c>
      <c r="BA342" s="1817">
        <f t="shared" si="147"/>
        <v>45658</v>
      </c>
      <c r="BB342" s="1817">
        <f t="shared" si="148"/>
        <v>45919</v>
      </c>
      <c r="BC342" s="1841">
        <f t="shared" si="149"/>
        <v>46022</v>
      </c>
      <c r="BD342" s="1842">
        <f t="shared" si="150"/>
        <v>262</v>
      </c>
      <c r="BE342" s="1842">
        <f t="shared" si="151"/>
        <v>103</v>
      </c>
      <c r="BG342" s="1843">
        <f t="shared" ref="BG342:BG406" si="164">(AR342*$BD342*$H342*12/365+BE342*AS342*$H342*12/365)/10000</f>
        <v>109.78440000000005</v>
      </c>
      <c r="BH342" s="1843">
        <f t="shared" si="139"/>
        <v>110.62317464467134</v>
      </c>
      <c r="BI342" s="1843">
        <f t="shared" si="139"/>
        <v>113.61824079177975</v>
      </c>
      <c r="BJ342" s="1843">
        <f t="shared" si="139"/>
        <v>116.69439683035407</v>
      </c>
      <c r="BK342" s="1843">
        <f t="shared" si="138"/>
        <v>119.85383822793159</v>
      </c>
      <c r="BL342" s="1843">
        <f t="shared" si="138"/>
        <v>123.09881989321573</v>
      </c>
      <c r="BM342" s="1843">
        <f t="shared" si="138"/>
        <v>90.065564303470879</v>
      </c>
      <c r="BO342" s="1739">
        <f t="shared" si="152"/>
        <v>2025</v>
      </c>
      <c r="BP342" s="1742">
        <f>_xlfn.IFNA(INDEX($AR342:$AX342,MATCH(BO342,$AR$2:$AX$2,0))*12/365*[11]核心假设及结论!$C$70*$H342,0)</f>
        <v>90233.753424657581</v>
      </c>
      <c r="BR342" s="1739">
        <f t="shared" si="157"/>
        <v>2028</v>
      </c>
      <c r="BS342" s="1742">
        <f>_xlfn.IFNA(INDEX($AR342:$AX342,MATCH(BR342,$AR$2:$AX$2,0))*12/365*[11]核心假设及结论!$C$70*$H342,0)</f>
        <v>95185.963189463815</v>
      </c>
      <c r="BU342" s="1739">
        <f t="shared" si="158"/>
        <v>2031</v>
      </c>
      <c r="BV342" s="1742">
        <f>_xlfn.IFNA(INDEX($AR342:$AX342,MATCH(BU342,$AR$2:$AX$2,0))*12/365*[11]核心假设及结论!$C$70*$H342,0)</f>
        <v>103128.50874443229</v>
      </c>
      <c r="BX342" s="1739">
        <f t="shared" si="159"/>
        <v>2034</v>
      </c>
      <c r="BY342" s="1742">
        <f>_xlfn.IFNA(INDEX($AR342:$AX342,MATCH(BX342,$AR$2:$AX$2,0))*12/365*[11]核心假设及结论!$C$70*$H342,0)</f>
        <v>0</v>
      </c>
      <c r="CA342" s="1739">
        <f t="shared" si="160"/>
        <v>2037</v>
      </c>
      <c r="CB342" s="1742">
        <f>_xlfn.IFNA(INDEX($AR342:$AX342,MATCH(CA342,$AR$2:$AX$2,0))*12/365*[11]核心假设及结论!$C$70*$H342,0)</f>
        <v>0</v>
      </c>
    </row>
    <row r="343" spans="1:80" ht="30" customHeight="1">
      <c r="A343" s="1756" t="s">
        <v>1687</v>
      </c>
      <c r="B343" s="1757" t="s">
        <v>2381</v>
      </c>
      <c r="C343" s="1756" t="s">
        <v>2382</v>
      </c>
      <c r="D343" s="1756" t="s">
        <v>1685</v>
      </c>
      <c r="E343" s="1758" t="s">
        <v>1726</v>
      </c>
      <c r="F343" s="1759"/>
      <c r="G343" s="1760" t="s">
        <v>1661</v>
      </c>
      <c r="H343" s="1761">
        <v>93</v>
      </c>
      <c r="I343" s="1761" t="s">
        <v>2356</v>
      </c>
      <c r="J343" s="1773">
        <v>45667</v>
      </c>
      <c r="K343" s="1773">
        <v>46356</v>
      </c>
      <c r="L343" s="1764">
        <f t="shared" si="142"/>
        <v>23</v>
      </c>
      <c r="M343" s="1774">
        <f t="shared" si="153"/>
        <v>86885.25</v>
      </c>
      <c r="N343" s="1775">
        <f t="shared" si="154"/>
        <v>821.25</v>
      </c>
      <c r="O343" s="1760">
        <v>76376.25</v>
      </c>
      <c r="P343" s="1776">
        <v>7.0000000000000007E-2</v>
      </c>
      <c r="Q343" s="1783">
        <f t="shared" si="143"/>
        <v>95</v>
      </c>
      <c r="R343" s="1784">
        <v>8835</v>
      </c>
      <c r="S343" s="1777">
        <f t="shared" si="144"/>
        <v>18</v>
      </c>
      <c r="T343" s="1777">
        <v>1674</v>
      </c>
      <c r="U343" s="1777"/>
      <c r="V343" s="1785">
        <v>569422.83333333302</v>
      </c>
      <c r="W343" s="1785">
        <f t="shared" si="145"/>
        <v>6122.8261648745483</v>
      </c>
      <c r="X343" s="1786">
        <f t="shared" si="162"/>
        <v>0.14964494750093452</v>
      </c>
      <c r="Y343" s="1789">
        <f>VLOOKUP(E343,[11]核心假设及结论!$C$25:$E$45,3,0)</f>
        <v>0.1</v>
      </c>
      <c r="Z343" s="1790">
        <f t="shared" si="163"/>
        <v>77790.78</v>
      </c>
      <c r="AA343" s="1790">
        <f t="shared" si="163"/>
        <v>79205.31</v>
      </c>
      <c r="AB343" s="1790">
        <f t="shared" si="163"/>
        <v>0</v>
      </c>
      <c r="AC343" s="1790">
        <f t="shared" si="161"/>
        <v>0</v>
      </c>
      <c r="AD343" s="1790">
        <f t="shared" si="161"/>
        <v>0</v>
      </c>
      <c r="AE343" s="1790">
        <f t="shared" si="161"/>
        <v>0</v>
      </c>
      <c r="AF343" s="1790">
        <f t="shared" si="161"/>
        <v>0</v>
      </c>
      <c r="AG343" s="1794">
        <v>836.46</v>
      </c>
      <c r="AH343" s="1794">
        <v>851.67</v>
      </c>
      <c r="AI343" s="1794">
        <v>0</v>
      </c>
      <c r="AJ343" s="1794">
        <v>0</v>
      </c>
      <c r="AK343" s="1794">
        <v>0</v>
      </c>
      <c r="AL343" s="1794">
        <v>0</v>
      </c>
      <c r="AM343" s="1794">
        <v>0</v>
      </c>
      <c r="AN343" s="1795"/>
      <c r="AO343" s="1795"/>
      <c r="AP343" s="1808">
        <f t="shared" si="155"/>
        <v>1.4964494750093451</v>
      </c>
      <c r="AQ343" s="1810">
        <f>IF(AP343&gt;[11]核心假设及结论!$B$59,[11]核心假设及结论!$D$59,IF(AP343&lt;=[11]核心假设及结论!$B$58,[11]核心假设及结论!$D$57,[11]核心假设及结论!$D$58))</f>
        <v>1.0069999999999999</v>
      </c>
      <c r="AR343" s="1809">
        <f t="shared" si="156"/>
        <v>836.46</v>
      </c>
      <c r="AS343" s="1809">
        <f>AH343*(AS$2&lt;=YEAR($K343))+AR343*$AQ343*(AS$2=YEAR($K343)+1)+INDEX([11]核心假设及结论!$E$17:$E$21,MATCH($D343,[11]核心假设及结论!$B$17:$B$21,0))*(AS$2&gt;YEAR($K343)+1)*AR343</f>
        <v>851.67</v>
      </c>
      <c r="AT343" s="1811">
        <f>AI343*(AT$2&lt;=YEAR($K343))+AS343*$AQ343*(AT$2=YEAR($K343)+1)+INDEX([11]核心假设及结论!$E$17:$E$21,MATCH($D343,[11]核心假设及结论!$B$17:$B$21,0))*(AT$2&gt;YEAR($K343)+1)*AS343</f>
        <v>857.63168999999982</v>
      </c>
      <c r="AU343" s="1809">
        <f>AJ343*(AU$2&lt;=YEAR($K343))+AT343*$AQ343*(AU$2=YEAR($K343)+1)+INDEX([11]核心假设及结论!$E$17:$E$21,MATCH($D343,[11]核心假设及结论!$B$17:$B$21,0))*(AU$2&gt;YEAR($K343)+1)*AT343</f>
        <v>880.85163147842036</v>
      </c>
      <c r="AV343" s="1809">
        <f>AK343*(AV$2&lt;=YEAR($K343))+AU343*$AQ343*(AV$2=YEAR($K343)+1)+INDEX([11]核心假设及结论!$E$17:$E$21,MATCH($D343,[11]核心假设及结论!$B$17:$B$21,0))*(AV$2&gt;YEAR($K343)+1)*AU343</f>
        <v>904.70024105358675</v>
      </c>
      <c r="AW343" s="1809">
        <f>AL343*(AW$2&lt;=YEAR($K343))+AV343*$AQ343*(AW$2=YEAR($K343)+1)+INDEX([11]核心假设及结论!$E$17:$E$21,MATCH($D343,[11]核心假设及结论!$B$17:$B$21,0))*(AW$2&gt;YEAR($K343)+1)*AV343</f>
        <v>929.19453959423095</v>
      </c>
      <c r="AX343" s="1809">
        <f>AM343*(AX$2&lt;=YEAR($K343))+AW343*$AQ343*(AX$2=YEAR($K343)+1)+INDEX([11]核心假设及结论!$E$17:$E$21,MATCH($D343,[11]核心假设及结论!$B$17:$B$21,0))*(AX$2&gt;YEAR($K343)+1)*AW343</f>
        <v>954.35200880044215</v>
      </c>
      <c r="AZ343" s="1746">
        <f t="shared" si="146"/>
        <v>46356</v>
      </c>
      <c r="BA343" s="1817">
        <f t="shared" si="147"/>
        <v>45658</v>
      </c>
      <c r="BB343" s="1817">
        <f t="shared" si="148"/>
        <v>45991</v>
      </c>
      <c r="BC343" s="1841">
        <f t="shared" si="149"/>
        <v>46022</v>
      </c>
      <c r="BD343" s="1842">
        <f t="shared" si="150"/>
        <v>334</v>
      </c>
      <c r="BE343" s="1842">
        <f t="shared" si="151"/>
        <v>31</v>
      </c>
      <c r="BG343" s="1843">
        <f t="shared" si="164"/>
        <v>93.49310179726028</v>
      </c>
      <c r="BH343" s="1843">
        <f t="shared" si="139"/>
        <v>95.102879021161627</v>
      </c>
      <c r="BI343" s="1843">
        <f t="shared" si="139"/>
        <v>95.931783479448612</v>
      </c>
      <c r="BJ343" s="1843">
        <f t="shared" si="139"/>
        <v>98.529087688570499</v>
      </c>
      <c r="BK343" s="1843">
        <f t="shared" si="138"/>
        <v>101.19671258714526</v>
      </c>
      <c r="BL343" s="1843">
        <f t="shared" si="138"/>
        <v>103.93656207204717</v>
      </c>
      <c r="BM343" s="1843">
        <f t="shared" si="138"/>
        <v>97.459995936523839</v>
      </c>
      <c r="BO343" s="1739">
        <f t="shared" si="152"/>
        <v>2026</v>
      </c>
      <c r="BP343" s="1742">
        <f>_xlfn.IFNA(INDEX($AR343:$AX343,MATCH(BO343,$AR$2:$AX$2,0))*12/365*[11]核心假设及结论!$C$70*$H343,0)</f>
        <v>78120.305753424647</v>
      </c>
      <c r="BR343" s="1739">
        <f t="shared" si="157"/>
        <v>2028</v>
      </c>
      <c r="BS343" s="1742">
        <f>_xlfn.IFNA(INDEX($AR343:$AX343,MATCH(BR343,$AR$2:$AX$2,0))*12/365*[11]核心假设及结论!$C$70*$H343,0)</f>
        <v>80797.020881910998</v>
      </c>
      <c r="BU343" s="1739">
        <f t="shared" si="158"/>
        <v>2030</v>
      </c>
      <c r="BV343" s="1742">
        <f>_xlfn.IFNA(INDEX($AR343:$AX343,MATCH(BU343,$AR$2:$AX$2,0))*12/365*[11]核心假设及结论!$C$70*$H343,0)</f>
        <v>85231.323796205063</v>
      </c>
      <c r="BX343" s="1739">
        <f t="shared" si="159"/>
        <v>2032</v>
      </c>
      <c r="BY343" s="1742">
        <f>_xlfn.IFNA(INDEX($AR343:$AX343,MATCH(BX343,$AR$2:$AX$2,0))*12/365*[11]核心假设及结论!$C$70*$H343,0)</f>
        <v>0</v>
      </c>
      <c r="CA343" s="1739">
        <f t="shared" si="160"/>
        <v>2034</v>
      </c>
      <c r="CB343" s="1742">
        <f>_xlfn.IFNA(INDEX($AR343:$AX343,MATCH(CA343,$AR$2:$AX$2,0))*12/365*[11]核心假设及结论!$C$70*$H343,0)</f>
        <v>0</v>
      </c>
    </row>
    <row r="344" spans="1:80" ht="30" customHeight="1">
      <c r="A344" s="1756" t="s">
        <v>1666</v>
      </c>
      <c r="B344" s="1757" t="s">
        <v>2383</v>
      </c>
      <c r="C344" s="1756" t="s">
        <v>2384</v>
      </c>
      <c r="D344" s="1756" t="s">
        <v>1685</v>
      </c>
      <c r="E344" s="1758" t="s">
        <v>1692</v>
      </c>
      <c r="F344" s="1759"/>
      <c r="G344" s="1760" t="s">
        <v>1661</v>
      </c>
      <c r="H344" s="1761">
        <v>93</v>
      </c>
      <c r="I344" s="1761" t="s">
        <v>2356</v>
      </c>
      <c r="J344" s="1773">
        <v>44928</v>
      </c>
      <c r="K344" s="1773">
        <v>45658</v>
      </c>
      <c r="L344" s="1764">
        <f t="shared" si="142"/>
        <v>24</v>
      </c>
      <c r="M344" s="1774">
        <f t="shared" si="153"/>
        <v>79813.53</v>
      </c>
      <c r="N344" s="1775">
        <f t="shared" si="154"/>
        <v>745.21</v>
      </c>
      <c r="O344" s="1760">
        <v>69304.53</v>
      </c>
      <c r="P344" s="1776">
        <v>0.18</v>
      </c>
      <c r="Q344" s="1783">
        <f t="shared" si="143"/>
        <v>95</v>
      </c>
      <c r="R344" s="1784">
        <v>8835</v>
      </c>
      <c r="S344" s="1777">
        <f t="shared" si="144"/>
        <v>18</v>
      </c>
      <c r="T344" s="1777">
        <v>1674</v>
      </c>
      <c r="U344" s="1777"/>
      <c r="V344" s="1785">
        <v>173855.07916666701</v>
      </c>
      <c r="W344" s="1785">
        <f t="shared" si="145"/>
        <v>1869.4094534050216</v>
      </c>
      <c r="X344" s="1786">
        <f t="shared" si="162"/>
        <v>0.44945209754321391</v>
      </c>
      <c r="Y344" s="1789">
        <f>VLOOKUP(E344,[11]核心假设及结论!$C$25:$E$45,3,0)</f>
        <v>0.2</v>
      </c>
      <c r="Z344" s="1790">
        <f t="shared" si="163"/>
        <v>70719.06</v>
      </c>
      <c r="AA344" s="1790">
        <f t="shared" si="163"/>
        <v>0</v>
      </c>
      <c r="AB344" s="1790">
        <f t="shared" si="163"/>
        <v>0</v>
      </c>
      <c r="AC344" s="1790">
        <f t="shared" si="161"/>
        <v>0</v>
      </c>
      <c r="AD344" s="1790">
        <f t="shared" si="161"/>
        <v>0</v>
      </c>
      <c r="AE344" s="1790">
        <f t="shared" si="161"/>
        <v>0</v>
      </c>
      <c r="AF344" s="1790">
        <f t="shared" si="161"/>
        <v>0</v>
      </c>
      <c r="AG344" s="1794">
        <v>760.42</v>
      </c>
      <c r="AH344" s="1794">
        <v>0</v>
      </c>
      <c r="AI344" s="1794">
        <v>0</v>
      </c>
      <c r="AJ344" s="1794">
        <v>0</v>
      </c>
      <c r="AK344" s="1794">
        <v>0</v>
      </c>
      <c r="AL344" s="1794">
        <v>0</v>
      </c>
      <c r="AM344" s="1794">
        <v>0</v>
      </c>
      <c r="AN344" s="1795"/>
      <c r="AO344" s="1795"/>
      <c r="AP344" s="1808">
        <f t="shared" si="155"/>
        <v>2.2472604877160696</v>
      </c>
      <c r="AQ344" s="1810">
        <f>IF(AP344&gt;[11]核心假设及结论!$B$59,[11]核心假设及结论!$D$59,IF(AP344&lt;=[11]核心假设及结论!$B$58,[11]核心假设及结论!$D$57,[11]核心假设及结论!$D$58))</f>
        <v>1</v>
      </c>
      <c r="AR344" s="1809">
        <f t="shared" si="156"/>
        <v>760.42</v>
      </c>
      <c r="AS344" s="1811">
        <f>AH344*(AS$2&lt;=YEAR($K344))+AR344*$AQ344*(AS$2=YEAR($K344)+1)+INDEX([11]核心假设及结论!$E$17:$E$21,MATCH($D344,[11]核心假设及结论!$B$17:$B$21,0))*(AS$2&gt;YEAR($K344)+1)*AR344</f>
        <v>760.42</v>
      </c>
      <c r="AT344" s="1809">
        <f>AI344*(AT$2&lt;=YEAR($K344))+AS344*$AQ344*(AT$2=YEAR($K344)+1)+INDEX([11]核心假设及结论!$E$17:$E$21,MATCH($D344,[11]核心假设及结论!$B$17:$B$21,0))*(AT$2&gt;YEAR($K344)+1)*AS344</f>
        <v>781.00798445171779</v>
      </c>
      <c r="AU344" s="1809">
        <f>AJ344*(AU$2&lt;=YEAR($K344))+AT344*$AQ344*(AU$2=YEAR($K344)+1)+INDEX([11]核心假设及结论!$E$17:$E$21,MATCH($D344,[11]核心假设及结论!$B$17:$B$21,0))*(AU$2&gt;YEAR($K344)+1)*AT344</f>
        <v>802.15337810333062</v>
      </c>
      <c r="AV344" s="1809">
        <f>AK344*(AV$2&lt;=YEAR($K344))+AU344*$AQ344*(AV$2=YEAR($K344)+1)+INDEX([11]核心假设及结论!$E$17:$E$21,MATCH($D344,[11]核心假设及结论!$B$17:$B$21,0))*(AV$2&gt;YEAR($K344)+1)*AU344</f>
        <v>823.87127252520838</v>
      </c>
      <c r="AW344" s="1809">
        <f>AL344*(AW$2&lt;=YEAR($K344))+AV344*$AQ344*(AW$2=YEAR($K344)+1)+INDEX([11]核心假设及结论!$E$17:$E$21,MATCH($D344,[11]核心假设及结论!$B$17:$B$21,0))*(AW$2&gt;YEAR($K344)+1)*AV344</f>
        <v>846.17716788430732</v>
      </c>
      <c r="AX344" s="1809">
        <f>AM344*(AX$2&lt;=YEAR($K344))+AW344*$AQ344*(AX$2=YEAR($K344)+1)+INDEX([11]核心假设及结论!$E$17:$E$21,MATCH($D344,[11]核心假设及结论!$B$17:$B$21,0))*(AX$2&gt;YEAR($K344)+1)*AW344</f>
        <v>869.08698400671437</v>
      </c>
      <c r="AZ344" s="1746">
        <f t="shared" si="146"/>
        <v>45658</v>
      </c>
      <c r="BA344" s="1817">
        <f t="shared" si="147"/>
        <v>45658</v>
      </c>
      <c r="BB344" s="1817">
        <f t="shared" si="148"/>
        <v>45658</v>
      </c>
      <c r="BC344" s="1841">
        <f t="shared" si="149"/>
        <v>46022</v>
      </c>
      <c r="BD344" s="1842">
        <f t="shared" si="150"/>
        <v>1</v>
      </c>
      <c r="BE344" s="1842">
        <f t="shared" si="151"/>
        <v>364</v>
      </c>
      <c r="BG344" s="1843">
        <f t="shared" si="164"/>
        <v>84.862871999999996</v>
      </c>
      <c r="BH344" s="1843">
        <f t="shared" si="139"/>
        <v>87.154196218058786</v>
      </c>
      <c r="BI344" s="1843">
        <f t="shared" si="139"/>
        <v>89.513851719806979</v>
      </c>
      <c r="BJ344" s="1843">
        <f t="shared" si="139"/>
        <v>91.937393693217402</v>
      </c>
      <c r="BK344" s="1843">
        <f t="shared" si="138"/>
        <v>94.426551831992612</v>
      </c>
      <c r="BL344" s="1843">
        <f t="shared" si="138"/>
        <v>96.983102660411646</v>
      </c>
      <c r="BM344" s="1843">
        <f t="shared" si="138"/>
        <v>0.26572632168534066</v>
      </c>
      <c r="BO344" s="1739">
        <f t="shared" si="152"/>
        <v>2025</v>
      </c>
      <c r="BP344" s="1742">
        <f>_xlfn.IFNA(INDEX($AR344:$AX344,MATCH(BO344,$AR$2:$AX$2,0))*12/365*[11]核心假设及结论!$C$70*$H344,0)</f>
        <v>69750.305753424647</v>
      </c>
      <c r="BR344" s="1739">
        <f t="shared" si="157"/>
        <v>2027</v>
      </c>
      <c r="BS344" s="1742">
        <f>_xlfn.IFNA(INDEX($AR344:$AX344,MATCH(BR344,$AR$2:$AX$2,0))*12/365*[11]核心假设及结论!$C$70*$H344,0)</f>
        <v>71638.759779297296</v>
      </c>
      <c r="BU344" s="1739">
        <f t="shared" si="158"/>
        <v>2029</v>
      </c>
      <c r="BV344" s="1742">
        <f>_xlfn.IFNA(INDEX($AR344:$AX344,MATCH(BU344,$AR$2:$AX$2,0))*12/365*[11]核心假设及结论!$C$70*$H344,0)</f>
        <v>75570.438915462946</v>
      </c>
      <c r="BX344" s="1739">
        <f t="shared" si="159"/>
        <v>2031</v>
      </c>
      <c r="BY344" s="1742">
        <f>_xlfn.IFNA(INDEX($AR344:$AX344,MATCH(BX344,$AR$2:$AX$2,0))*12/365*[11]核心假设及结论!$C$70*$H344,0)</f>
        <v>79717.896505602184</v>
      </c>
      <c r="CA344" s="1739">
        <f t="shared" si="160"/>
        <v>2033</v>
      </c>
      <c r="CB344" s="1742">
        <f>_xlfn.IFNA(INDEX($AR344:$AX344,MATCH(CA344,$AR$2:$AX$2,0))*12/365*[11]核心假设及结论!$C$70*$H344,0)</f>
        <v>0</v>
      </c>
    </row>
    <row r="345" spans="1:80" ht="30" customHeight="1">
      <c r="A345" s="1756" t="s">
        <v>1687</v>
      </c>
      <c r="B345" s="1757" t="s">
        <v>2385</v>
      </c>
      <c r="C345" s="1756" t="s">
        <v>2386</v>
      </c>
      <c r="D345" s="1756" t="s">
        <v>1676</v>
      </c>
      <c r="E345" s="1758" t="s">
        <v>1677</v>
      </c>
      <c r="F345" s="1759"/>
      <c r="G345" s="1760" t="s">
        <v>1661</v>
      </c>
      <c r="H345" s="1761">
        <v>93</v>
      </c>
      <c r="I345" s="1761" t="s">
        <v>2356</v>
      </c>
      <c r="J345" s="1773">
        <v>44819</v>
      </c>
      <c r="K345" s="1773">
        <v>45914</v>
      </c>
      <c r="L345" s="1764">
        <f t="shared" si="142"/>
        <v>36</v>
      </c>
      <c r="M345" s="1774">
        <f t="shared" si="153"/>
        <v>36981.450000000004</v>
      </c>
      <c r="N345" s="1775">
        <f t="shared" si="154"/>
        <v>289.03000000000003</v>
      </c>
      <c r="O345" s="1760">
        <v>26879.79</v>
      </c>
      <c r="P345" s="1776">
        <v>0.11</v>
      </c>
      <c r="Q345" s="1783">
        <f t="shared" si="143"/>
        <v>90</v>
      </c>
      <c r="R345" s="1784">
        <v>8370</v>
      </c>
      <c r="S345" s="1777">
        <f t="shared" si="144"/>
        <v>18.62</v>
      </c>
      <c r="T345" s="1784">
        <v>1731.66</v>
      </c>
      <c r="U345" s="1777"/>
      <c r="V345" s="1785">
        <v>47018.728333333303</v>
      </c>
      <c r="W345" s="1785">
        <f t="shared" si="145"/>
        <v>505.57772401433658</v>
      </c>
      <c r="X345" s="1786">
        <f t="shared" si="162"/>
        <v>0.74969679635104314</v>
      </c>
      <c r="Y345" s="1789">
        <f>VLOOKUP(E345,[11]核心假设及结论!$C$25:$E$45,3,0)</f>
        <v>0.25</v>
      </c>
      <c r="Z345" s="1790">
        <f t="shared" si="163"/>
        <v>28276.65</v>
      </c>
      <c r="AA345" s="1790">
        <f t="shared" si="163"/>
        <v>0</v>
      </c>
      <c r="AB345" s="1790">
        <f t="shared" si="163"/>
        <v>0</v>
      </c>
      <c r="AC345" s="1790">
        <f t="shared" si="161"/>
        <v>0</v>
      </c>
      <c r="AD345" s="1790">
        <f t="shared" si="161"/>
        <v>0</v>
      </c>
      <c r="AE345" s="1790">
        <f t="shared" si="161"/>
        <v>0</v>
      </c>
      <c r="AF345" s="1790">
        <f t="shared" si="161"/>
        <v>0</v>
      </c>
      <c r="AG345" s="1794">
        <v>304.05</v>
      </c>
      <c r="AH345" s="1794">
        <v>0</v>
      </c>
      <c r="AI345" s="1794">
        <v>0</v>
      </c>
      <c r="AJ345" s="1794">
        <v>0</v>
      </c>
      <c r="AK345" s="1794">
        <v>0</v>
      </c>
      <c r="AL345" s="1794">
        <v>0</v>
      </c>
      <c r="AM345" s="1794">
        <v>0</v>
      </c>
      <c r="AN345" s="1797"/>
      <c r="AO345" s="1797"/>
      <c r="AP345" s="1808">
        <f t="shared" si="155"/>
        <v>2.9987871854041726</v>
      </c>
      <c r="AQ345" s="1808">
        <f>IF(AP345&gt;[11]核心假设及结论!$B$65,[11]核心假设及结论!$D$65,IF(AP345&lt;=[11]核心假设及结论!$B$64,[11]核心假设及结论!$D$63,[11]核心假设及结论!$D$64))</f>
        <v>0.72793038402688603</v>
      </c>
      <c r="AR345" s="1809">
        <f t="shared" si="156"/>
        <v>304.05</v>
      </c>
      <c r="AS345" s="1811">
        <f>AH345*(AS$2&lt;=YEAR($K345))+AR345*$AQ345*(AS$2=YEAR($K345)+1)+INDEX([11]核心假设及结论!$E$17:$E$21,MATCH($D345,[11]核心假设及结论!$B$17:$B$21,0))*(AS$2&gt;YEAR($K345)+1)*AR345</f>
        <v>221.32723326337469</v>
      </c>
      <c r="AT345" s="1809">
        <f>AI345*(AT$2&lt;=YEAR($K345))+AS345*$AQ345*(AT$2=YEAR($K345)+1)+INDEX([11]核心假设及结论!$E$17:$E$21,MATCH($D345,[11]核心假设及结论!$B$17:$B$21,0))*(AT$2&gt;YEAR($K345)+1)*AS345</f>
        <v>228.97964171903544</v>
      </c>
      <c r="AU345" s="1809">
        <f>AJ345*(AU$2&lt;=YEAR($K345))+AT345*$AQ345*(AU$2=YEAR($K345)+1)+INDEX([11]核心假设及结论!$E$17:$E$21,MATCH($D345,[11]核心假设及结论!$B$17:$B$21,0))*(AU$2&gt;YEAR($K345)+1)*AT345</f>
        <v>236.89663286661727</v>
      </c>
      <c r="AV345" s="1809">
        <f>AK345*(AV$2&lt;=YEAR($K345))+AU345*$AQ345*(AV$2=YEAR($K345)+1)+INDEX([11]核心假设及结论!$E$17:$E$21,MATCH($D345,[11]核心假设及结论!$B$17:$B$21,0))*(AV$2&gt;YEAR($K345)+1)*AU345</f>
        <v>245.08735467584367</v>
      </c>
      <c r="AW345" s="1809">
        <f>AL345*(AW$2&lt;=YEAR($K345))+AV345*$AQ345*(AW$2=YEAR($K345)+1)+INDEX([11]核心假设及结论!$E$17:$E$21,MATCH($D345,[11]核心假设及结论!$B$17:$B$21,0))*(AW$2&gt;YEAR($K345)+1)*AV345</f>
        <v>253.56127140829176</v>
      </c>
      <c r="AX345" s="1809">
        <f>AM345*(AX$2&lt;=YEAR($K345))+AW345*$AQ345*(AX$2=YEAR($K345)+1)+INDEX([11]核心假设及结论!$E$17:$E$21,MATCH($D345,[11]核心假设及结论!$B$17:$B$21,0))*(AX$2&gt;YEAR($K345)+1)*AW345</f>
        <v>262.32817455321077</v>
      </c>
      <c r="AZ345" s="1746">
        <f t="shared" si="146"/>
        <v>45914</v>
      </c>
      <c r="BA345" s="1817">
        <f t="shared" si="147"/>
        <v>45658</v>
      </c>
      <c r="BB345" s="1817">
        <f t="shared" si="148"/>
        <v>45914</v>
      </c>
      <c r="BC345" s="1841">
        <f t="shared" si="149"/>
        <v>46022</v>
      </c>
      <c r="BD345" s="1842">
        <f t="shared" si="150"/>
        <v>257</v>
      </c>
      <c r="BE345" s="1842">
        <f t="shared" si="151"/>
        <v>108</v>
      </c>
      <c r="BG345" s="1843">
        <f t="shared" si="164"/>
        <v>31.200360923498089</v>
      </c>
      <c r="BH345" s="1843">
        <f t="shared" si="139"/>
        <v>24.95281224214984</v>
      </c>
      <c r="BI345" s="1843">
        <f t="shared" si="139"/>
        <v>25.81555790873086</v>
      </c>
      <c r="BJ345" s="1843">
        <f t="shared" si="139"/>
        <v>26.708133082222002</v>
      </c>
      <c r="BK345" s="1843">
        <f t="shared" si="138"/>
        <v>27.631569120434701</v>
      </c>
      <c r="BL345" s="1843">
        <f t="shared" si="138"/>
        <v>28.586933040466953</v>
      </c>
      <c r="BM345" s="1843">
        <f t="shared" si="138"/>
        <v>20.613388602727529</v>
      </c>
      <c r="BO345" s="1739">
        <f t="shared" si="152"/>
        <v>2025</v>
      </c>
      <c r="BP345" s="1742">
        <f>_xlfn.IFNA(INDEX($AR345:$AX345,MATCH(BO345,$AR$2:$AX$2,0))*12/365*[11]核心假设及结论!$C$70*$H345,0)</f>
        <v>27889.298630136989</v>
      </c>
      <c r="BR345" s="1739">
        <f t="shared" si="157"/>
        <v>2028</v>
      </c>
      <c r="BS345" s="1742">
        <f>_xlfn.IFNA(INDEX($AR345:$AX345,MATCH(BR345,$AR$2:$AX$2,0))*12/365*[11]核心假设及结论!$C$70*$H345,0)</f>
        <v>21729.587036642046</v>
      </c>
      <c r="BU345" s="1739">
        <f t="shared" si="158"/>
        <v>2031</v>
      </c>
      <c r="BV345" s="1742">
        <f>_xlfn.IFNA(INDEX($AR345:$AX345,MATCH(BU345,$AR$2:$AX$2,0))*12/365*[11]核心假设及结论!$C$70*$H345,0)</f>
        <v>24062.321326141082</v>
      </c>
      <c r="BX345" s="1739">
        <f t="shared" si="159"/>
        <v>2034</v>
      </c>
      <c r="BY345" s="1742">
        <f>_xlfn.IFNA(INDEX($AR345:$AX345,MATCH(BX345,$AR$2:$AX$2,0))*12/365*[11]核心假设及结论!$C$70*$H345,0)</f>
        <v>0</v>
      </c>
      <c r="CA345" s="1739">
        <f t="shared" si="160"/>
        <v>2037</v>
      </c>
      <c r="CB345" s="1742">
        <f>_xlfn.IFNA(INDEX($AR345:$AX345,MATCH(CA345,$AR$2:$AX$2,0))*12/365*[11]核心假设及结论!$C$70*$H345,0)</f>
        <v>0</v>
      </c>
    </row>
    <row r="346" spans="1:80" ht="30" customHeight="1">
      <c r="A346" s="1831" t="s">
        <v>1687</v>
      </c>
      <c r="B346" s="1832" t="s">
        <v>2387</v>
      </c>
      <c r="C346" s="1831" t="s">
        <v>2388</v>
      </c>
      <c r="D346" s="1831" t="s">
        <v>1685</v>
      </c>
      <c r="E346" s="1831" t="s">
        <v>1871</v>
      </c>
      <c r="F346" s="1833"/>
      <c r="G346" s="1760" t="s">
        <v>1661</v>
      </c>
      <c r="H346" s="1761">
        <v>92</v>
      </c>
      <c r="I346" s="1835" t="s">
        <v>2356</v>
      </c>
      <c r="J346" s="1773">
        <v>45285</v>
      </c>
      <c r="K346" s="1773">
        <v>46380</v>
      </c>
      <c r="L346" s="1764">
        <f t="shared" si="142"/>
        <v>36</v>
      </c>
      <c r="M346" s="1774">
        <f t="shared" si="153"/>
        <v>125127.36</v>
      </c>
      <c r="N346" s="1775">
        <f t="shared" si="154"/>
        <v>1247.08</v>
      </c>
      <c r="O346" s="1836">
        <v>114731.36</v>
      </c>
      <c r="P346" s="1837">
        <v>0.18</v>
      </c>
      <c r="Q346" s="1783">
        <f t="shared" si="143"/>
        <v>95</v>
      </c>
      <c r="R346" s="1836">
        <v>8740</v>
      </c>
      <c r="S346" s="1777">
        <f t="shared" si="144"/>
        <v>18</v>
      </c>
      <c r="T346" s="1836">
        <v>1656</v>
      </c>
      <c r="U346" s="1836"/>
      <c r="V346" s="1838">
        <v>496749.22249999997</v>
      </c>
      <c r="W346" s="1785">
        <f t="shared" si="145"/>
        <v>5399.4480706521736</v>
      </c>
      <c r="X346" s="1786">
        <f>(N346+Q346+S346)*H346/V346</f>
        <v>0.25189241237312654</v>
      </c>
      <c r="Y346" s="1789">
        <f>VLOOKUP(E346,[11]核心假设及结论!$C$25:$E$45,3,0)</f>
        <v>0.2</v>
      </c>
      <c r="Z346" s="1790">
        <f t="shared" si="163"/>
        <v>116130.68</v>
      </c>
      <c r="AA346" s="1790">
        <f t="shared" si="163"/>
        <v>117530</v>
      </c>
      <c r="AB346" s="1790">
        <f t="shared" si="163"/>
        <v>0</v>
      </c>
      <c r="AC346" s="1790">
        <f t="shared" si="161"/>
        <v>0</v>
      </c>
      <c r="AD346" s="1790">
        <f t="shared" si="161"/>
        <v>0</v>
      </c>
      <c r="AE346" s="1790">
        <f t="shared" si="161"/>
        <v>0</v>
      </c>
      <c r="AF346" s="1790">
        <f t="shared" si="161"/>
        <v>0</v>
      </c>
      <c r="AG346" s="1839">
        <v>1262.29</v>
      </c>
      <c r="AH346" s="1839">
        <v>1277.5</v>
      </c>
      <c r="AI346" s="1839">
        <v>0</v>
      </c>
      <c r="AJ346" s="1839">
        <v>0</v>
      </c>
      <c r="AK346" s="1839">
        <v>0</v>
      </c>
      <c r="AL346" s="1839">
        <v>0</v>
      </c>
      <c r="AM346" s="1839">
        <v>0</v>
      </c>
      <c r="AN346" s="1840"/>
      <c r="AO346" s="1840"/>
      <c r="AP346" s="1808">
        <f t="shared" si="155"/>
        <v>1.2594620618656327</v>
      </c>
      <c r="AQ346" s="1810">
        <f>IF(AP346&gt;[11]核心假设及结论!$B$59,[11]核心假设及结论!$D$59,IF(AP346&lt;=[11]核心假设及结论!$B$58,[11]核心假设及结论!$D$57,[11]核心假设及结论!$D$58))</f>
        <v>1.0069999999999999</v>
      </c>
      <c r="AR346" s="1809">
        <f t="shared" si="156"/>
        <v>1262.29</v>
      </c>
      <c r="AS346" s="1809">
        <f>AH346*(AS$2&lt;=YEAR($K346))+AR346*$AQ346*(AS$2=YEAR($K346)+1)+INDEX([11]核心假设及结论!$E$17:$E$21,MATCH($D346,[11]核心假设及结论!$B$17:$B$21,0))*(AS$2&gt;YEAR($K346)+1)*AR346</f>
        <v>1277.5</v>
      </c>
      <c r="AT346" s="1811">
        <f>AI346*(AT$2&lt;=YEAR($K346))+AS346*$AQ346*(AT$2=YEAR($K346)+1)+INDEX([11]核心假设及结论!$E$17:$E$21,MATCH($D346,[11]核心假设及结论!$B$17:$B$21,0))*(AT$2&gt;YEAR($K346)+1)*AS346</f>
        <v>1286.4424999999999</v>
      </c>
      <c r="AU346" s="1809">
        <f>AJ346*(AU$2&lt;=YEAR($K346))+AT346*$AQ346*(AU$2=YEAR($K346)+1)+INDEX([11]核心假设及结论!$E$17:$E$21,MATCH($D346,[11]核心假设及结论!$B$17:$B$21,0))*(AU$2&gt;YEAR($K346)+1)*AT346</f>
        <v>1321.2722758975683</v>
      </c>
      <c r="AV346" s="1809">
        <f>AK346*(AV$2&lt;=YEAR($K346))+AU346*$AQ346*(AV$2=YEAR($K346)+1)+INDEX([11]核心假设及结论!$E$17:$E$21,MATCH($D346,[11]核心假设及结论!$B$17:$B$21,0))*(AV$2&gt;YEAR($K346)+1)*AU346</f>
        <v>1357.0450502494593</v>
      </c>
      <c r="AW346" s="1809">
        <f>AL346*(AW$2&lt;=YEAR($K346))+AV346*$AQ346*(AW$2=YEAR($K346)+1)+INDEX([11]核心假设及结论!$E$17:$E$21,MATCH($D346,[11]核心假设及结论!$B$17:$B$21,0))*(AW$2&gt;YEAR($K346)+1)*AV346</f>
        <v>1393.7863542588443</v>
      </c>
      <c r="AX346" s="1809">
        <f>AM346*(AX$2&lt;=YEAR($K346))+AW346*$AQ346*(AX$2=YEAR($K346)+1)+INDEX([11]核心假设及结论!$E$17:$E$21,MATCH($D346,[11]核心假设及结论!$B$17:$B$21,0))*(AX$2&gt;YEAR($K346)+1)*AW346</f>
        <v>1431.5224103732253</v>
      </c>
      <c r="AY346" s="1738"/>
      <c r="AZ346" s="1746">
        <f t="shared" si="146"/>
        <v>46380</v>
      </c>
      <c r="BA346" s="1817">
        <f t="shared" si="147"/>
        <v>45658</v>
      </c>
      <c r="BB346" s="1817">
        <f t="shared" si="148"/>
        <v>46015</v>
      </c>
      <c r="BC346" s="1841">
        <f t="shared" si="149"/>
        <v>46022</v>
      </c>
      <c r="BD346" s="1842">
        <f t="shared" si="150"/>
        <v>358</v>
      </c>
      <c r="BE346" s="1842">
        <f t="shared" si="151"/>
        <v>7</v>
      </c>
      <c r="BF346" s="1738"/>
      <c r="BG346" s="1843">
        <f t="shared" si="164"/>
        <v>139.38901952876711</v>
      </c>
      <c r="BH346" s="1843">
        <f t="shared" si="139"/>
        <v>141.0549336</v>
      </c>
      <c r="BI346" s="1843">
        <f t="shared" si="139"/>
        <v>142.09699570085928</v>
      </c>
      <c r="BJ346" s="1843">
        <f t="shared" si="139"/>
        <v>145.94419953311657</v>
      </c>
      <c r="BK346" s="1843">
        <f t="shared" si="138"/>
        <v>149.89556445093336</v>
      </c>
      <c r="BL346" s="1843">
        <f t="shared" si="138"/>
        <v>153.95391056268377</v>
      </c>
      <c r="BM346" s="1843">
        <f t="shared" si="138"/>
        <v>155.00916857441931</v>
      </c>
      <c r="BO346" s="1739">
        <f t="shared" si="152"/>
        <v>2026</v>
      </c>
      <c r="BP346" s="1742">
        <f>_xlfn.IFNA(INDEX($AR346:$AX346,MATCH(BO346,$AR$2:$AX$2,0))*12/365*[11]核心假设及结论!$C$70*$H346,0)</f>
        <v>115920</v>
      </c>
      <c r="BR346" s="1739">
        <f t="shared" si="157"/>
        <v>2029</v>
      </c>
      <c r="BS346" s="1742">
        <f>_xlfn.IFNA(INDEX($AR346:$AX346,MATCH(BR346,$AR$2:$AX$2,0))*12/365*[11]核心假设及结论!$C$70*$H346,0)</f>
        <v>123137.89606647147</v>
      </c>
      <c r="BU346" s="1739">
        <f t="shared" si="158"/>
        <v>2032</v>
      </c>
      <c r="BV346" s="1742">
        <f>_xlfn.IFNA(INDEX($AR346:$AX346,MATCH(BU346,$AR$2:$AX$2,0))*12/365*[11]核心假设及结论!$C$70*$H346,0)</f>
        <v>0</v>
      </c>
      <c r="BX346" s="1739">
        <f t="shared" si="159"/>
        <v>2035</v>
      </c>
      <c r="BY346" s="1742">
        <f>_xlfn.IFNA(INDEX($AR346:$AX346,MATCH(BX346,$AR$2:$AX$2,0))*12/365*[11]核心假设及结论!$C$70*$H346,0)</f>
        <v>0</v>
      </c>
      <c r="CA346" s="1739">
        <f t="shared" si="160"/>
        <v>2038</v>
      </c>
      <c r="CB346" s="1742">
        <f>_xlfn.IFNA(INDEX($AR346:$AX346,MATCH(CA346,$AR$2:$AX$2,0))*12/365*[11]核心假设及结论!$C$70*$H346,0)</f>
        <v>0</v>
      </c>
    </row>
    <row r="347" spans="1:80" ht="30" customHeight="1">
      <c r="A347" s="1831" t="s">
        <v>1687</v>
      </c>
      <c r="B347" s="1832" t="s">
        <v>2389</v>
      </c>
      <c r="C347" s="1831" t="s">
        <v>2390</v>
      </c>
      <c r="D347" s="1831" t="s">
        <v>1685</v>
      </c>
      <c r="E347" s="1831" t="s">
        <v>1726</v>
      </c>
      <c r="F347" s="1833"/>
      <c r="G347" s="1760" t="s">
        <v>1661</v>
      </c>
      <c r="H347" s="1761">
        <v>92</v>
      </c>
      <c r="I347" s="1835" t="s">
        <v>2356</v>
      </c>
      <c r="J347" s="1773">
        <v>45253</v>
      </c>
      <c r="K347" s="1773">
        <v>45983</v>
      </c>
      <c r="L347" s="1764">
        <f t="shared" si="142"/>
        <v>24</v>
      </c>
      <c r="M347" s="1774">
        <f t="shared" si="153"/>
        <v>84551.679999999993</v>
      </c>
      <c r="N347" s="1775">
        <f t="shared" si="154"/>
        <v>806.04</v>
      </c>
      <c r="O347" s="1836">
        <v>74155.679999999993</v>
      </c>
      <c r="P347" s="1837">
        <v>0.08</v>
      </c>
      <c r="Q347" s="1783">
        <f t="shared" si="143"/>
        <v>95</v>
      </c>
      <c r="R347" s="1836">
        <v>8740</v>
      </c>
      <c r="S347" s="1777">
        <f t="shared" si="144"/>
        <v>18</v>
      </c>
      <c r="T347" s="1836">
        <v>1656</v>
      </c>
      <c r="U347" s="1836"/>
      <c r="V347" s="1785">
        <v>787257.83333333302</v>
      </c>
      <c r="W347" s="1785">
        <f t="shared" si="145"/>
        <v>8557.1503623188364</v>
      </c>
      <c r="X347" s="1786">
        <f>(N347+Q347)*H347/V347</f>
        <v>0.10529673569459565</v>
      </c>
      <c r="Y347" s="1789">
        <f>VLOOKUP(E347,[11]核心假设及结论!$C$25:$E$45,3,0)</f>
        <v>0.1</v>
      </c>
      <c r="Z347" s="1790">
        <f t="shared" si="163"/>
        <v>74155.679999999993</v>
      </c>
      <c r="AA347" s="1790">
        <f t="shared" si="163"/>
        <v>0</v>
      </c>
      <c r="AB347" s="1790">
        <f t="shared" si="163"/>
        <v>0</v>
      </c>
      <c r="AC347" s="1790">
        <f t="shared" si="161"/>
        <v>0</v>
      </c>
      <c r="AD347" s="1790">
        <f t="shared" si="161"/>
        <v>0</v>
      </c>
      <c r="AE347" s="1790">
        <f t="shared" si="161"/>
        <v>0</v>
      </c>
      <c r="AF347" s="1790">
        <f t="shared" si="161"/>
        <v>0</v>
      </c>
      <c r="AG347" s="1839">
        <v>806.04</v>
      </c>
      <c r="AH347" s="1839">
        <v>0</v>
      </c>
      <c r="AI347" s="1839">
        <v>0</v>
      </c>
      <c r="AJ347" s="1839">
        <v>0</v>
      </c>
      <c r="AK347" s="1839">
        <v>0</v>
      </c>
      <c r="AL347" s="1839">
        <v>0</v>
      </c>
      <c r="AM347" s="1839">
        <v>0</v>
      </c>
      <c r="AN347" s="1840"/>
      <c r="AO347" s="1840"/>
      <c r="AP347" s="1808">
        <f t="shared" si="155"/>
        <v>1.0529673569459563</v>
      </c>
      <c r="AQ347" s="1810">
        <f>IF(AP347&gt;[11]核心假设及结论!$B$59,[11]核心假设及结论!$D$59,IF(AP347&lt;=[11]核心假设及结论!$B$58,[11]核心假设及结论!$D$57,[11]核心假设及结论!$D$58))</f>
        <v>1.0069999999999999</v>
      </c>
      <c r="AR347" s="1809">
        <f t="shared" si="156"/>
        <v>806.04</v>
      </c>
      <c r="AS347" s="1811">
        <f>AH347*(AS$2&lt;=YEAR($K347))+AR347*$AQ347*(AS$2=YEAR($K347)+1)+INDEX([11]核心假设及结论!$E$17:$E$21,MATCH($D347,[11]核心假设及结论!$B$17:$B$21,0))*(AS$2&gt;YEAR($K347)+1)*AR347</f>
        <v>811.68227999999988</v>
      </c>
      <c r="AT347" s="1809">
        <f>AI347*(AT$2&lt;=YEAR($K347))+AS347*$AQ347*(AT$2=YEAR($K347)+1)+INDEX([11]核心假设及结论!$E$17:$E$21,MATCH($D347,[11]核心假设及结论!$B$17:$B$21,0))*(AT$2&gt;YEAR($K347)+1)*AS347</f>
        <v>833.65816459058783</v>
      </c>
      <c r="AU347" s="1809">
        <f>AJ347*(AU$2&lt;=YEAR($K347))+AT347*$AQ347*(AU$2=YEAR($K347)+1)+INDEX([11]核心假设及结论!$E$17:$E$21,MATCH($D347,[11]核心假设及结论!$B$17:$B$21,0))*(AU$2&gt;YEAR($K347)+1)*AT347</f>
        <v>856.22903507089961</v>
      </c>
      <c r="AV347" s="1809">
        <f>AK347*(AV$2&lt;=YEAR($K347))+AU347*$AQ347*(AV$2=YEAR($K347)+1)+INDEX([11]核心假设及结论!$E$17:$E$21,MATCH($D347,[11]核心假设及结论!$B$17:$B$21,0))*(AV$2&gt;YEAR($K347)+1)*AU347</f>
        <v>879.41100038105594</v>
      </c>
      <c r="AW347" s="1809">
        <f>AL347*(AW$2&lt;=YEAR($K347))+AV347*$AQ347*(AW$2=YEAR($K347)+1)+INDEX([11]核心假设及结论!$E$17:$E$21,MATCH($D347,[11]核心假设及结论!$B$17:$B$21,0))*(AW$2&gt;YEAR($K347)+1)*AV347</f>
        <v>903.22060560253203</v>
      </c>
      <c r="AX347" s="1809">
        <f>AM347*(AX$2&lt;=YEAR($K347))+AW347*$AQ347*(AX$2=YEAR($K347)+1)+INDEX([11]核心假设及结论!$E$17:$E$21,MATCH($D347,[11]核心假设及结论!$B$17:$B$21,0))*(AX$2&gt;YEAR($K347)+1)*AW347</f>
        <v>927.67484376646269</v>
      </c>
      <c r="AY347" s="1738"/>
      <c r="AZ347" s="1746">
        <f t="shared" si="146"/>
        <v>45983</v>
      </c>
      <c r="BA347" s="1817">
        <f t="shared" si="147"/>
        <v>45658</v>
      </c>
      <c r="BB347" s="1817">
        <f t="shared" si="148"/>
        <v>45983</v>
      </c>
      <c r="BC347" s="1841">
        <f t="shared" si="149"/>
        <v>46022</v>
      </c>
      <c r="BD347" s="1842">
        <f t="shared" si="150"/>
        <v>326</v>
      </c>
      <c r="BE347" s="1842">
        <f t="shared" si="151"/>
        <v>39</v>
      </c>
      <c r="BF347" s="1738"/>
      <c r="BG347" s="1843">
        <f t="shared" si="164"/>
        <v>89.053373262378074</v>
      </c>
      <c r="BH347" s="1843">
        <f t="shared" si="139"/>
        <v>89.868954859104747</v>
      </c>
      <c r="BI347" s="1843">
        <f t="shared" si="139"/>
        <v>92.302111069266729</v>
      </c>
      <c r="BJ347" s="1843">
        <f t="shared" si="139"/>
        <v>94.801143745359951</v>
      </c>
      <c r="BK347" s="1843">
        <f t="shared" si="138"/>
        <v>97.367836459168828</v>
      </c>
      <c r="BL347" s="1843">
        <f t="shared" si="138"/>
        <v>100.00402107177602</v>
      </c>
      <c r="BM347" s="1843">
        <f t="shared" si="138"/>
        <v>91.472297800253415</v>
      </c>
      <c r="BO347" s="1739">
        <f t="shared" si="152"/>
        <v>2025</v>
      </c>
      <c r="BP347" s="1742">
        <f>_xlfn.IFNA(INDEX($AR347:$AX347,MATCH(BO347,$AR$2:$AX$2,0))*12/365*[11]核心假设及结论!$C$70*$H347,0)</f>
        <v>73139.848767123287</v>
      </c>
      <c r="BR347" s="1739">
        <f t="shared" si="157"/>
        <v>2027</v>
      </c>
      <c r="BS347" s="1742">
        <f>_xlfn.IFNA(INDEX($AR347:$AX347,MATCH(BR347,$AR$2:$AX$2,0))*12/365*[11]核心假设及结论!$C$70*$H347,0)</f>
        <v>75645.913455452785</v>
      </c>
      <c r="BU347" s="1739">
        <f t="shared" si="158"/>
        <v>2029</v>
      </c>
      <c r="BV347" s="1742">
        <f>_xlfn.IFNA(INDEX($AR347:$AX347,MATCH(BU347,$AR$2:$AX$2,0))*12/365*[11]核心假设及结论!$C$70*$H347,0)</f>
        <v>79797.51324005636</v>
      </c>
      <c r="BX347" s="1739">
        <f t="shared" si="159"/>
        <v>2031</v>
      </c>
      <c r="BY347" s="1742">
        <f>_xlfn.IFNA(INDEX($AR347:$AX347,MATCH(BX347,$AR$2:$AX$2,0))*12/365*[11]核心假设及结论!$C$70*$H347,0)</f>
        <v>84176.961165877379</v>
      </c>
      <c r="CA347" s="1739">
        <f t="shared" si="160"/>
        <v>2033</v>
      </c>
      <c r="CB347" s="1742">
        <f>_xlfn.IFNA(INDEX($AR347:$AX347,MATCH(CA347,$AR$2:$AX$2,0))*12/365*[11]核心假设及结论!$C$70*$H347,0)</f>
        <v>0</v>
      </c>
    </row>
    <row r="348" spans="1:80" ht="30" customHeight="1">
      <c r="A348" s="1763" t="s">
        <v>1687</v>
      </c>
      <c r="B348" s="1757" t="s">
        <v>2391</v>
      </c>
      <c r="C348" s="1764" t="s">
        <v>2392</v>
      </c>
      <c r="D348" s="1764" t="s">
        <v>1685</v>
      </c>
      <c r="E348" s="1764" t="s">
        <v>1726</v>
      </c>
      <c r="F348" s="1765"/>
      <c r="G348" s="1760" t="s">
        <v>1661</v>
      </c>
      <c r="H348" s="1761">
        <v>92</v>
      </c>
      <c r="I348" s="1763" t="s">
        <v>2356</v>
      </c>
      <c r="J348" s="1773">
        <v>45505</v>
      </c>
      <c r="K348" s="1773">
        <v>46386</v>
      </c>
      <c r="L348" s="1764">
        <f t="shared" si="142"/>
        <v>29</v>
      </c>
      <c r="M348" s="1774">
        <f t="shared" si="153"/>
        <v>83147.759999999995</v>
      </c>
      <c r="N348" s="1775">
        <f t="shared" si="154"/>
        <v>790.78</v>
      </c>
      <c r="O348" s="1777">
        <v>72751.759999999995</v>
      </c>
      <c r="P348" s="1763">
        <v>0.06</v>
      </c>
      <c r="Q348" s="1783">
        <f t="shared" si="143"/>
        <v>95</v>
      </c>
      <c r="R348" s="1763">
        <v>8740</v>
      </c>
      <c r="S348" s="1777">
        <f t="shared" si="144"/>
        <v>18</v>
      </c>
      <c r="T348" s="1763">
        <v>1656</v>
      </c>
      <c r="U348" s="1763"/>
      <c r="V348" s="1785">
        <v>514974.33333333302</v>
      </c>
      <c r="W348" s="1785">
        <f t="shared" si="145"/>
        <v>5597.5471014492723</v>
      </c>
      <c r="X348" s="1786">
        <f>(N348+Q348+S348)*H348/V348</f>
        <v>0.16146000803923569</v>
      </c>
      <c r="Y348" s="1789">
        <f>VLOOKUP(E348,[11]核心假设及结论!$C$25:$E$45,3,0)</f>
        <v>0.1</v>
      </c>
      <c r="Z348" s="1790">
        <f t="shared" si="163"/>
        <v>78353.64</v>
      </c>
      <c r="AA348" s="1790">
        <f t="shared" si="163"/>
        <v>80704.240000000005</v>
      </c>
      <c r="AB348" s="1790">
        <f t="shared" si="163"/>
        <v>0</v>
      </c>
      <c r="AC348" s="1790">
        <f t="shared" si="161"/>
        <v>0</v>
      </c>
      <c r="AD348" s="1790">
        <f t="shared" si="161"/>
        <v>0</v>
      </c>
      <c r="AE348" s="1790">
        <f t="shared" si="161"/>
        <v>0</v>
      </c>
      <c r="AF348" s="1790">
        <f t="shared" si="161"/>
        <v>0</v>
      </c>
      <c r="AG348" s="1794">
        <v>851.67</v>
      </c>
      <c r="AH348" s="1794">
        <v>877.22</v>
      </c>
      <c r="AI348" s="1794">
        <v>0</v>
      </c>
      <c r="AJ348" s="1794">
        <v>0</v>
      </c>
      <c r="AK348" s="1794">
        <v>0</v>
      </c>
      <c r="AL348" s="1794">
        <v>0</v>
      </c>
      <c r="AM348" s="1794">
        <v>0</v>
      </c>
      <c r="AN348" s="1764"/>
      <c r="AO348" s="1764"/>
      <c r="AP348" s="1808">
        <f t="shared" si="155"/>
        <v>1.6146000803923568</v>
      </c>
      <c r="AQ348" s="1810">
        <f>IF(AP348&gt;[11]核心假设及结论!$B$59,[11]核心假设及结论!$D$59,IF(AP348&lt;=[11]核心假设及结论!$B$58,[11]核心假设及结论!$D$57,[11]核心假设及结论!$D$58))</f>
        <v>1</v>
      </c>
      <c r="AR348" s="1809">
        <f t="shared" si="156"/>
        <v>851.67</v>
      </c>
      <c r="AS348" s="1809">
        <f>AH348*(AS$2&lt;=YEAR($K348))+AR348*$AQ348*(AS$2=YEAR($K348)+1)+INDEX([11]核心假设及结论!$E$17:$E$21,MATCH($D348,[11]核心假设及结论!$B$17:$B$21,0))*(AS$2&gt;YEAR($K348)+1)*AR348</f>
        <v>877.22</v>
      </c>
      <c r="AT348" s="1811">
        <f>AI348*(AT$2&lt;=YEAR($K348))+AS348*$AQ348*(AT$2=YEAR($K348)+1)+INDEX([11]核心假设及结论!$E$17:$E$21,MATCH($D348,[11]核心假设及结论!$B$17:$B$21,0))*(AT$2&gt;YEAR($K348)+1)*AS348</f>
        <v>877.22</v>
      </c>
      <c r="AU348" s="1809">
        <f>AJ348*(AU$2&lt;=YEAR($K348))+AT348*$AQ348*(AU$2=YEAR($K348)+1)+INDEX([11]核心假设及结论!$E$17:$E$21,MATCH($D348,[11]核心假设及结论!$B$17:$B$21,0))*(AU$2&gt;YEAR($K348)+1)*AT348</f>
        <v>900.9702850013623</v>
      </c>
      <c r="AV348" s="1809">
        <f>AK348*(AV$2&lt;=YEAR($K348))+AU348*$AQ348*(AV$2=YEAR($K348)+1)+INDEX([11]核心假设及结论!$E$17:$E$21,MATCH($D348,[11]核心假设及结论!$B$17:$B$21,0))*(AV$2&gt;YEAR($K348)+1)*AU348</f>
        <v>925.36359688041318</v>
      </c>
      <c r="AW348" s="1809">
        <f>AL348*(AW$2&lt;=YEAR($K348))+AV348*$AQ348*(AW$2=YEAR($K348)+1)+INDEX([11]核心假设及结论!$E$17:$E$21,MATCH($D348,[11]核心假设及结论!$B$17:$B$21,0))*(AW$2&gt;YEAR($K348)+1)*AV348</f>
        <v>950.41734526256994</v>
      </c>
      <c r="AX348" s="1809">
        <f>AM348*(AX$2&lt;=YEAR($K348))+AW348*$AQ348*(AX$2=YEAR($K348)+1)+INDEX([11]核心假设及结论!$E$17:$E$21,MATCH($D348,[11]核心假设及结论!$B$17:$B$21,0))*(AX$2&gt;YEAR($K348)+1)*AW348</f>
        <v>976.14941112999679</v>
      </c>
      <c r="AZ348" s="1746">
        <f t="shared" si="146"/>
        <v>46386</v>
      </c>
      <c r="BA348" s="1817">
        <f t="shared" si="147"/>
        <v>45658</v>
      </c>
      <c r="BB348" s="1817">
        <f t="shared" si="148"/>
        <v>46021</v>
      </c>
      <c r="BC348" s="1841">
        <f t="shared" si="149"/>
        <v>46022</v>
      </c>
      <c r="BD348" s="1842">
        <f t="shared" si="150"/>
        <v>364</v>
      </c>
      <c r="BE348" s="1842">
        <f t="shared" si="151"/>
        <v>1</v>
      </c>
      <c r="BG348" s="1843">
        <f t="shared" si="164"/>
        <v>94.032095999999996</v>
      </c>
      <c r="BH348" s="1843">
        <f t="shared" si="139"/>
        <v>96.845088000000018</v>
      </c>
      <c r="BI348" s="1843">
        <f t="shared" si="139"/>
        <v>96.852271647847004</v>
      </c>
      <c r="BJ348" s="1843">
        <f t="shared" si="139"/>
        <v>99.47449760560643</v>
      </c>
      <c r="BK348" s="1843">
        <f t="shared" si="138"/>
        <v>102.16771899647811</v>
      </c>
      <c r="BL348" s="1843">
        <f t="shared" si="138"/>
        <v>104.93385798567751</v>
      </c>
      <c r="BM348" s="1843">
        <f t="shared" si="138"/>
        <v>107.47164322165916</v>
      </c>
      <c r="BO348" s="1739">
        <f t="shared" si="152"/>
        <v>2026</v>
      </c>
      <c r="BP348" s="1742">
        <f>_xlfn.IFNA(INDEX($AR348:$AX348,MATCH(BO348,$AR$2:$AX$2,0))*12/365*[11]核心假设及结论!$C$70*$H348,0)</f>
        <v>79598.70246575342</v>
      </c>
      <c r="BR348" s="1739">
        <f t="shared" si="157"/>
        <v>2028</v>
      </c>
      <c r="BS348" s="1742">
        <f>_xlfn.IFNA(INDEX($AR348:$AX348,MATCH(BR348,$AR$2:$AX$2,0))*12/365*[11]核心假设及结论!$C$70*$H348,0)</f>
        <v>81753.796819849638</v>
      </c>
      <c r="BU348" s="1739">
        <f t="shared" si="158"/>
        <v>2030</v>
      </c>
      <c r="BV348" s="1742">
        <f>_xlfn.IFNA(INDEX($AR348:$AX348,MATCH(BU348,$AR$2:$AX$2,0))*12/365*[11]核心假设及结论!$C$70*$H348,0)</f>
        <v>86240.60952081182</v>
      </c>
      <c r="BX348" s="1739">
        <f t="shared" si="159"/>
        <v>2032</v>
      </c>
      <c r="BY348" s="1742">
        <f>_xlfn.IFNA(INDEX($AR348:$AX348,MATCH(BX348,$AR$2:$AX$2,0))*12/365*[11]核心假设及结论!$C$70*$H348,0)</f>
        <v>0</v>
      </c>
      <c r="CA348" s="1739">
        <f t="shared" si="160"/>
        <v>2034</v>
      </c>
      <c r="CB348" s="1742">
        <f>_xlfn.IFNA(INDEX($AR348:$AX348,MATCH(CA348,$AR$2:$AX$2,0))*12/365*[11]核心假设及结论!$C$70*$H348,0)</f>
        <v>0</v>
      </c>
    </row>
    <row r="349" spans="1:80" ht="30" customHeight="1">
      <c r="A349" s="1763" t="s">
        <v>1662</v>
      </c>
      <c r="B349" s="1757" t="s">
        <v>2393</v>
      </c>
      <c r="C349" s="1764" t="s">
        <v>2394</v>
      </c>
      <c r="D349" s="1764" t="s">
        <v>1685</v>
      </c>
      <c r="E349" s="1764" t="s">
        <v>1726</v>
      </c>
      <c r="F349" s="1765"/>
      <c r="G349" s="1760" t="s">
        <v>1661</v>
      </c>
      <c r="H349" s="1761">
        <v>91</v>
      </c>
      <c r="I349" s="1763" t="s">
        <v>2356</v>
      </c>
      <c r="J349" s="1773">
        <v>45646</v>
      </c>
      <c r="K349" s="1773">
        <v>46704</v>
      </c>
      <c r="L349" s="1764">
        <f t="shared" si="142"/>
        <v>35</v>
      </c>
      <c r="M349" s="1774">
        <f t="shared" si="153"/>
        <v>98315.49</v>
      </c>
      <c r="N349" s="1775">
        <f t="shared" si="154"/>
        <v>967.3900000000001</v>
      </c>
      <c r="O349" s="1777">
        <v>88032.49</v>
      </c>
      <c r="P349" s="1763" t="s">
        <v>2395</v>
      </c>
      <c r="Q349" s="1783">
        <f t="shared" si="143"/>
        <v>95</v>
      </c>
      <c r="R349" s="1763">
        <v>8645</v>
      </c>
      <c r="S349" s="1777">
        <f t="shared" si="144"/>
        <v>18</v>
      </c>
      <c r="T349" s="1763">
        <v>1638</v>
      </c>
      <c r="U349" s="1763"/>
      <c r="V349" s="1785">
        <v>1311799.25916667</v>
      </c>
      <c r="W349" s="1785">
        <f t="shared" si="145"/>
        <v>14415.376474359011</v>
      </c>
      <c r="X349" s="1786">
        <f>(N349+Q349+S349)*H349/V349</f>
        <v>7.4947054065616442E-2</v>
      </c>
      <c r="Y349" s="1789">
        <f>VLOOKUP(E349,[11]核心假设及结论!$C$25:$E$45,3,0)</f>
        <v>0.1</v>
      </c>
      <c r="Z349" s="1790">
        <f t="shared" si="163"/>
        <v>88573.03</v>
      </c>
      <c r="AA349" s="1790">
        <f t="shared" si="163"/>
        <v>91341.25</v>
      </c>
      <c r="AB349" s="1790">
        <f t="shared" si="163"/>
        <v>94109.47</v>
      </c>
      <c r="AC349" s="1790">
        <f t="shared" si="161"/>
        <v>0</v>
      </c>
      <c r="AD349" s="1790">
        <f t="shared" si="161"/>
        <v>0</v>
      </c>
      <c r="AE349" s="1790">
        <f t="shared" si="161"/>
        <v>0</v>
      </c>
      <c r="AF349" s="1790">
        <f t="shared" si="161"/>
        <v>0</v>
      </c>
      <c r="AG349" s="1794">
        <v>973.33</v>
      </c>
      <c r="AH349" s="1794">
        <v>1003.75</v>
      </c>
      <c r="AI349" s="1794">
        <v>1034.17</v>
      </c>
      <c r="AJ349" s="1794">
        <v>0</v>
      </c>
      <c r="AK349" s="1794">
        <v>0</v>
      </c>
      <c r="AL349" s="1794">
        <v>0</v>
      </c>
      <c r="AM349" s="1794">
        <v>0</v>
      </c>
      <c r="AN349" s="1764"/>
      <c r="AO349" s="1764"/>
      <c r="AP349" s="1808">
        <f t="shared" si="155"/>
        <v>0.74947054065616436</v>
      </c>
      <c r="AQ349" s="1810">
        <f>IF(AP349&gt;[11]核心假设及结论!$B$59,[11]核心假设及结论!$D$59,IF(AP349&lt;=[11]核心假设及结论!$B$58,[11]核心假设及结论!$D$57,[11]核心假设及结论!$D$58))</f>
        <v>1.0342640124442799</v>
      </c>
      <c r="AR349" s="1809">
        <f t="shared" si="156"/>
        <v>973.33</v>
      </c>
      <c r="AS349" s="1809">
        <f>AH349*(AS$2&lt;=YEAR($K349))+AR349*$AQ349*(AS$2=YEAR($K349)+1)+INDEX([11]核心假设及结论!$E$17:$E$21,MATCH($D349,[11]核心假设及结论!$B$17:$B$21,0))*(AS$2&gt;YEAR($K349)+1)*AR349</f>
        <v>1003.75</v>
      </c>
      <c r="AT349" s="1809">
        <f>AI349*(AT$2&lt;=YEAR($K349))+AS349*$AQ349*(AT$2=YEAR($K349)+1)+INDEX([11]核心假设及结论!$E$17:$E$21,MATCH($D349,[11]核心假设及结论!$B$17:$B$21,0))*(AT$2&gt;YEAR($K349)+1)*AS349</f>
        <v>1034.17</v>
      </c>
      <c r="AU349" s="1811">
        <f>AJ349*(AU$2&lt;=YEAR($K349))+AT349*$AQ349*(AU$2=YEAR($K349)+1)+INDEX([11]核心假设及结论!$E$17:$E$21,MATCH($D349,[11]核心假设及结论!$B$17:$B$21,0))*(AU$2&gt;YEAR($K349)+1)*AT349</f>
        <v>1069.6048137495011</v>
      </c>
      <c r="AV349" s="1809">
        <f>AK349*(AV$2&lt;=YEAR($K349))+AU349*$AQ349*(AV$2=YEAR($K349)+1)+INDEX([11]核心假设及结论!$E$17:$E$21,MATCH($D349,[11]核心假设及结论!$B$17:$B$21,0))*(AV$2&gt;YEAR($K349)+1)*AU349</f>
        <v>1098.5638196606519</v>
      </c>
      <c r="AW349" s="1809">
        <f>AL349*(AW$2&lt;=YEAR($K349))+AV349*$AQ349*(AW$2=YEAR($K349)+1)+INDEX([11]核心假设及结论!$E$17:$E$21,MATCH($D349,[11]核心假设及结论!$B$17:$B$21,0))*(AW$2&gt;YEAR($K349)+1)*AV349</f>
        <v>1128.3068759169225</v>
      </c>
      <c r="AX349" s="1809">
        <f>AM349*(AX$2&lt;=YEAR($K349))+AW349*$AQ349*(AX$2=YEAR($K349)+1)+INDEX([11]核心假设及结论!$E$17:$E$21,MATCH($D349,[11]核心假设及结论!$B$17:$B$21,0))*(AX$2&gt;YEAR($K349)+1)*AW349</f>
        <v>1158.855210282331</v>
      </c>
      <c r="AZ349" s="1746">
        <f t="shared" si="146"/>
        <v>46704</v>
      </c>
      <c r="BA349" s="1817">
        <f t="shared" si="147"/>
        <v>45658</v>
      </c>
      <c r="BB349" s="1817">
        <f t="shared" si="148"/>
        <v>45974</v>
      </c>
      <c r="BC349" s="1841">
        <f t="shared" si="149"/>
        <v>46022</v>
      </c>
      <c r="BD349" s="1842">
        <f t="shared" si="150"/>
        <v>317</v>
      </c>
      <c r="BE349" s="1842">
        <f t="shared" si="151"/>
        <v>48</v>
      </c>
      <c r="BG349" s="1843">
        <f t="shared" si="164"/>
        <v>106.72448386849314</v>
      </c>
      <c r="BH349" s="1843">
        <f t="shared" si="139"/>
        <v>110.04634786849316</v>
      </c>
      <c r="BI349" s="1843">
        <f t="shared" si="139"/>
        <v>113.44022734177913</v>
      </c>
      <c r="BJ349" s="1843">
        <f t="shared" si="139"/>
        <v>117.21671285427809</v>
      </c>
      <c r="BK349" s="1843">
        <f t="shared" si="138"/>
        <v>120.39029569234829</v>
      </c>
      <c r="BL349" s="1843">
        <f t="shared" si="138"/>
        <v>123.64980167042857</v>
      </c>
      <c r="BM349" s="1843">
        <f t="shared" si="138"/>
        <v>109.90519315401995</v>
      </c>
      <c r="BO349" s="1739">
        <f t="shared" si="152"/>
        <v>2027</v>
      </c>
      <c r="BP349" s="1742">
        <f>_xlfn.IFNA(INDEX($AR349:$AX349,MATCH(BO349,$AR$2:$AX$2,0))*12/365*[11]核心假设及结论!$C$70*$H349,0)</f>
        <v>92820.29917808219</v>
      </c>
      <c r="BR349" s="1739">
        <f t="shared" si="157"/>
        <v>2030</v>
      </c>
      <c r="BS349" s="1742">
        <f>_xlfn.IFNA(INDEX($AR349:$AX349,MATCH(BR349,$AR$2:$AX$2,0))*12/365*[11]核心假设及结论!$C$70*$H349,0)</f>
        <v>101269.40617818735</v>
      </c>
      <c r="BU349" s="1739">
        <f t="shared" si="158"/>
        <v>2033</v>
      </c>
      <c r="BV349" s="1742">
        <f>_xlfn.IFNA(INDEX($AR349:$AX349,MATCH(BU349,$AR$2:$AX$2,0))*12/365*[11]核心假设及结论!$C$70*$H349,0)</f>
        <v>0</v>
      </c>
      <c r="BX349" s="1739">
        <f t="shared" si="159"/>
        <v>2036</v>
      </c>
      <c r="BY349" s="1742">
        <f>_xlfn.IFNA(INDEX($AR349:$AX349,MATCH(BX349,$AR$2:$AX$2,0))*12/365*[11]核心假设及结论!$C$70*$H349,0)</f>
        <v>0</v>
      </c>
      <c r="CA349" s="1739">
        <f t="shared" si="160"/>
        <v>2039</v>
      </c>
      <c r="CB349" s="1742">
        <f>_xlfn.IFNA(INDEX($AR349:$AX349,MATCH(CA349,$AR$2:$AX$2,0))*12/365*[11]核心假设及结论!$C$70*$H349,0)</f>
        <v>0</v>
      </c>
    </row>
    <row r="350" spans="1:80" ht="30" customHeight="1">
      <c r="A350" s="1763" t="s">
        <v>1666</v>
      </c>
      <c r="B350" s="1757" t="s">
        <v>2396</v>
      </c>
      <c r="C350" s="1764" t="s">
        <v>2397</v>
      </c>
      <c r="D350" s="1764" t="s">
        <v>1685</v>
      </c>
      <c r="E350" s="1764" t="s">
        <v>1692</v>
      </c>
      <c r="F350" s="1765"/>
      <c r="G350" s="1760" t="s">
        <v>1661</v>
      </c>
      <c r="H350" s="1761">
        <v>91</v>
      </c>
      <c r="I350" s="1763" t="s">
        <v>2356</v>
      </c>
      <c r="J350" s="1773">
        <v>45289</v>
      </c>
      <c r="K350" s="1773">
        <v>46384</v>
      </c>
      <c r="L350" s="1764">
        <f t="shared" si="142"/>
        <v>36</v>
      </c>
      <c r="M350" s="1774">
        <f t="shared" si="153"/>
        <v>65186.03</v>
      </c>
      <c r="N350" s="1775">
        <f t="shared" si="154"/>
        <v>608.33000000000004</v>
      </c>
      <c r="O350" s="1777">
        <v>55358.03</v>
      </c>
      <c r="P350" s="1763">
        <v>0.16</v>
      </c>
      <c r="Q350" s="1783">
        <f t="shared" si="143"/>
        <v>90</v>
      </c>
      <c r="R350" s="1763">
        <v>8190</v>
      </c>
      <c r="S350" s="1777">
        <f t="shared" si="144"/>
        <v>18</v>
      </c>
      <c r="T350" s="1763">
        <v>1638</v>
      </c>
      <c r="U350" s="1763"/>
      <c r="V350" s="1785">
        <v>258583.25</v>
      </c>
      <c r="W350" s="1785">
        <f t="shared" si="145"/>
        <v>2841.5741758241757</v>
      </c>
      <c r="X350" s="1786">
        <f>(N350+Q350+S350)*H350/V350</f>
        <v>0.25208914343833178</v>
      </c>
      <c r="Y350" s="1789">
        <f>VLOOKUP(E350,[11]核心假设及结论!$C$25:$E$45,3,0)</f>
        <v>0.2</v>
      </c>
      <c r="Z350" s="1790">
        <f t="shared" si="163"/>
        <v>56465.5</v>
      </c>
      <c r="AA350" s="1790">
        <f t="shared" si="163"/>
        <v>57572.969999999994</v>
      </c>
      <c r="AB350" s="1790">
        <f t="shared" si="163"/>
        <v>0</v>
      </c>
      <c r="AC350" s="1790">
        <f t="shared" si="161"/>
        <v>0</v>
      </c>
      <c r="AD350" s="1790">
        <f t="shared" si="161"/>
        <v>0</v>
      </c>
      <c r="AE350" s="1790">
        <f t="shared" si="161"/>
        <v>0</v>
      </c>
      <c r="AF350" s="1790">
        <f t="shared" si="161"/>
        <v>0</v>
      </c>
      <c r="AG350" s="1794">
        <v>620.5</v>
      </c>
      <c r="AH350" s="1794">
        <v>632.66999999999996</v>
      </c>
      <c r="AI350" s="1794">
        <v>0</v>
      </c>
      <c r="AJ350" s="1794">
        <v>0</v>
      </c>
      <c r="AK350" s="1794">
        <v>0</v>
      </c>
      <c r="AL350" s="1794">
        <v>0</v>
      </c>
      <c r="AM350" s="1794">
        <v>0</v>
      </c>
      <c r="AN350" s="1764"/>
      <c r="AO350" s="1764"/>
      <c r="AP350" s="1808">
        <f t="shared" si="155"/>
        <v>1.2604457171916588</v>
      </c>
      <c r="AQ350" s="1810">
        <f>IF(AP350&gt;[11]核心假设及结论!$B$59,[11]核心假设及结论!$D$59,IF(AP350&lt;=[11]核心假设及结论!$B$58,[11]核心假设及结论!$D$57,[11]核心假设及结论!$D$58))</f>
        <v>1.0069999999999999</v>
      </c>
      <c r="AR350" s="1809">
        <f t="shared" si="156"/>
        <v>620.5</v>
      </c>
      <c r="AS350" s="1809">
        <f>AH350*(AS$2&lt;=YEAR($K350))+AR350*$AQ350*(AS$2=YEAR($K350)+1)+INDEX([11]核心假设及结论!$E$17:$E$21,MATCH($D350,[11]核心假设及结论!$B$17:$B$21,0))*(AS$2&gt;YEAR($K350)+1)*AR350</f>
        <v>632.66999999999996</v>
      </c>
      <c r="AT350" s="1811">
        <f>AI350*(AT$2&lt;=YEAR($K350))+AS350*$AQ350*(AT$2=YEAR($K350)+1)+INDEX([11]核心假设及结论!$E$17:$E$21,MATCH($D350,[11]核心假设及结论!$B$17:$B$21,0))*(AT$2&gt;YEAR($K350)+1)*AS350</f>
        <v>637.09868999999992</v>
      </c>
      <c r="AU350" s="1809">
        <f>AJ350*(AU$2&lt;=YEAR($K350))+AT350*$AQ350*(AU$2=YEAR($K350)+1)+INDEX([11]核心假设及结论!$E$17:$E$21,MATCH($D350,[11]核心假设及结论!$B$17:$B$21,0))*(AU$2&gt;YEAR($K350)+1)*AT350</f>
        <v>654.34781275312298</v>
      </c>
      <c r="AV350" s="1809">
        <f>AK350*(AV$2&lt;=YEAR($K350))+AU350*$AQ350*(AV$2=YEAR($K350)+1)+INDEX([11]核心假设及结论!$E$17:$E$21,MATCH($D350,[11]核心假设及结论!$B$17:$B$21,0))*(AV$2&gt;YEAR($K350)+1)*AU350</f>
        <v>672.06394672510805</v>
      </c>
      <c r="AW350" s="1809">
        <f>AL350*(AW$2&lt;=YEAR($K350))+AV350*$AQ350*(AW$2=YEAR($K350)+1)+INDEX([11]核心假设及结论!$E$17:$E$21,MATCH($D350,[11]核心假设及结论!$B$17:$B$21,0))*(AW$2&gt;YEAR($K350)+1)*AV350</f>
        <v>690.25973600700047</v>
      </c>
      <c r="AX350" s="1809">
        <f>AM350*(AX$2&lt;=YEAR($K350))+AW350*$AQ350*(AX$2=YEAR($K350)+1)+INDEX([11]核心假设及结论!$E$17:$E$21,MATCH($D350,[11]核心假设及结论!$B$17:$B$21,0))*(AX$2&gt;YEAR($K350)+1)*AW350</f>
        <v>708.94816702217497</v>
      </c>
      <c r="AZ350" s="1746">
        <f t="shared" si="146"/>
        <v>46384</v>
      </c>
      <c r="BA350" s="1817">
        <f t="shared" si="147"/>
        <v>45658</v>
      </c>
      <c r="BB350" s="1817">
        <f t="shared" si="148"/>
        <v>46019</v>
      </c>
      <c r="BC350" s="1841">
        <f t="shared" si="149"/>
        <v>46022</v>
      </c>
      <c r="BD350" s="1842">
        <f t="shared" si="150"/>
        <v>362</v>
      </c>
      <c r="BE350" s="1842">
        <f t="shared" si="151"/>
        <v>3</v>
      </c>
      <c r="BG350" s="1843">
        <f t="shared" si="164"/>
        <v>67.769522991780832</v>
      </c>
      <c r="BH350" s="1843">
        <f t="shared" si="139"/>
        <v>69.091538900942453</v>
      </c>
      <c r="BI350" s="1843">
        <f t="shared" si="139"/>
        <v>69.586658626394296</v>
      </c>
      <c r="BJ350" s="1843">
        <f t="shared" si="139"/>
        <v>71.470681989597807</v>
      </c>
      <c r="BK350" s="1843">
        <f t="shared" si="138"/>
        <v>73.405714326405771</v>
      </c>
      <c r="BL350" s="1843">
        <f t="shared" si="138"/>
        <v>75.393136678815324</v>
      </c>
      <c r="BM350" s="1843">
        <f t="shared" si="138"/>
        <v>76.780834579872277</v>
      </c>
      <c r="BO350" s="1739">
        <f t="shared" si="152"/>
        <v>2026</v>
      </c>
      <c r="BP350" s="1742">
        <f>_xlfn.IFNA(INDEX($AR350:$AX350,MATCH(BO350,$AR$2:$AX$2,0))*12/365*[11]核心假设及结论!$C$70*$H350,0)</f>
        <v>56784.299178082183</v>
      </c>
      <c r="BR350" s="1739">
        <f t="shared" si="157"/>
        <v>2029</v>
      </c>
      <c r="BS350" s="1742">
        <f>_xlfn.IFNA(INDEX($AR350:$AX350,MATCH(BR350,$AR$2:$AX$2,0))*12/365*[11]核心假设及结论!$C$70*$H350,0)</f>
        <v>60320.040807437101</v>
      </c>
      <c r="BU350" s="1739">
        <f t="shared" si="158"/>
        <v>2032</v>
      </c>
      <c r="BV350" s="1742">
        <f>_xlfn.IFNA(INDEX($AR350:$AX350,MATCH(BU350,$AR$2:$AX$2,0))*12/365*[11]核心假设及结论!$C$70*$H350,0)</f>
        <v>0</v>
      </c>
      <c r="BX350" s="1739">
        <f t="shared" si="159"/>
        <v>2035</v>
      </c>
      <c r="BY350" s="1742">
        <f>_xlfn.IFNA(INDEX($AR350:$AX350,MATCH(BX350,$AR$2:$AX$2,0))*12/365*[11]核心假设及结论!$C$70*$H350,0)</f>
        <v>0</v>
      </c>
      <c r="CA350" s="1739">
        <f t="shared" si="160"/>
        <v>2038</v>
      </c>
      <c r="CB350" s="1742">
        <f>_xlfn.IFNA(INDEX($AR350:$AX350,MATCH(CA350,$AR$2:$AX$2,0))*12/365*[11]核心假设及结论!$C$70*$H350,0)</f>
        <v>0</v>
      </c>
    </row>
    <row r="351" spans="1:80" ht="30" customHeight="1">
      <c r="A351" s="1763" t="s">
        <v>1687</v>
      </c>
      <c r="B351" s="1757" t="s">
        <v>2398</v>
      </c>
      <c r="C351" s="1764" t="s">
        <v>2399</v>
      </c>
      <c r="D351" s="1764" t="s">
        <v>1685</v>
      </c>
      <c r="E351" s="1764" t="s">
        <v>1888</v>
      </c>
      <c r="F351" s="1765"/>
      <c r="G351" s="1760" t="s">
        <v>1661</v>
      </c>
      <c r="H351" s="1761">
        <v>90</v>
      </c>
      <c r="I351" s="1763" t="s">
        <v>2356</v>
      </c>
      <c r="J351" s="1773">
        <v>45285</v>
      </c>
      <c r="K351" s="1773">
        <v>46380</v>
      </c>
      <c r="L351" s="1764">
        <f t="shared" si="142"/>
        <v>36</v>
      </c>
      <c r="M351" s="1774">
        <f t="shared" si="153"/>
        <v>93390.3</v>
      </c>
      <c r="N351" s="1775">
        <f t="shared" si="154"/>
        <v>924.67000000000007</v>
      </c>
      <c r="O351" s="1777">
        <v>83220.3</v>
      </c>
      <c r="P351" s="1763">
        <v>0.18</v>
      </c>
      <c r="Q351" s="1783">
        <f t="shared" si="143"/>
        <v>95</v>
      </c>
      <c r="R351" s="1763">
        <v>8550</v>
      </c>
      <c r="S351" s="1777">
        <f t="shared" si="144"/>
        <v>18</v>
      </c>
      <c r="T351" s="1763">
        <v>1620</v>
      </c>
      <c r="U351" s="1763"/>
      <c r="V351" s="1785">
        <v>206839.52</v>
      </c>
      <c r="W351" s="1785">
        <f t="shared" si="145"/>
        <v>2298.2168888888887</v>
      </c>
      <c r="X351" s="1786">
        <f>(N351+Q351+S351)*H351/V351</f>
        <v>0.4515109104875123</v>
      </c>
      <c r="Y351" s="1789">
        <f>VLOOKUP(E351,[11]核心假设及结论!$C$25:$E$45,3,0)</f>
        <v>0.3</v>
      </c>
      <c r="Z351" s="1790">
        <f t="shared" si="163"/>
        <v>84589.2</v>
      </c>
      <c r="AA351" s="1790">
        <f t="shared" si="163"/>
        <v>85957.2</v>
      </c>
      <c r="AB351" s="1790">
        <f t="shared" si="163"/>
        <v>0</v>
      </c>
      <c r="AC351" s="1790">
        <f t="shared" si="161"/>
        <v>0</v>
      </c>
      <c r="AD351" s="1790">
        <f t="shared" si="161"/>
        <v>0</v>
      </c>
      <c r="AE351" s="1790">
        <f t="shared" si="161"/>
        <v>0</v>
      </c>
      <c r="AF351" s="1790">
        <f t="shared" si="161"/>
        <v>0</v>
      </c>
      <c r="AG351" s="1794">
        <v>939.88</v>
      </c>
      <c r="AH351" s="1794">
        <v>955.08</v>
      </c>
      <c r="AI351" s="1794">
        <v>0</v>
      </c>
      <c r="AJ351" s="1794">
        <v>0</v>
      </c>
      <c r="AK351" s="1794">
        <v>0</v>
      </c>
      <c r="AL351" s="1794">
        <v>0</v>
      </c>
      <c r="AM351" s="1794">
        <v>0</v>
      </c>
      <c r="AN351" s="1764"/>
      <c r="AO351" s="1764"/>
      <c r="AP351" s="1808">
        <f t="shared" si="155"/>
        <v>1.5050363682917076</v>
      </c>
      <c r="AQ351" s="1810">
        <f>IF(AP351&gt;[11]核心假设及结论!$B$59,[11]核心假设及结论!$D$59,IF(AP351&lt;=[11]核心假设及结论!$B$58,[11]核心假设及结论!$D$57,[11]核心假设及结论!$D$58))</f>
        <v>1</v>
      </c>
      <c r="AR351" s="1809">
        <f t="shared" si="156"/>
        <v>939.88</v>
      </c>
      <c r="AS351" s="1809">
        <f>AH351*(AS$2&lt;=YEAR($K351))+AR351*$AQ351*(AS$2=YEAR($K351)+1)+INDEX([11]核心假设及结论!$E$17:$E$21,MATCH($D351,[11]核心假设及结论!$B$17:$B$21,0))*(AS$2&gt;YEAR($K351)+1)*AR351</f>
        <v>955.08</v>
      </c>
      <c r="AT351" s="1811">
        <f>AI351*(AT$2&lt;=YEAR($K351))+AS351*$AQ351*(AT$2=YEAR($K351)+1)+INDEX([11]核心假设及结论!$E$17:$E$21,MATCH($D351,[11]核心假设及结论!$B$17:$B$21,0))*(AT$2&gt;YEAR($K351)+1)*AS351</f>
        <v>955.08</v>
      </c>
      <c r="AU351" s="1809">
        <f>AJ351*(AU$2&lt;=YEAR($K351))+AT351*$AQ351*(AU$2=YEAR($K351)+1)+INDEX([11]核心假设及结论!$E$17:$E$21,MATCH($D351,[11]核心假设及结论!$B$17:$B$21,0))*(AU$2&gt;YEAR($K351)+1)*AT351</f>
        <v>980.93830487118532</v>
      </c>
      <c r="AV351" s="1809">
        <f>AK351*(AV$2&lt;=YEAR($K351))+AU351*$AQ351*(AV$2=YEAR($K351)+1)+INDEX([11]核心假设及结论!$E$17:$E$21,MATCH($D351,[11]核心假设及结论!$B$17:$B$21,0))*(AV$2&gt;YEAR($K351)+1)*AU351</f>
        <v>1007.4967101850677</v>
      </c>
      <c r="AW351" s="1809">
        <f>AL351*(AW$2&lt;=YEAR($K351))+AV351*$AQ351*(AW$2=YEAR($K351)+1)+INDEX([11]核心假设及结论!$E$17:$E$21,MATCH($D351,[11]核心假设及结论!$B$17:$B$21,0))*(AW$2&gt;YEAR($K351)+1)*AV351</f>
        <v>1034.7741708047872</v>
      </c>
      <c r="AX351" s="1809">
        <f>AM351*(AX$2&lt;=YEAR($K351))+AW351*$AQ351*(AX$2=YEAR($K351)+1)+INDEX([11]核心假设及结论!$E$17:$E$21,MATCH($D351,[11]核心假设及结论!$B$17:$B$21,0))*(AX$2&gt;YEAR($K351)+1)*AW351</f>
        <v>1062.7901547867552</v>
      </c>
      <c r="AZ351" s="1746">
        <f t="shared" si="146"/>
        <v>46380</v>
      </c>
      <c r="BA351" s="1817">
        <f t="shared" si="147"/>
        <v>45658</v>
      </c>
      <c r="BB351" s="1817">
        <f t="shared" si="148"/>
        <v>46015</v>
      </c>
      <c r="BC351" s="1841">
        <f t="shared" si="149"/>
        <v>46022</v>
      </c>
      <c r="BD351" s="1842">
        <f t="shared" si="150"/>
        <v>358</v>
      </c>
      <c r="BE351" s="1842">
        <f t="shared" si="151"/>
        <v>7</v>
      </c>
      <c r="BG351" s="1843">
        <f t="shared" si="164"/>
        <v>101.53852273972602</v>
      </c>
      <c r="BH351" s="1843">
        <f t="shared" si="139"/>
        <v>103.14864000000001</v>
      </c>
      <c r="BI351" s="1843">
        <f t="shared" si="139"/>
        <v>103.20219857118526</v>
      </c>
      <c r="BJ351" s="1843">
        <f t="shared" si="139"/>
        <v>105.99634556832719</v>
      </c>
      <c r="BK351" s="1843">
        <f t="shared" si="138"/>
        <v>108.8661426732161</v>
      </c>
      <c r="BL351" s="1843">
        <f t="shared" si="138"/>
        <v>111.81363807401392</v>
      </c>
      <c r="BM351" s="1843">
        <f t="shared" si="138"/>
        <v>112.58005080732906</v>
      </c>
      <c r="BO351" s="1739">
        <f t="shared" si="152"/>
        <v>2026</v>
      </c>
      <c r="BP351" s="1742">
        <f>_xlfn.IFNA(INDEX($AR351:$AX351,MATCH(BO351,$AR$2:$AX$2,0))*12/365*[11]核心假设及结论!$C$70*$H351,0)</f>
        <v>84779.704109589045</v>
      </c>
      <c r="BR351" s="1739">
        <f t="shared" si="157"/>
        <v>2029</v>
      </c>
      <c r="BS351" s="1742">
        <f>_xlfn.IFNA(INDEX($AR351:$AX351,MATCH(BR351,$AR$2:$AX$2,0))*12/365*[11]核心假设及结论!$C$70*$H351,0)</f>
        <v>89432.584684921079</v>
      </c>
      <c r="BU351" s="1739">
        <f t="shared" si="158"/>
        <v>2032</v>
      </c>
      <c r="BV351" s="1742">
        <f>_xlfn.IFNA(INDEX($AR351:$AX351,MATCH(BU351,$AR$2:$AX$2,0))*12/365*[11]核心假设及结论!$C$70*$H351,0)</f>
        <v>0</v>
      </c>
      <c r="BX351" s="1739">
        <f t="shared" si="159"/>
        <v>2035</v>
      </c>
      <c r="BY351" s="1742">
        <f>_xlfn.IFNA(INDEX($AR351:$AX351,MATCH(BX351,$AR$2:$AX$2,0))*12/365*[11]核心假设及结论!$C$70*$H351,0)</f>
        <v>0</v>
      </c>
      <c r="CA351" s="1739">
        <f t="shared" si="160"/>
        <v>2038</v>
      </c>
      <c r="CB351" s="1742">
        <f>_xlfn.IFNA(INDEX($AR351:$AX351,MATCH(CA351,$AR$2:$AX$2,0))*12/365*[11]核心假设及结论!$C$70*$H351,0)</f>
        <v>0</v>
      </c>
    </row>
    <row r="352" spans="1:80" ht="30" customHeight="1">
      <c r="A352" s="1763" t="s">
        <v>1666</v>
      </c>
      <c r="B352" s="1757" t="s">
        <v>2400</v>
      </c>
      <c r="C352" s="1764" t="s">
        <v>2401</v>
      </c>
      <c r="D352" s="1764" t="s">
        <v>1685</v>
      </c>
      <c r="E352" s="1764" t="s">
        <v>1692</v>
      </c>
      <c r="F352" s="1765"/>
      <c r="G352" s="1760" t="s">
        <v>1661</v>
      </c>
      <c r="H352" s="1761">
        <v>90</v>
      </c>
      <c r="I352" s="1763" t="s">
        <v>2356</v>
      </c>
      <c r="J352" s="1773">
        <v>45497</v>
      </c>
      <c r="K352" s="1773">
        <v>46591</v>
      </c>
      <c r="L352" s="1764">
        <f t="shared" si="142"/>
        <v>36</v>
      </c>
      <c r="M352" s="1774">
        <f t="shared" si="153"/>
        <v>78607.8</v>
      </c>
      <c r="N352" s="1775">
        <f t="shared" si="154"/>
        <v>760.42000000000007</v>
      </c>
      <c r="O352" s="1777">
        <v>68437.8</v>
      </c>
      <c r="P352" s="1763">
        <v>0.18</v>
      </c>
      <c r="Q352" s="1783">
        <f t="shared" si="143"/>
        <v>95</v>
      </c>
      <c r="R352" s="1763">
        <v>8550</v>
      </c>
      <c r="S352" s="1777">
        <f t="shared" si="144"/>
        <v>18</v>
      </c>
      <c r="T352" s="1763">
        <v>1620</v>
      </c>
      <c r="U352" s="1763"/>
      <c r="V352" s="1785">
        <v>172855.01833333299</v>
      </c>
      <c r="W352" s="1785">
        <f t="shared" si="145"/>
        <v>1920.6113148148111</v>
      </c>
      <c r="X352" s="1786">
        <f>(N352+Q352+S352)*H352/V352</f>
        <v>0.45476145707504428</v>
      </c>
      <c r="Y352" s="1789">
        <f>VLOOKUP(E352,[11]核心假设及结论!$C$25:$E$45,3,0)</f>
        <v>0.2</v>
      </c>
      <c r="Z352" s="1790">
        <f t="shared" si="163"/>
        <v>68437.8</v>
      </c>
      <c r="AA352" s="1790">
        <f t="shared" si="163"/>
        <v>71859.600000000006</v>
      </c>
      <c r="AB352" s="1790">
        <f t="shared" si="163"/>
        <v>75452.399999999994</v>
      </c>
      <c r="AC352" s="1790">
        <f t="shared" si="161"/>
        <v>0</v>
      </c>
      <c r="AD352" s="1790">
        <f t="shared" si="161"/>
        <v>0</v>
      </c>
      <c r="AE352" s="1790">
        <f t="shared" si="161"/>
        <v>0</v>
      </c>
      <c r="AF352" s="1790">
        <f t="shared" si="161"/>
        <v>0</v>
      </c>
      <c r="AG352" s="1794">
        <v>760.42</v>
      </c>
      <c r="AH352" s="1794">
        <v>798.44</v>
      </c>
      <c r="AI352" s="1794">
        <v>838.36</v>
      </c>
      <c r="AJ352" s="1794">
        <v>0</v>
      </c>
      <c r="AK352" s="1794">
        <v>0</v>
      </c>
      <c r="AL352" s="1794">
        <v>0</v>
      </c>
      <c r="AM352" s="1794">
        <v>0</v>
      </c>
      <c r="AN352" s="1764"/>
      <c r="AO352" s="1764"/>
      <c r="AP352" s="1808">
        <f t="shared" si="155"/>
        <v>2.2738072853752214</v>
      </c>
      <c r="AQ352" s="1810">
        <f>IF(AP352&gt;[11]核心假设及结论!$B$59,[11]核心假设及结论!$D$59,IF(AP352&lt;=[11]核心假设及结论!$B$58,[11]核心假设及结论!$D$57,[11]核心假设及结论!$D$58))</f>
        <v>1</v>
      </c>
      <c r="AR352" s="1809">
        <f t="shared" si="156"/>
        <v>760.42</v>
      </c>
      <c r="AS352" s="1809">
        <f>AH352*(AS$2&lt;=YEAR($K352))+AR352*$AQ352*(AS$2=YEAR($K352)+1)+INDEX([11]核心假设及结论!$E$17:$E$21,MATCH($D352,[11]核心假设及结论!$B$17:$B$21,0))*(AS$2&gt;YEAR($K352)+1)*AR352</f>
        <v>798.44</v>
      </c>
      <c r="AT352" s="1809">
        <f>AI352*(AT$2&lt;=YEAR($K352))+AS352*$AQ352*(AT$2=YEAR($K352)+1)+INDEX([11]核心假设及结论!$E$17:$E$21,MATCH($D352,[11]核心假设及结论!$B$17:$B$21,0))*(AT$2&gt;YEAR($K352)+1)*AS352</f>
        <v>838.36</v>
      </c>
      <c r="AU352" s="1811">
        <f>AJ352*(AU$2&lt;=YEAR($K352))+AT352*$AQ352*(AU$2=YEAR($K352)+1)+INDEX([11]核心假设及结论!$E$17:$E$21,MATCH($D352,[11]核心假设及结论!$B$17:$B$21,0))*(AU$2&gt;YEAR($K352)+1)*AT352</f>
        <v>838.36</v>
      </c>
      <c r="AV352" s="1809">
        <f>AK352*(AV$2&lt;=YEAR($K352))+AU352*$AQ352*(AV$2=YEAR($K352)+1)+INDEX([11]核心假设及结论!$E$17:$E$21,MATCH($D352,[11]核心假设及结论!$B$17:$B$21,0))*(AV$2&gt;YEAR($K352)+1)*AU352</f>
        <v>861.0581702808214</v>
      </c>
      <c r="AW352" s="1809">
        <f>AL352*(AW$2&lt;=YEAR($K352))+AV352*$AQ352*(AW$2=YEAR($K352)+1)+INDEX([11]核心假设及结论!$E$17:$E$21,MATCH($D352,[11]核心假设及结论!$B$17:$B$21,0))*(AW$2&gt;YEAR($K352)+1)*AV352</f>
        <v>884.37088196879142</v>
      </c>
      <c r="AX352" s="1809">
        <f>AM352*(AX$2&lt;=YEAR($K352))+AW352*$AQ352*(AX$2=YEAR($K352)+1)+INDEX([11]核心假设及结论!$E$17:$E$21,MATCH($D352,[11]核心假设及结论!$B$17:$B$21,0))*(AX$2&gt;YEAR($K352)+1)*AW352</f>
        <v>908.31477345971155</v>
      </c>
      <c r="AZ352" s="1746">
        <f t="shared" si="146"/>
        <v>46591</v>
      </c>
      <c r="BA352" s="1817">
        <f t="shared" si="147"/>
        <v>45658</v>
      </c>
      <c r="BB352" s="1817">
        <f t="shared" si="148"/>
        <v>45861</v>
      </c>
      <c r="BC352" s="1841">
        <f t="shared" si="149"/>
        <v>46022</v>
      </c>
      <c r="BD352" s="1842">
        <f t="shared" si="150"/>
        <v>204</v>
      </c>
      <c r="BE352" s="1842">
        <f t="shared" si="151"/>
        <v>161</v>
      </c>
      <c r="BG352" s="1843">
        <f t="shared" si="164"/>
        <v>83.936570301369855</v>
      </c>
      <c r="BH352" s="1843">
        <f t="shared" si="139"/>
        <v>88.133243178082182</v>
      </c>
      <c r="BI352" s="1843">
        <f t="shared" si="139"/>
        <v>90.542879999999997</v>
      </c>
      <c r="BJ352" s="1843">
        <f t="shared" si="139"/>
        <v>91.624183520117583</v>
      </c>
      <c r="BK352" s="1843">
        <f t="shared" si="138"/>
        <v>94.104861652877815</v>
      </c>
      <c r="BL352" s="1843">
        <f t="shared" si="138"/>
        <v>96.652702883435268</v>
      </c>
      <c r="BM352" s="1843">
        <f t="shared" si="138"/>
        <v>54.827372846203737</v>
      </c>
      <c r="BO352" s="1739">
        <f t="shared" si="152"/>
        <v>2027</v>
      </c>
      <c r="BP352" s="1742">
        <f>_xlfn.IFNA(INDEX($AR352:$AX352,MATCH(BO352,$AR$2:$AX$2,0))*12/365*[11]核心假设及结论!$C$70*$H352,0)</f>
        <v>74418.805479452058</v>
      </c>
      <c r="BR352" s="1739">
        <f t="shared" si="157"/>
        <v>2030</v>
      </c>
      <c r="BS352" s="1742">
        <f>_xlfn.IFNA(INDEX($AR352:$AX352,MATCH(BR352,$AR$2:$AX$2,0))*12/365*[11]核心假设及结论!$C$70*$H352,0)</f>
        <v>78503.059111750248</v>
      </c>
      <c r="BU352" s="1739">
        <f t="shared" si="158"/>
        <v>2033</v>
      </c>
      <c r="BV352" s="1742">
        <f>_xlfn.IFNA(INDEX($AR352:$AX352,MATCH(BU352,$AR$2:$AX$2,0))*12/365*[11]核心假设及结论!$C$70*$H352,0)</f>
        <v>0</v>
      </c>
      <c r="BX352" s="1739">
        <f t="shared" si="159"/>
        <v>2036</v>
      </c>
      <c r="BY352" s="1742">
        <f>_xlfn.IFNA(INDEX($AR352:$AX352,MATCH(BX352,$AR$2:$AX$2,0))*12/365*[11]核心假设及结论!$C$70*$H352,0)</f>
        <v>0</v>
      </c>
      <c r="CA352" s="1739">
        <f t="shared" si="160"/>
        <v>2039</v>
      </c>
      <c r="CB352" s="1742">
        <f>_xlfn.IFNA(INDEX($AR352:$AX352,MATCH(CA352,$AR$2:$AX$2,0))*12/365*[11]核心假设及结论!$C$70*$H352,0)</f>
        <v>0</v>
      </c>
    </row>
    <row r="353" spans="1:80" ht="30" customHeight="1">
      <c r="A353" s="1763" t="s">
        <v>1687</v>
      </c>
      <c r="B353" s="1757" t="s">
        <v>2402</v>
      </c>
      <c r="C353" s="1764" t="s">
        <v>2403</v>
      </c>
      <c r="D353" s="1764" t="s">
        <v>1676</v>
      </c>
      <c r="E353" s="1764" t="s">
        <v>1758</v>
      </c>
      <c r="F353" s="1765"/>
      <c r="G353" s="1760" t="s">
        <v>1661</v>
      </c>
      <c r="H353" s="1761">
        <v>90</v>
      </c>
      <c r="I353" s="1763" t="s">
        <v>2356</v>
      </c>
      <c r="J353" s="1773">
        <v>45370</v>
      </c>
      <c r="K353" s="1773">
        <v>46464</v>
      </c>
      <c r="L353" s="1764">
        <f t="shared" si="142"/>
        <v>36</v>
      </c>
      <c r="M353" s="1774">
        <f t="shared" si="153"/>
        <v>64919.7</v>
      </c>
      <c r="N353" s="1775">
        <f t="shared" si="154"/>
        <v>608.32999999999993</v>
      </c>
      <c r="O353" s="1777">
        <v>54749.7</v>
      </c>
      <c r="P353" s="1763">
        <v>0.16</v>
      </c>
      <c r="Q353" s="1783">
        <f t="shared" si="143"/>
        <v>95</v>
      </c>
      <c r="R353" s="1763">
        <v>8550</v>
      </c>
      <c r="S353" s="1777">
        <f t="shared" si="144"/>
        <v>18</v>
      </c>
      <c r="T353" s="1763">
        <v>1620</v>
      </c>
      <c r="U353" s="1763"/>
      <c r="V353" s="1785">
        <v>248546.23083333299</v>
      </c>
      <c r="W353" s="1785">
        <f t="shared" si="145"/>
        <v>2761.624787037033</v>
      </c>
      <c r="X353" s="1786">
        <f>(N353+Q353)*H353/V353</f>
        <v>0.25467978246045792</v>
      </c>
      <c r="Y353" s="1789">
        <f>VLOOKUP(E353,[11]核心假设及结论!$C$25:$E$45,3,0)</f>
        <v>0.2</v>
      </c>
      <c r="Z353" s="1790">
        <f t="shared" si="163"/>
        <v>54749.700000000004</v>
      </c>
      <c r="AA353" s="1790">
        <f t="shared" si="163"/>
        <v>56392.200000000004</v>
      </c>
      <c r="AB353" s="1790">
        <f t="shared" si="163"/>
        <v>58089.600000000006</v>
      </c>
      <c r="AC353" s="1790">
        <f t="shared" si="161"/>
        <v>0</v>
      </c>
      <c r="AD353" s="1790">
        <f t="shared" si="161"/>
        <v>0</v>
      </c>
      <c r="AE353" s="1790">
        <f t="shared" si="161"/>
        <v>0</v>
      </c>
      <c r="AF353" s="1790">
        <f t="shared" si="161"/>
        <v>0</v>
      </c>
      <c r="AG353" s="1794">
        <v>608.33000000000004</v>
      </c>
      <c r="AH353" s="1794">
        <v>626.58000000000004</v>
      </c>
      <c r="AI353" s="1794">
        <v>645.44000000000005</v>
      </c>
      <c r="AJ353" s="1794">
        <v>0</v>
      </c>
      <c r="AK353" s="1794">
        <v>0</v>
      </c>
      <c r="AL353" s="1794">
        <v>0</v>
      </c>
      <c r="AM353" s="1794">
        <v>0</v>
      </c>
      <c r="AN353" s="1764"/>
      <c r="AO353" s="1764"/>
      <c r="AP353" s="1808">
        <f t="shared" si="155"/>
        <v>1.2733989123022895</v>
      </c>
      <c r="AQ353" s="1808">
        <f>IF(AP353&gt;[11]核心假设及结论!$B$65,[11]核心假设及结论!$D$65,IF(AP353&lt;=[11]核心假设及结论!$B$64,[11]核心假设及结论!$D$63,[11]核心假设及结论!$D$64))</f>
        <v>0.754</v>
      </c>
      <c r="AR353" s="1809">
        <f t="shared" si="156"/>
        <v>608.33000000000004</v>
      </c>
      <c r="AS353" s="1809">
        <f>AH353*(AS$2&lt;=YEAR($K353))+AR353*$AQ353*(AS$2=YEAR($K353)+1)+INDEX([11]核心假设及结论!$E$17:$E$21,MATCH($D353,[11]核心假设及结论!$B$17:$B$21,0))*(AS$2&gt;YEAR($K353)+1)*AR353</f>
        <v>626.58000000000004</v>
      </c>
      <c r="AT353" s="1809">
        <f>AI353*(AT$2&lt;=YEAR($K353))+AS353*$AQ353*(AT$2=YEAR($K353)+1)+INDEX([11]核心假设及结论!$E$17:$E$21,MATCH($D353,[11]核心假设及结论!$B$17:$B$21,0))*(AT$2&gt;YEAR($K353)+1)*AS353</f>
        <v>645.44000000000005</v>
      </c>
      <c r="AU353" s="1811">
        <f>AJ353*(AU$2&lt;=YEAR($K353))+AT353*$AQ353*(AU$2=YEAR($K353)+1)+INDEX([11]核心假设及结论!$E$17:$E$21,MATCH($D353,[11]核心假设及结论!$B$17:$B$21,0))*(AU$2&gt;YEAR($K353)+1)*AT353</f>
        <v>486.66176000000002</v>
      </c>
      <c r="AV353" s="1809">
        <f>AK353*(AV$2&lt;=YEAR($K353))+AU353*$AQ353*(AV$2=YEAR($K353)+1)+INDEX([11]核心假设及结论!$E$17:$E$21,MATCH($D353,[11]核心假设及结论!$B$17:$B$21,0))*(AV$2&gt;YEAR($K353)+1)*AU353</f>
        <v>503.48813293368733</v>
      </c>
      <c r="AW353" s="1809">
        <f>AL353*(AW$2&lt;=YEAR($K353))+AV353*$AQ353*(AW$2=YEAR($K353)+1)+INDEX([11]核心假设及结论!$E$17:$E$21,MATCH($D353,[11]核心假设及结论!$B$17:$B$21,0))*(AW$2&gt;YEAR($K353)+1)*AV353</f>
        <v>520.89627918382246</v>
      </c>
      <c r="AX353" s="1809">
        <f>AM353*(AX$2&lt;=YEAR($K353))+AW353*$AQ353*(AX$2=YEAR($K353)+1)+INDEX([11]核心假设及结论!$E$17:$E$21,MATCH($D353,[11]核心假设及结论!$B$17:$B$21,0))*(AX$2&gt;YEAR($K353)+1)*AW353</f>
        <v>538.90631361372527</v>
      </c>
      <c r="AZ353" s="1746">
        <f t="shared" si="146"/>
        <v>46464</v>
      </c>
      <c r="BA353" s="1817">
        <f t="shared" si="147"/>
        <v>45658</v>
      </c>
      <c r="BB353" s="1817">
        <f t="shared" si="148"/>
        <v>45734</v>
      </c>
      <c r="BC353" s="1841">
        <f t="shared" si="149"/>
        <v>46022</v>
      </c>
      <c r="BD353" s="1842">
        <f t="shared" si="150"/>
        <v>77</v>
      </c>
      <c r="BE353" s="1842">
        <f t="shared" si="151"/>
        <v>288</v>
      </c>
      <c r="BG353" s="1843">
        <f t="shared" si="164"/>
        <v>67.254840000000016</v>
      </c>
      <c r="BH353" s="1843">
        <f t="shared" si="139"/>
        <v>69.277822027397278</v>
      </c>
      <c r="BI353" s="1843">
        <f t="shared" si="139"/>
        <v>56.177003898739734</v>
      </c>
      <c r="BJ353" s="1843">
        <f t="shared" si="139"/>
        <v>53.993353651861405</v>
      </c>
      <c r="BK353" s="1843">
        <f t="shared" si="138"/>
        <v>55.860178578657958</v>
      </c>
      <c r="BL353" s="1843">
        <f t="shared" si="138"/>
        <v>57.791549140641045</v>
      </c>
      <c r="BM353" s="1843">
        <f t="shared" si="138"/>
        <v>12.27820521647052</v>
      </c>
      <c r="BO353" s="1739">
        <f t="shared" si="152"/>
        <v>2027</v>
      </c>
      <c r="BP353" s="1742">
        <f>_xlfn.IFNA(INDEX($AR353:$AX353,MATCH(BO353,$AR$2:$AX$2,0))*12/365*[11]核心假设及结论!$C$70*$H353,0)</f>
        <v>57293.85205479453</v>
      </c>
      <c r="BR353" s="1739">
        <f t="shared" si="157"/>
        <v>2030</v>
      </c>
      <c r="BS353" s="1742">
        <f>_xlfn.IFNA(INDEX($AR353:$AX353,MATCH(BR353,$AR$2:$AX$2,0))*12/365*[11]核心假设及结论!$C$70*$H353,0)</f>
        <v>46238.46423439958</v>
      </c>
      <c r="BU353" s="1739">
        <f t="shared" si="158"/>
        <v>2033</v>
      </c>
      <c r="BV353" s="1742">
        <f>_xlfn.IFNA(INDEX($AR353:$AX353,MATCH(BU353,$AR$2:$AX$2,0))*12/365*[11]核心假设及结论!$C$70*$H353,0)</f>
        <v>0</v>
      </c>
      <c r="BX353" s="1739">
        <f t="shared" si="159"/>
        <v>2036</v>
      </c>
      <c r="BY353" s="1742">
        <f>_xlfn.IFNA(INDEX($AR353:$AX353,MATCH(BX353,$AR$2:$AX$2,0))*12/365*[11]核心假设及结论!$C$70*$H353,0)</f>
        <v>0</v>
      </c>
      <c r="CA353" s="1739">
        <f t="shared" si="160"/>
        <v>2039</v>
      </c>
      <c r="CB353" s="1742">
        <f>_xlfn.IFNA(INDEX($AR353:$AX353,MATCH(CA353,$AR$2:$AX$2,0))*12/365*[11]核心假设及结论!$C$70*$H353,0)</f>
        <v>0</v>
      </c>
    </row>
    <row r="354" spans="1:80" ht="30" customHeight="1">
      <c r="A354" s="1763" t="s">
        <v>1687</v>
      </c>
      <c r="B354" s="1757" t="s">
        <v>2404</v>
      </c>
      <c r="C354" s="1764" t="s">
        <v>2405</v>
      </c>
      <c r="D354" s="1764" t="s">
        <v>1676</v>
      </c>
      <c r="E354" s="1764" t="s">
        <v>1677</v>
      </c>
      <c r="F354" s="1765"/>
      <c r="G354" s="1760" t="s">
        <v>1661</v>
      </c>
      <c r="H354" s="1761">
        <v>90</v>
      </c>
      <c r="I354" s="1763" t="s">
        <v>2356</v>
      </c>
      <c r="J354" s="1773">
        <v>45331</v>
      </c>
      <c r="K354" s="1773">
        <v>46061</v>
      </c>
      <c r="L354" s="1764">
        <f t="shared" si="142"/>
        <v>24</v>
      </c>
      <c r="M354" s="1774">
        <f t="shared" si="153"/>
        <v>34357.5</v>
      </c>
      <c r="N354" s="1775">
        <f t="shared" si="154"/>
        <v>273.75</v>
      </c>
      <c r="O354" s="1777">
        <v>24637.5</v>
      </c>
      <c r="P354" s="1763">
        <v>0.11</v>
      </c>
      <c r="Q354" s="1783">
        <f t="shared" si="143"/>
        <v>90</v>
      </c>
      <c r="R354" s="1763">
        <v>8100</v>
      </c>
      <c r="S354" s="1777">
        <f t="shared" si="144"/>
        <v>18</v>
      </c>
      <c r="T354" s="1763">
        <v>1620</v>
      </c>
      <c r="U354" s="1763"/>
      <c r="V354" s="1785">
        <v>42602.5</v>
      </c>
      <c r="W354" s="1785">
        <f t="shared" si="145"/>
        <v>473.36111111111109</v>
      </c>
      <c r="X354" s="1786">
        <f>(N354+Q354)*H354/V354</f>
        <v>0.76844081920075114</v>
      </c>
      <c r="Y354" s="1789">
        <f>VLOOKUP(E354,[11]核心假设及结论!$C$25:$E$45,3,0)</f>
        <v>0.25</v>
      </c>
      <c r="Z354" s="1790">
        <f t="shared" si="163"/>
        <v>24637.5</v>
      </c>
      <c r="AA354" s="1790">
        <f t="shared" si="163"/>
        <v>25376.399999999998</v>
      </c>
      <c r="AB354" s="1790">
        <f t="shared" si="163"/>
        <v>0</v>
      </c>
      <c r="AC354" s="1790">
        <f t="shared" si="161"/>
        <v>0</v>
      </c>
      <c r="AD354" s="1790">
        <f t="shared" si="161"/>
        <v>0</v>
      </c>
      <c r="AE354" s="1790">
        <f t="shared" si="161"/>
        <v>0</v>
      </c>
      <c r="AF354" s="1790">
        <f t="shared" si="161"/>
        <v>0</v>
      </c>
      <c r="AG354" s="1794">
        <v>273.75</v>
      </c>
      <c r="AH354" s="1794">
        <v>281.95999999999998</v>
      </c>
      <c r="AI354" s="1794">
        <v>0</v>
      </c>
      <c r="AJ354" s="1794">
        <v>0</v>
      </c>
      <c r="AK354" s="1794">
        <v>0</v>
      </c>
      <c r="AL354" s="1794">
        <v>0</v>
      </c>
      <c r="AM354" s="1794">
        <v>0</v>
      </c>
      <c r="AN354" s="1764"/>
      <c r="AO354" s="1764"/>
      <c r="AP354" s="1808">
        <f t="shared" si="155"/>
        <v>3.0737632768030045</v>
      </c>
      <c r="AQ354" s="1808">
        <f>IF(AP354&gt;[11]核心假设及结论!$B$65,[11]核心假设及结论!$D$65,IF(AP354&lt;=[11]核心假设及结论!$B$64,[11]核心假设及结论!$D$63,[11]核心假设及结论!$D$64))</f>
        <v>0.72793038402688603</v>
      </c>
      <c r="AR354" s="1809">
        <f t="shared" si="156"/>
        <v>273.75</v>
      </c>
      <c r="AS354" s="1809">
        <f>AH354*(AS$2&lt;=YEAR($K354))+AR354*$AQ354*(AS$2=YEAR($K354)+1)+INDEX([11]核心假设及结论!$E$17:$E$21,MATCH($D354,[11]核心假设及结论!$B$17:$B$21,0))*(AS$2&gt;YEAR($K354)+1)*AR354</f>
        <v>281.95999999999998</v>
      </c>
      <c r="AT354" s="1811">
        <f>AI354*(AT$2&lt;=YEAR($K354))+AS354*$AQ354*(AT$2=YEAR($K354)+1)+INDEX([11]核心假设及结论!$E$17:$E$21,MATCH($D354,[11]核心假设及结论!$B$17:$B$21,0))*(AT$2&gt;YEAR($K354)+1)*AS354</f>
        <v>205.24725108022076</v>
      </c>
      <c r="AU354" s="1809">
        <f>AJ354*(AU$2&lt;=YEAR($K354))+AT354*$AQ354*(AU$2=YEAR($K354)+1)+INDEX([11]核心假设及结论!$E$17:$E$21,MATCH($D354,[11]核心假设及结论!$B$17:$B$21,0))*(AU$2&gt;YEAR($K354)+1)*AT354</f>
        <v>212.34369274494074</v>
      </c>
      <c r="AV354" s="1809">
        <f>AK354*(AV$2&lt;=YEAR($K354))+AU354*$AQ354*(AV$2=YEAR($K354)+1)+INDEX([11]核心假设及结论!$E$17:$E$21,MATCH($D354,[11]核心假设及结论!$B$17:$B$21,0))*(AV$2&gt;YEAR($K354)+1)*AU354</f>
        <v>219.68549450113932</v>
      </c>
      <c r="AW354" s="1809">
        <f>AL354*(AW$2&lt;=YEAR($K354))+AV354*$AQ354*(AW$2=YEAR($K354)+1)+INDEX([11]核心假设及结论!$E$17:$E$21,MATCH($D354,[11]核心假设及结论!$B$17:$B$21,0))*(AW$2&gt;YEAR($K354)+1)*AV354</f>
        <v>227.28113969544776</v>
      </c>
      <c r="AX354" s="1809">
        <f>AM354*(AX$2&lt;=YEAR($K354))+AW354*$AQ354*(AX$2=YEAR($K354)+1)+INDEX([11]核心假设及结论!$E$17:$E$21,MATCH($D354,[11]核心假设及结论!$B$17:$B$21,0))*(AX$2&gt;YEAR($K354)+1)*AW354</f>
        <v>235.13940498694939</v>
      </c>
      <c r="AZ354" s="1746">
        <f t="shared" si="146"/>
        <v>46061</v>
      </c>
      <c r="BA354" s="1817">
        <f t="shared" si="147"/>
        <v>45658</v>
      </c>
      <c r="BB354" s="1817">
        <f t="shared" si="148"/>
        <v>45696</v>
      </c>
      <c r="BC354" s="1841">
        <f t="shared" si="149"/>
        <v>46022</v>
      </c>
      <c r="BD354" s="1842">
        <f t="shared" si="150"/>
        <v>39</v>
      </c>
      <c r="BE354" s="1842">
        <f t="shared" si="151"/>
        <v>326</v>
      </c>
      <c r="BG354" s="1843">
        <f t="shared" si="164"/>
        <v>30.356938849315071</v>
      </c>
      <c r="BH354" s="1843">
        <f t="shared" si="139"/>
        <v>23.051947222006611</v>
      </c>
      <c r="BI354" s="1843">
        <f t="shared" si="139"/>
        <v>22.851227823873327</v>
      </c>
      <c r="BJ354" s="1843">
        <f t="shared" si="139"/>
        <v>23.641311025309047</v>
      </c>
      <c r="BK354" s="1843">
        <f t="shared" si="139"/>
        <v>24.458711422564722</v>
      </c>
      <c r="BL354" s="1843">
        <f t="shared" si="139"/>
        <v>25.304373510076008</v>
      </c>
      <c r="BM354" s="1843">
        <f t="shared" si="139"/>
        <v>2.7134443117946048</v>
      </c>
      <c r="BO354" s="1739">
        <f t="shared" si="152"/>
        <v>2026</v>
      </c>
      <c r="BP354" s="1742">
        <f>_xlfn.IFNA(INDEX($AR354:$AX354,MATCH(BO354,$AR$2:$AX$2,0))*12/365*[11]核心假设及结论!$C$70*$H354,0)</f>
        <v>25028.778082191773</v>
      </c>
      <c r="BR354" s="1739">
        <f t="shared" si="157"/>
        <v>2028</v>
      </c>
      <c r="BS354" s="1742">
        <f>_xlfn.IFNA(INDEX($AR354:$AX354,MATCH(BR354,$AR$2:$AX$2,0))*12/365*[11]核心假设及结论!$C$70*$H354,0)</f>
        <v>18849.138753249532</v>
      </c>
      <c r="BU354" s="1739">
        <f t="shared" si="158"/>
        <v>2030</v>
      </c>
      <c r="BV354" s="1742">
        <f>_xlfn.IFNA(INDEX($AR354:$AX354,MATCH(BU354,$AR$2:$AX$2,0))*12/365*[11]核心假设及结论!$C$70*$H354,0)</f>
        <v>20175.09294830824</v>
      </c>
      <c r="BX354" s="1739">
        <f t="shared" si="159"/>
        <v>2032</v>
      </c>
      <c r="BY354" s="1742">
        <f>_xlfn.IFNA(INDEX($AR354:$AX354,MATCH(BX354,$AR$2:$AX$2,0))*12/365*[11]核心假设及结论!$C$70*$H354,0)</f>
        <v>0</v>
      </c>
      <c r="CA354" s="1739">
        <f t="shared" si="160"/>
        <v>2034</v>
      </c>
      <c r="CB354" s="1742">
        <f>_xlfn.IFNA(INDEX($AR354:$AX354,MATCH(CA354,$AR$2:$AX$2,0))*12/365*[11]核心假设及结论!$C$70*$H354,0)</f>
        <v>0</v>
      </c>
    </row>
    <row r="355" spans="1:80" ht="30" customHeight="1">
      <c r="A355" s="1763" t="s">
        <v>1662</v>
      </c>
      <c r="B355" s="1757" t="s">
        <v>2406</v>
      </c>
      <c r="C355" s="1764" t="s">
        <v>2407</v>
      </c>
      <c r="D355" s="1764" t="s">
        <v>1685</v>
      </c>
      <c r="E355" s="1764" t="s">
        <v>1871</v>
      </c>
      <c r="F355" s="1765"/>
      <c r="G355" s="1760" t="s">
        <v>1661</v>
      </c>
      <c r="H355" s="1761">
        <v>87</v>
      </c>
      <c r="I355" s="1763" t="s">
        <v>2356</v>
      </c>
      <c r="J355" s="1773">
        <v>44638</v>
      </c>
      <c r="K355" s="1773">
        <v>45900</v>
      </c>
      <c r="L355" s="1764">
        <f t="shared" si="142"/>
        <v>42</v>
      </c>
      <c r="M355" s="1774">
        <f t="shared" si="153"/>
        <v>115829.19</v>
      </c>
      <c r="N355" s="1775">
        <f t="shared" si="154"/>
        <v>1216.82</v>
      </c>
      <c r="O355" s="1777">
        <v>105863.34</v>
      </c>
      <c r="P355" s="1763">
        <v>0.12</v>
      </c>
      <c r="Q355" s="1783">
        <f t="shared" si="143"/>
        <v>95</v>
      </c>
      <c r="R355" s="1763">
        <v>8265</v>
      </c>
      <c r="S355" s="1777">
        <f t="shared" si="144"/>
        <v>19.55</v>
      </c>
      <c r="T355" s="1763">
        <v>1700.85</v>
      </c>
      <c r="U355" s="1763"/>
      <c r="V355" s="1785">
        <v>268391.01583333302</v>
      </c>
      <c r="W355" s="1785">
        <f t="shared" si="145"/>
        <v>3084.9542049808392</v>
      </c>
      <c r="X355" s="1786">
        <f>(N355+Q355)*H355/V355</f>
        <v>0.42523159594459775</v>
      </c>
      <c r="Y355" s="1789">
        <f>VLOOKUP(E355,[11]核心假设及结论!$C$25:$E$45,3,0)</f>
        <v>0.2</v>
      </c>
      <c r="Z355" s="1790">
        <f t="shared" si="163"/>
        <v>105863.34</v>
      </c>
      <c r="AA355" s="1790">
        <f t="shared" si="163"/>
        <v>0</v>
      </c>
      <c r="AB355" s="1790">
        <f t="shared" si="163"/>
        <v>0</v>
      </c>
      <c r="AC355" s="1790">
        <f t="shared" si="161"/>
        <v>0</v>
      </c>
      <c r="AD355" s="1790">
        <f t="shared" si="161"/>
        <v>0</v>
      </c>
      <c r="AE355" s="1790">
        <f t="shared" si="161"/>
        <v>0</v>
      </c>
      <c r="AF355" s="1790">
        <f t="shared" si="161"/>
        <v>0</v>
      </c>
      <c r="AG355" s="1794">
        <v>1216.82</v>
      </c>
      <c r="AH355" s="1794">
        <v>0</v>
      </c>
      <c r="AI355" s="1794">
        <v>0</v>
      </c>
      <c r="AJ355" s="1794">
        <v>0</v>
      </c>
      <c r="AK355" s="1794">
        <v>0</v>
      </c>
      <c r="AL355" s="1794">
        <v>0</v>
      </c>
      <c r="AM355" s="1794">
        <v>0</v>
      </c>
      <c r="AN355" s="1764"/>
      <c r="AO355" s="1764"/>
      <c r="AP355" s="1808">
        <f t="shared" si="155"/>
        <v>2.1261579797229886</v>
      </c>
      <c r="AQ355" s="1810">
        <f>IF(AP355&gt;[11]核心假设及结论!$B$59,[11]核心假设及结论!$D$59,IF(AP355&lt;=[11]核心假设及结论!$B$58,[11]核心假设及结论!$D$57,[11]核心假设及结论!$D$58))</f>
        <v>1</v>
      </c>
      <c r="AR355" s="1809">
        <f t="shared" si="156"/>
        <v>1216.82</v>
      </c>
      <c r="AS355" s="1811">
        <f>AH355*(AS$2&lt;=YEAR($K355))+AR355*$AQ355*(AS$2=YEAR($K355)+1)+INDEX([11]核心假设及结论!$E$17:$E$21,MATCH($D355,[11]核心假设及结论!$B$17:$B$21,0))*(AS$2&gt;YEAR($K355)+1)*AR355</f>
        <v>1216.82</v>
      </c>
      <c r="AT355" s="1809">
        <f>AI355*(AT$2&lt;=YEAR($K355))+AS355*$AQ355*(AT$2=YEAR($K355)+1)+INDEX([11]核心假设及结论!$E$17:$E$21,MATCH($D355,[11]核心假设及结论!$B$17:$B$21,0))*(AT$2&gt;YEAR($K355)+1)*AS355</f>
        <v>1249.7647821474177</v>
      </c>
      <c r="AU355" s="1809">
        <f>AJ355*(AU$2&lt;=YEAR($K355))+AT355*$AQ355*(AU$2=YEAR($K355)+1)+INDEX([11]核心假设及结论!$E$17:$E$21,MATCH($D355,[11]核心假设及结论!$B$17:$B$21,0))*(AU$2&gt;YEAR($K355)+1)*AT355</f>
        <v>1283.6015275028208</v>
      </c>
      <c r="AV355" s="1809">
        <f>AK355*(AV$2&lt;=YEAR($K355))+AU355*$AQ355*(AV$2=YEAR($K355)+1)+INDEX([11]核心假设及结论!$E$17:$E$21,MATCH($D355,[11]核心假设及结论!$B$17:$B$21,0))*(AV$2&gt;YEAR($K355)+1)*AU355</f>
        <v>1318.3543855160626</v>
      </c>
      <c r="AW355" s="1809">
        <f>AL355*(AW$2&lt;=YEAR($K355))+AV355*$AQ355*(AW$2=YEAR($K355)+1)+INDEX([11]核心假设及结论!$E$17:$E$21,MATCH($D355,[11]核心假设及结论!$B$17:$B$21,0))*(AW$2&gt;YEAR($K355)+1)*AV355</f>
        <v>1354.0481594710595</v>
      </c>
      <c r="AX355" s="1809">
        <f>AM355*(AX$2&lt;=YEAR($K355))+AW355*$AQ355*(AX$2=YEAR($K355)+1)+INDEX([11]核心假设及结论!$E$17:$E$21,MATCH($D355,[11]核心假设及结论!$B$17:$B$21,0))*(AX$2&gt;YEAR($K355)+1)*AW355</f>
        <v>1390.708324188015</v>
      </c>
      <c r="AZ355" s="1746">
        <f t="shared" si="146"/>
        <v>45900</v>
      </c>
      <c r="BA355" s="1817">
        <f t="shared" si="147"/>
        <v>45658</v>
      </c>
      <c r="BB355" s="1817">
        <f t="shared" si="148"/>
        <v>45900</v>
      </c>
      <c r="BC355" s="1841">
        <f t="shared" si="149"/>
        <v>46022</v>
      </c>
      <c r="BD355" s="1842">
        <f t="shared" si="150"/>
        <v>243</v>
      </c>
      <c r="BE355" s="1842">
        <f t="shared" si="151"/>
        <v>122</v>
      </c>
      <c r="BG355" s="1843">
        <f t="shared" si="164"/>
        <v>127.03600800000001</v>
      </c>
      <c r="BH355" s="1843">
        <f t="shared" ref="BH355:BM397" si="165">(AS355*$BD355*$H355*12/365+$BE355*AT355*$H355*12/365)/10000</f>
        <v>128.18562745549377</v>
      </c>
      <c r="BI355" s="1843">
        <f t="shared" si="165"/>
        <v>131.65618807329369</v>
      </c>
      <c r="BJ355" s="1843">
        <f t="shared" si="165"/>
        <v>135.22071235333027</v>
      </c>
      <c r="BK355" s="1843">
        <f t="shared" si="165"/>
        <v>138.88174431393173</v>
      </c>
      <c r="BL355" s="1843">
        <f t="shared" si="165"/>
        <v>142.6418968514277</v>
      </c>
      <c r="BM355" s="1843">
        <f t="shared" si="165"/>
        <v>96.660705802713935</v>
      </c>
      <c r="BO355" s="1739">
        <f t="shared" si="152"/>
        <v>2025</v>
      </c>
      <c r="BP355" s="1742">
        <f>_xlfn.IFNA(INDEX($AR355:$AX355,MATCH(BO355,$AR$2:$AX$2,0))*12/365*[11]核心假设及结论!$C$70*$H355,0)</f>
        <v>104413.15726027398</v>
      </c>
      <c r="BR355" s="1739">
        <f t="shared" si="157"/>
        <v>2029</v>
      </c>
      <c r="BS355" s="1742">
        <f>_xlfn.IFNA(INDEX($AR355:$AX355,MATCH(BR355,$AR$2:$AX$2,0))*12/365*[11]核心假设及结论!$C$70*$H355,0)</f>
        <v>113125.64206674817</v>
      </c>
      <c r="BU355" s="1739">
        <f t="shared" si="158"/>
        <v>2033</v>
      </c>
      <c r="BV355" s="1742">
        <f>_xlfn.IFNA(INDEX($AR355:$AX355,MATCH(BU355,$AR$2:$AX$2,0))*12/365*[11]核心假设及结论!$C$70*$H355,0)</f>
        <v>0</v>
      </c>
      <c r="BX355" s="1739">
        <f t="shared" si="159"/>
        <v>2037</v>
      </c>
      <c r="BY355" s="1742">
        <f>_xlfn.IFNA(INDEX($AR355:$AX355,MATCH(BX355,$AR$2:$AX$2,0))*12/365*[11]核心假设及结论!$C$70*$H355,0)</f>
        <v>0</v>
      </c>
      <c r="CA355" s="1739">
        <f t="shared" si="160"/>
        <v>2041</v>
      </c>
      <c r="CB355" s="1742">
        <f>_xlfn.IFNA(INDEX($AR355:$AX355,MATCH(CA355,$AR$2:$AX$2,0))*12/365*[11]核心假设及结论!$C$70*$H355,0)</f>
        <v>0</v>
      </c>
    </row>
    <row r="356" spans="1:80" ht="30" customHeight="1">
      <c r="A356" s="1763" t="s">
        <v>1687</v>
      </c>
      <c r="B356" s="1757" t="s">
        <v>2408</v>
      </c>
      <c r="C356" s="1764" t="s">
        <v>2409</v>
      </c>
      <c r="D356" s="1764" t="s">
        <v>1685</v>
      </c>
      <c r="E356" s="1764" t="s">
        <v>1871</v>
      </c>
      <c r="F356" s="1765"/>
      <c r="G356" s="1760" t="s">
        <v>1661</v>
      </c>
      <c r="H356" s="1761">
        <v>87</v>
      </c>
      <c r="I356" s="1763" t="s">
        <v>2356</v>
      </c>
      <c r="J356" s="1773">
        <v>45240</v>
      </c>
      <c r="K356" s="1773">
        <v>46335</v>
      </c>
      <c r="L356" s="1764">
        <f t="shared" si="142"/>
        <v>36</v>
      </c>
      <c r="M356" s="1774">
        <f t="shared" si="153"/>
        <v>104302.56</v>
      </c>
      <c r="N356" s="1775">
        <f t="shared" si="154"/>
        <v>1085.8799999999999</v>
      </c>
      <c r="O356" s="1777">
        <v>94471.56</v>
      </c>
      <c r="P356" s="1763">
        <v>0.18</v>
      </c>
      <c r="Q356" s="1783">
        <f t="shared" si="143"/>
        <v>95</v>
      </c>
      <c r="R356" s="1763">
        <v>8265</v>
      </c>
      <c r="S356" s="1777">
        <f t="shared" si="144"/>
        <v>18</v>
      </c>
      <c r="T356" s="1763">
        <v>1566</v>
      </c>
      <c r="U356" s="1763"/>
      <c r="V356" s="1785">
        <v>168232.53333333301</v>
      </c>
      <c r="W356" s="1785">
        <f t="shared" si="145"/>
        <v>1933.7072796934829</v>
      </c>
      <c r="X356" s="1786">
        <f>(N356+Q356+S356)*H356/V356</f>
        <v>0.61999042595011455</v>
      </c>
      <c r="Y356" s="1789">
        <f>VLOOKUP(E356,[11]核心假设及结论!$C$25:$E$45,3,0)</f>
        <v>0.2</v>
      </c>
      <c r="Z356" s="1790">
        <f t="shared" si="163"/>
        <v>94471.560000000012</v>
      </c>
      <c r="AA356" s="1790">
        <f t="shared" si="163"/>
        <v>96323.790000000008</v>
      </c>
      <c r="AB356" s="1790">
        <f t="shared" si="163"/>
        <v>0</v>
      </c>
      <c r="AC356" s="1790">
        <f t="shared" si="161"/>
        <v>0</v>
      </c>
      <c r="AD356" s="1790">
        <f t="shared" si="161"/>
        <v>0</v>
      </c>
      <c r="AE356" s="1790">
        <f t="shared" si="161"/>
        <v>0</v>
      </c>
      <c r="AF356" s="1790">
        <f t="shared" si="161"/>
        <v>0</v>
      </c>
      <c r="AG356" s="1794">
        <v>1085.8800000000001</v>
      </c>
      <c r="AH356" s="1794">
        <v>1107.17</v>
      </c>
      <c r="AI356" s="1794">
        <v>0</v>
      </c>
      <c r="AJ356" s="1794">
        <v>0</v>
      </c>
      <c r="AK356" s="1794">
        <v>0</v>
      </c>
      <c r="AL356" s="1794">
        <v>0</v>
      </c>
      <c r="AM356" s="1794">
        <v>0</v>
      </c>
      <c r="AN356" s="1764"/>
      <c r="AO356" s="1764"/>
      <c r="AP356" s="1808">
        <f t="shared" si="155"/>
        <v>3.0999521297505725</v>
      </c>
      <c r="AQ356" s="1810">
        <f>IF(AP356&gt;[11]核心假设及结论!$B$59,[11]核心假设及结论!$D$59,IF(AP356&lt;=[11]核心假设及结论!$B$58,[11]核心假设及结论!$D$57,[11]核心假设及结论!$D$58))</f>
        <v>1</v>
      </c>
      <c r="AR356" s="1809">
        <f t="shared" si="156"/>
        <v>1085.8800000000001</v>
      </c>
      <c r="AS356" s="1809">
        <f>AH356*(AS$2&lt;=YEAR($K356))+AR356*$AQ356*(AS$2=YEAR($K356)+1)+INDEX([11]核心假设及结论!$E$17:$E$21,MATCH($D356,[11]核心假设及结论!$B$17:$B$21,0))*(AS$2&gt;YEAR($K356)+1)*AR356</f>
        <v>1107.17</v>
      </c>
      <c r="AT356" s="1811">
        <f>AI356*(AT$2&lt;=YEAR($K356))+AS356*$AQ356*(AT$2=YEAR($K356)+1)+INDEX([11]核心假设及结论!$E$17:$E$21,MATCH($D356,[11]核心假设及结论!$B$17:$B$21,0))*(AT$2&gt;YEAR($K356)+1)*AS356</f>
        <v>1107.17</v>
      </c>
      <c r="AU356" s="1809">
        <f>AJ356*(AU$2&lt;=YEAR($K356))+AT356*$AQ356*(AU$2=YEAR($K356)+1)+INDEX([11]核心假设及结论!$E$17:$E$21,MATCH($D356,[11]核心假设及结论!$B$17:$B$21,0))*(AU$2&gt;YEAR($K356)+1)*AT356</f>
        <v>1137.1460642084749</v>
      </c>
      <c r="AV356" s="1809">
        <f>AK356*(AV$2&lt;=YEAR($K356))+AU356*$AQ356*(AV$2=YEAR($K356)+1)+INDEX([11]核心假设及结论!$E$17:$E$21,MATCH($D356,[11]核心假设及结论!$B$17:$B$21,0))*(AV$2&gt;YEAR($K356)+1)*AU356</f>
        <v>1167.9337150977942</v>
      </c>
      <c r="AW356" s="1809">
        <f>AL356*(AW$2&lt;=YEAR($K356))+AV356*$AQ356*(AW$2=YEAR($K356)+1)+INDEX([11]核心假设及结论!$E$17:$E$21,MATCH($D356,[11]核心假设及结论!$B$17:$B$21,0))*(AW$2&gt;YEAR($K356)+1)*AV356</f>
        <v>1199.5549259642503</v>
      </c>
      <c r="AX356" s="1809">
        <f>AM356*(AX$2&lt;=YEAR($K356))+AW356*$AQ356*(AX$2=YEAR($K356)+1)+INDEX([11]核心假设及结论!$E$17:$E$21,MATCH($D356,[11]核心假设及结论!$B$17:$B$21,0))*(AX$2&gt;YEAR($K356)+1)*AW356</f>
        <v>1232.0322650199478</v>
      </c>
      <c r="AZ356" s="1746">
        <f t="shared" si="146"/>
        <v>46335</v>
      </c>
      <c r="BA356" s="1817">
        <f t="shared" si="147"/>
        <v>45658</v>
      </c>
      <c r="BB356" s="1817">
        <f t="shared" si="148"/>
        <v>45970</v>
      </c>
      <c r="BC356" s="1841">
        <f t="shared" si="149"/>
        <v>46022</v>
      </c>
      <c r="BD356" s="1842">
        <f t="shared" si="150"/>
        <v>313</v>
      </c>
      <c r="BE356" s="1842">
        <f t="shared" si="151"/>
        <v>52</v>
      </c>
      <c r="BG356" s="1843">
        <f t="shared" si="164"/>
        <v>113.68252721095894</v>
      </c>
      <c r="BH356" s="1843">
        <f t="shared" si="165"/>
        <v>115.588548</v>
      </c>
      <c r="BI356" s="1843">
        <f t="shared" si="165"/>
        <v>116.03439473253417</v>
      </c>
      <c r="BJ356" s="1843">
        <f t="shared" si="165"/>
        <v>119.17596690924955</v>
      </c>
      <c r="BK356" s="1843">
        <f t="shared" si="165"/>
        <v>122.40259555361196</v>
      </c>
      <c r="BL356" s="1843">
        <f t="shared" si="165"/>
        <v>125.71658352618984</v>
      </c>
      <c r="BM356" s="1843">
        <f t="shared" si="165"/>
        <v>110.2996293986571</v>
      </c>
      <c r="BO356" s="1739">
        <f t="shared" si="152"/>
        <v>2026</v>
      </c>
      <c r="BP356" s="1742">
        <f>_xlfn.IFNA(INDEX($AR356:$AX356,MATCH(BO356,$AR$2:$AX$2,0))*12/365*[11]核心假设及结论!$C$70*$H356,0)</f>
        <v>95004.286027397276</v>
      </c>
      <c r="BR356" s="1739">
        <f t="shared" si="157"/>
        <v>2029</v>
      </c>
      <c r="BS356" s="1742">
        <f>_xlfn.IFNA(INDEX($AR356:$AX356,MATCH(BR356,$AR$2:$AX$2,0))*12/365*[11]核心假设及结论!$C$70*$H356,0)</f>
        <v>100218.31221058332</v>
      </c>
      <c r="BU356" s="1739">
        <f t="shared" si="158"/>
        <v>2032</v>
      </c>
      <c r="BV356" s="1742">
        <f>_xlfn.IFNA(INDEX($AR356:$AX356,MATCH(BU356,$AR$2:$AX$2,0))*12/365*[11]核心假设及结论!$C$70*$H356,0)</f>
        <v>0</v>
      </c>
      <c r="BX356" s="1739">
        <f t="shared" si="159"/>
        <v>2035</v>
      </c>
      <c r="BY356" s="1742">
        <f>_xlfn.IFNA(INDEX($AR356:$AX356,MATCH(BX356,$AR$2:$AX$2,0))*12/365*[11]核心假设及结论!$C$70*$H356,0)</f>
        <v>0</v>
      </c>
      <c r="CA356" s="1739">
        <f t="shared" si="160"/>
        <v>2038</v>
      </c>
      <c r="CB356" s="1742">
        <f>_xlfn.IFNA(INDEX($AR356:$AX356,MATCH(CA356,$AR$2:$AX$2,0))*12/365*[11]核心假设及结论!$C$70*$H356,0)</f>
        <v>0</v>
      </c>
    </row>
    <row r="357" spans="1:80" ht="30" customHeight="1">
      <c r="A357" s="1763" t="s">
        <v>1666</v>
      </c>
      <c r="B357" s="1757" t="s">
        <v>2410</v>
      </c>
      <c r="C357" s="1764" t="s">
        <v>2411</v>
      </c>
      <c r="D357" s="1764" t="s">
        <v>1685</v>
      </c>
      <c r="E357" s="1764" t="s">
        <v>1692</v>
      </c>
      <c r="F357" s="1765"/>
      <c r="G357" s="1760" t="s">
        <v>1661</v>
      </c>
      <c r="H357" s="1761">
        <v>87</v>
      </c>
      <c r="I357" s="1763" t="s">
        <v>2356</v>
      </c>
      <c r="J357" s="1773">
        <v>44853</v>
      </c>
      <c r="K357" s="1773">
        <v>46678</v>
      </c>
      <c r="L357" s="1764">
        <f t="shared" si="142"/>
        <v>60</v>
      </c>
      <c r="M357" s="1774">
        <f t="shared" si="153"/>
        <v>72017.73000000001</v>
      </c>
      <c r="N357" s="1775">
        <f t="shared" si="154"/>
        <v>714.79000000000008</v>
      </c>
      <c r="O357" s="1777">
        <v>62186.73</v>
      </c>
      <c r="P357" s="1763">
        <v>0.16</v>
      </c>
      <c r="Q357" s="1783">
        <f t="shared" si="143"/>
        <v>95</v>
      </c>
      <c r="R357" s="1763">
        <v>8265</v>
      </c>
      <c r="S357" s="1777">
        <f t="shared" si="144"/>
        <v>18</v>
      </c>
      <c r="T357" s="1763">
        <v>1566</v>
      </c>
      <c r="U357" s="1763"/>
      <c r="V357" s="1785">
        <v>219795.09583333301</v>
      </c>
      <c r="W357" s="1785">
        <f t="shared" si="145"/>
        <v>2526.380411877391</v>
      </c>
      <c r="X357" s="1786">
        <f t="shared" ref="X357:X363" si="166">(N357+Q357)*H357/V357</f>
        <v>0.32053367584426173</v>
      </c>
      <c r="Y357" s="1789">
        <f>VLOOKUP(E357,[11]核心假设及结论!$C$25:$E$45,3,0)</f>
        <v>0.2</v>
      </c>
      <c r="Z357" s="1790">
        <f t="shared" si="163"/>
        <v>63429.960000000006</v>
      </c>
      <c r="AA357" s="1790">
        <f t="shared" si="163"/>
        <v>63429.960000000006</v>
      </c>
      <c r="AB357" s="1790">
        <f t="shared" si="163"/>
        <v>64699.289999999994</v>
      </c>
      <c r="AC357" s="1790">
        <f t="shared" si="161"/>
        <v>0</v>
      </c>
      <c r="AD357" s="1790">
        <f t="shared" si="161"/>
        <v>0</v>
      </c>
      <c r="AE357" s="1790">
        <f t="shared" si="161"/>
        <v>0</v>
      </c>
      <c r="AF357" s="1790">
        <f t="shared" si="161"/>
        <v>0</v>
      </c>
      <c r="AG357" s="1794">
        <v>729.08</v>
      </c>
      <c r="AH357" s="1794">
        <v>729.08</v>
      </c>
      <c r="AI357" s="1794">
        <v>743.67</v>
      </c>
      <c r="AJ357" s="1794">
        <v>0</v>
      </c>
      <c r="AK357" s="1794">
        <v>0</v>
      </c>
      <c r="AL357" s="1794">
        <v>0</v>
      </c>
      <c r="AM357" s="1794">
        <v>0</v>
      </c>
      <c r="AN357" s="1764"/>
      <c r="AO357" s="1764"/>
      <c r="AP357" s="1808">
        <f t="shared" si="155"/>
        <v>1.6026683792213086</v>
      </c>
      <c r="AQ357" s="1810">
        <f>IF(AP357&gt;[11]核心假设及结论!$B$59,[11]核心假设及结论!$D$59,IF(AP357&lt;=[11]核心假设及结论!$B$58,[11]核心假设及结论!$D$57,[11]核心假设及结论!$D$58))</f>
        <v>1</v>
      </c>
      <c r="AR357" s="1809">
        <f t="shared" si="156"/>
        <v>729.08</v>
      </c>
      <c r="AS357" s="1809">
        <f>AH357*(AS$2&lt;=YEAR($K357))+AR357*$AQ357*(AS$2=YEAR($K357)+1)+INDEX([11]核心假设及结论!$E$17:$E$21,MATCH($D357,[11]核心假设及结论!$B$17:$B$21,0))*(AS$2&gt;YEAR($K357)+1)*AR357</f>
        <v>729.08</v>
      </c>
      <c r="AT357" s="1809">
        <f>AI357*(AT$2&lt;=YEAR($K357))+AS357*$AQ357*(AT$2=YEAR($K357)+1)+INDEX([11]核心假设及结论!$E$17:$E$21,MATCH($D357,[11]核心假设及结论!$B$17:$B$21,0))*(AT$2&gt;YEAR($K357)+1)*AS357</f>
        <v>743.67</v>
      </c>
      <c r="AU357" s="1811">
        <f>AJ357*(AU$2&lt;=YEAR($K357))+AT357*$AQ357*(AU$2=YEAR($K357)+1)+INDEX([11]核心假设及结论!$E$17:$E$21,MATCH($D357,[11]核心假设及结论!$B$17:$B$21,0))*(AU$2&gt;YEAR($K357)+1)*AT357</f>
        <v>743.67</v>
      </c>
      <c r="AV357" s="1809">
        <f>AK357*(AV$2&lt;=YEAR($K357))+AU357*$AQ357*(AV$2=YEAR($K357)+1)+INDEX([11]核心假设及结论!$E$17:$E$21,MATCH($D357,[11]核心假设及结论!$B$17:$B$21,0))*(AV$2&gt;YEAR($K357)+1)*AU357</f>
        <v>763.80448672734667</v>
      </c>
      <c r="AW357" s="1809">
        <f>AL357*(AW$2&lt;=YEAR($K357))+AV357*$AQ357*(AW$2=YEAR($K357)+1)+INDEX([11]核心假设及结论!$E$17:$E$21,MATCH($D357,[11]核心假设及结论!$B$17:$B$21,0))*(AW$2&gt;YEAR($K357)+1)*AV357</f>
        <v>784.48410443452815</v>
      </c>
      <c r="AX357" s="1809">
        <f>AM357*(AX$2&lt;=YEAR($K357))+AW357*$AQ357*(AX$2=YEAR($K357)+1)+INDEX([11]核心假设及结论!$E$17:$E$21,MATCH($D357,[11]核心假设及结论!$B$17:$B$21,0))*(AX$2&gt;YEAR($K357)+1)*AW357</f>
        <v>805.72361226535565</v>
      </c>
      <c r="AZ357" s="1746">
        <f t="shared" si="146"/>
        <v>46678</v>
      </c>
      <c r="BA357" s="1817">
        <f t="shared" si="147"/>
        <v>45658</v>
      </c>
      <c r="BB357" s="1817">
        <f t="shared" si="148"/>
        <v>45948</v>
      </c>
      <c r="BC357" s="1841">
        <f t="shared" si="149"/>
        <v>46022</v>
      </c>
      <c r="BD357" s="1842">
        <f t="shared" si="150"/>
        <v>291</v>
      </c>
      <c r="BE357" s="1842">
        <f t="shared" si="151"/>
        <v>74</v>
      </c>
      <c r="BG357" s="1843">
        <f t="shared" si="164"/>
        <v>76.115952000000007</v>
      </c>
      <c r="BH357" s="1843">
        <f t="shared" si="165"/>
        <v>76.424764339726025</v>
      </c>
      <c r="BI357" s="1843">
        <f t="shared" si="165"/>
        <v>77.639147999999992</v>
      </c>
      <c r="BJ357" s="1843">
        <f t="shared" si="165"/>
        <v>78.06531509770079</v>
      </c>
      <c r="BK357" s="1843">
        <f t="shared" si="165"/>
        <v>80.178893769290056</v>
      </c>
      <c r="BL357" s="1843">
        <f t="shared" si="165"/>
        <v>82.349696507616358</v>
      </c>
      <c r="BM357" s="1843">
        <f t="shared" si="165"/>
        <v>67.063577068675102</v>
      </c>
      <c r="BO357" s="1739">
        <f t="shared" si="152"/>
        <v>2027</v>
      </c>
      <c r="BP357" s="1742">
        <f>_xlfn.IFNA(INDEX($AR357:$AX357,MATCH(BO357,$AR$2:$AX$2,0))*12/365*[11]核心假设及结论!$C$70*$H357,0)</f>
        <v>63812.998356164382</v>
      </c>
      <c r="BR357" s="1739">
        <f t="shared" si="157"/>
        <v>2032</v>
      </c>
      <c r="BS357" s="1742">
        <f>_xlfn.IFNA(INDEX($AR357:$AX357,MATCH(BR357,$AR$2:$AX$2,0))*12/365*[11]核心假设及结论!$C$70*$H357,0)</f>
        <v>0</v>
      </c>
      <c r="BU357" s="1739">
        <f t="shared" si="158"/>
        <v>2037</v>
      </c>
      <c r="BV357" s="1742">
        <f>_xlfn.IFNA(INDEX($AR357:$AX357,MATCH(BU357,$AR$2:$AX$2,0))*12/365*[11]核心假设及结论!$C$70*$H357,0)</f>
        <v>0</v>
      </c>
      <c r="BX357" s="1739">
        <f t="shared" si="159"/>
        <v>2042</v>
      </c>
      <c r="BY357" s="1742">
        <f>_xlfn.IFNA(INDEX($AR357:$AX357,MATCH(BX357,$AR$2:$AX$2,0))*12/365*[11]核心假设及结论!$C$70*$H357,0)</f>
        <v>0</v>
      </c>
      <c r="CA357" s="1739">
        <f t="shared" si="160"/>
        <v>2047</v>
      </c>
      <c r="CB357" s="1742">
        <f>_xlfn.IFNA(INDEX($AR357:$AX357,MATCH(CA357,$AR$2:$AX$2,0))*12/365*[11]核心假设及结论!$C$70*$H357,0)</f>
        <v>0</v>
      </c>
    </row>
    <row r="358" spans="1:80" ht="30" customHeight="1">
      <c r="A358" s="1763" t="s">
        <v>1687</v>
      </c>
      <c r="B358" s="1757" t="s">
        <v>2412</v>
      </c>
      <c r="C358" s="1764" t="s">
        <v>2413</v>
      </c>
      <c r="D358" s="1764" t="s">
        <v>1676</v>
      </c>
      <c r="E358" s="1764" t="s">
        <v>1677</v>
      </c>
      <c r="F358" s="1765"/>
      <c r="G358" s="1760" t="s">
        <v>1661</v>
      </c>
      <c r="H358" s="1761">
        <v>87</v>
      </c>
      <c r="I358" s="1763" t="s">
        <v>2356</v>
      </c>
      <c r="J358" s="1773">
        <v>45523</v>
      </c>
      <c r="K358" s="1773">
        <v>46617</v>
      </c>
      <c r="L358" s="1764">
        <f t="shared" si="142"/>
        <v>36</v>
      </c>
      <c r="M358" s="1774">
        <f t="shared" si="153"/>
        <v>26596.77</v>
      </c>
      <c r="N358" s="1775">
        <f t="shared" si="154"/>
        <v>197.71</v>
      </c>
      <c r="O358" s="1777">
        <v>17200.77</v>
      </c>
      <c r="P358" s="1763">
        <v>0.1</v>
      </c>
      <c r="Q358" s="1783">
        <f t="shared" si="143"/>
        <v>90</v>
      </c>
      <c r="R358" s="1763">
        <v>7830</v>
      </c>
      <c r="S358" s="1777">
        <f t="shared" si="144"/>
        <v>18</v>
      </c>
      <c r="T358" s="1763">
        <v>1566</v>
      </c>
      <c r="U358" s="1763"/>
      <c r="V358" s="1785"/>
      <c r="W358" s="1785">
        <f t="shared" si="145"/>
        <v>0</v>
      </c>
      <c r="X358" s="1786" t="e">
        <f t="shared" si="166"/>
        <v>#DIV/0!</v>
      </c>
      <c r="Y358" s="1789">
        <f>VLOOKUP(E358,[11]核心假设及结论!$C$25:$E$45,3,0)</f>
        <v>0.25</v>
      </c>
      <c r="Z358" s="1790">
        <f t="shared" si="163"/>
        <v>17200.77</v>
      </c>
      <c r="AA358" s="1790">
        <f t="shared" si="163"/>
        <v>18074.25</v>
      </c>
      <c r="AB358" s="1790">
        <f t="shared" si="163"/>
        <v>18973.830000000002</v>
      </c>
      <c r="AC358" s="1790">
        <f t="shared" si="161"/>
        <v>0</v>
      </c>
      <c r="AD358" s="1790">
        <f t="shared" si="161"/>
        <v>0</v>
      </c>
      <c r="AE358" s="1790">
        <f t="shared" si="161"/>
        <v>0</v>
      </c>
      <c r="AF358" s="1790">
        <f t="shared" si="161"/>
        <v>0</v>
      </c>
      <c r="AG358" s="1794">
        <v>197.71</v>
      </c>
      <c r="AH358" s="1794">
        <v>207.75</v>
      </c>
      <c r="AI358" s="1794">
        <v>218.09</v>
      </c>
      <c r="AJ358" s="1794">
        <v>0</v>
      </c>
      <c r="AK358" s="1794">
        <v>0</v>
      </c>
      <c r="AL358" s="1794">
        <v>0</v>
      </c>
      <c r="AM358" s="1794">
        <v>0</v>
      </c>
      <c r="AN358" s="1764"/>
      <c r="AO358" s="1764"/>
      <c r="AP358" s="1808">
        <f t="shared" si="155"/>
        <v>1.25</v>
      </c>
      <c r="AQ358" s="1808">
        <f>IF(AP358&gt;[11]核心假设及结论!$B$65,[11]核心假设及结论!$D$65,IF(AP358&lt;=[11]核心假设及结论!$B$64,[11]核心假设及结论!$D$63,[11]核心假设及结论!$D$64))</f>
        <v>0.754</v>
      </c>
      <c r="AR358" s="1809">
        <f t="shared" si="156"/>
        <v>197.71</v>
      </c>
      <c r="AS358" s="1809">
        <f>AH358*(AS$2&lt;=YEAR($K358))+AR358*$AQ358*(AS$2=YEAR($K358)+1)+INDEX([11]核心假设及结论!$E$17:$E$21,MATCH($D358,[11]核心假设及结论!$B$17:$B$21,0))*(AS$2&gt;YEAR($K358)+1)*AR358</f>
        <v>207.75</v>
      </c>
      <c r="AT358" s="1809">
        <f>AI358*(AT$2&lt;=YEAR($K358))+AS358*$AQ358*(AT$2=YEAR($K358)+1)+INDEX([11]核心假设及结论!$E$17:$E$21,MATCH($D358,[11]核心假设及结论!$B$17:$B$21,0))*(AT$2&gt;YEAR($K358)+1)*AS358</f>
        <v>218.09</v>
      </c>
      <c r="AU358" s="1811">
        <f>AJ358*(AU$2&lt;=YEAR($K358))+AT358*$AQ358*(AU$2=YEAR($K358)+1)+INDEX([11]核心假设及结论!$E$17:$E$21,MATCH($D358,[11]核心假设及结论!$B$17:$B$21,0))*(AU$2&gt;YEAR($K358)+1)*AT358</f>
        <v>164.43986000000001</v>
      </c>
      <c r="AV358" s="1809">
        <f>AK358*(AV$2&lt;=YEAR($K358))+AU358*$AQ358*(AV$2=YEAR($K358)+1)+INDEX([11]核心假设及结论!$E$17:$E$21,MATCH($D358,[11]核心假设及结论!$B$17:$B$21,0))*(AV$2&gt;YEAR($K358)+1)*AU358</f>
        <v>170.12538254757666</v>
      </c>
      <c r="AW358" s="1809">
        <f>AL358*(AW$2&lt;=YEAR($K358))+AV358*$AQ358*(AW$2=YEAR($K358)+1)+INDEX([11]核心假设及结论!$E$17:$E$21,MATCH($D358,[11]核心假设及结论!$B$17:$B$21,0))*(AW$2&gt;YEAR($K358)+1)*AV358</f>
        <v>176.00748253470476</v>
      </c>
      <c r="AX358" s="1809">
        <f>AM358*(AX$2&lt;=YEAR($K358))+AW358*$AQ358*(AX$2=YEAR($K358)+1)+INDEX([11]核心假设及结论!$E$17:$E$21,MATCH($D358,[11]核心假设及结论!$B$17:$B$21,0))*(AX$2&gt;YEAR($K358)+1)*AW358</f>
        <v>182.09295664355687</v>
      </c>
      <c r="AZ358" s="1746">
        <f t="shared" si="146"/>
        <v>46617</v>
      </c>
      <c r="BA358" s="1817">
        <f t="shared" si="147"/>
        <v>45658</v>
      </c>
      <c r="BB358" s="1817">
        <f t="shared" si="148"/>
        <v>45887</v>
      </c>
      <c r="BC358" s="1841">
        <f t="shared" si="149"/>
        <v>46022</v>
      </c>
      <c r="BD358" s="1842">
        <f t="shared" si="150"/>
        <v>230</v>
      </c>
      <c r="BE358" s="1842">
        <f t="shared" si="151"/>
        <v>135</v>
      </c>
      <c r="BG358" s="1843">
        <f t="shared" si="164"/>
        <v>21.028605534246577</v>
      </c>
      <c r="BH358" s="1843">
        <f t="shared" si="165"/>
        <v>22.088365643835619</v>
      </c>
      <c r="BI358" s="1843">
        <f t="shared" si="165"/>
        <v>20.696965662575344</v>
      </c>
      <c r="BJ358" s="1843">
        <f t="shared" si="165"/>
        <v>17.387060438206973</v>
      </c>
      <c r="BK358" s="1843">
        <f t="shared" si="165"/>
        <v>17.988219574182299</v>
      </c>
      <c r="BL358" s="1843">
        <f t="shared" si="165"/>
        <v>18.610163839883892</v>
      </c>
      <c r="BM358" s="1843">
        <f t="shared" si="165"/>
        <v>11.979222123082431</v>
      </c>
      <c r="BO358" s="1739">
        <f t="shared" si="152"/>
        <v>2027</v>
      </c>
      <c r="BP358" s="1742">
        <f>_xlfn.IFNA(INDEX($AR358:$AX358,MATCH(BO358,$AR$2:$AX$2,0))*12/365*[11]核心假设及结论!$C$70*$H358,0)</f>
        <v>18713.914520547944</v>
      </c>
      <c r="BR358" s="1739">
        <f t="shared" si="157"/>
        <v>2030</v>
      </c>
      <c r="BS358" s="1742">
        <f>_xlfn.IFNA(INDEX($AR358:$AX358,MATCH(BR358,$AR$2:$AX$2,0))*12/365*[11]核心假设及结论!$C$70*$H358,0)</f>
        <v>15102.888638320421</v>
      </c>
      <c r="BU358" s="1739">
        <f t="shared" si="158"/>
        <v>2033</v>
      </c>
      <c r="BV358" s="1742">
        <f>_xlfn.IFNA(INDEX($AR358:$AX358,MATCH(BU358,$AR$2:$AX$2,0))*12/365*[11]核心假设及结论!$C$70*$H358,0)</f>
        <v>0</v>
      </c>
      <c r="BX358" s="1739">
        <f t="shared" si="159"/>
        <v>2036</v>
      </c>
      <c r="BY358" s="1742">
        <f>_xlfn.IFNA(INDEX($AR358:$AX358,MATCH(BX358,$AR$2:$AX$2,0))*12/365*[11]核心假设及结论!$C$70*$H358,0)</f>
        <v>0</v>
      </c>
      <c r="CA358" s="1739">
        <f t="shared" si="160"/>
        <v>2039</v>
      </c>
      <c r="CB358" s="1742">
        <f>_xlfn.IFNA(INDEX($AR358:$AX358,MATCH(CA358,$AR$2:$AX$2,0))*12/365*[11]核心假设及结论!$C$70*$H358,0)</f>
        <v>0</v>
      </c>
    </row>
    <row r="359" spans="1:80" ht="30" customHeight="1">
      <c r="A359" s="1763" t="s">
        <v>1662</v>
      </c>
      <c r="B359" s="1757" t="s">
        <v>2414</v>
      </c>
      <c r="C359" s="1764" t="s">
        <v>2415</v>
      </c>
      <c r="D359" s="1764" t="s">
        <v>1685</v>
      </c>
      <c r="E359" s="1764" t="s">
        <v>1838</v>
      </c>
      <c r="F359" s="1765"/>
      <c r="G359" s="1760" t="s">
        <v>1661</v>
      </c>
      <c r="H359" s="1761">
        <v>86</v>
      </c>
      <c r="I359" s="1763" t="s">
        <v>2356</v>
      </c>
      <c r="J359" s="1773">
        <v>44075</v>
      </c>
      <c r="K359" s="1773">
        <v>45900</v>
      </c>
      <c r="L359" s="1764">
        <f t="shared" si="142"/>
        <v>60</v>
      </c>
      <c r="M359" s="1774">
        <f t="shared" si="153"/>
        <v>67319.94</v>
      </c>
      <c r="N359" s="1775">
        <f t="shared" si="154"/>
        <v>669.17000000000007</v>
      </c>
      <c r="O359" s="1777">
        <v>57548.62</v>
      </c>
      <c r="P359" s="1763">
        <v>0.1</v>
      </c>
      <c r="Q359" s="1783">
        <f t="shared" si="143"/>
        <v>95</v>
      </c>
      <c r="R359" s="1763">
        <v>8170</v>
      </c>
      <c r="S359" s="1777">
        <f t="shared" si="144"/>
        <v>18.62</v>
      </c>
      <c r="T359" s="1763">
        <v>1601.32</v>
      </c>
      <c r="U359" s="1763"/>
      <c r="V359" s="1785">
        <v>223858.33333333299</v>
      </c>
      <c r="W359" s="1785">
        <f t="shared" si="145"/>
        <v>2603.0038759689883</v>
      </c>
      <c r="X359" s="1786">
        <f t="shared" si="166"/>
        <v>0.29357236347392374</v>
      </c>
      <c r="Y359" s="1789">
        <f>VLOOKUP(E359,[11]核心假设及结论!$C$25:$E$45,3,0)</f>
        <v>0.2</v>
      </c>
      <c r="Z359" s="1790">
        <f t="shared" si="163"/>
        <v>57548.619999999995</v>
      </c>
      <c r="AA359" s="1790">
        <f t="shared" si="163"/>
        <v>0</v>
      </c>
      <c r="AB359" s="1790">
        <f t="shared" si="163"/>
        <v>0</v>
      </c>
      <c r="AC359" s="1790">
        <f t="shared" si="161"/>
        <v>0</v>
      </c>
      <c r="AD359" s="1790">
        <f t="shared" si="161"/>
        <v>0</v>
      </c>
      <c r="AE359" s="1790">
        <f t="shared" si="161"/>
        <v>0</v>
      </c>
      <c r="AF359" s="1790">
        <f t="shared" si="161"/>
        <v>0</v>
      </c>
      <c r="AG359" s="1794">
        <v>669.17</v>
      </c>
      <c r="AH359" s="1794">
        <v>0</v>
      </c>
      <c r="AI359" s="1794">
        <v>0</v>
      </c>
      <c r="AJ359" s="1794">
        <v>0</v>
      </c>
      <c r="AK359" s="1794">
        <v>0</v>
      </c>
      <c r="AL359" s="1794">
        <v>0</v>
      </c>
      <c r="AM359" s="1794">
        <v>0</v>
      </c>
      <c r="AN359" s="1764"/>
      <c r="AO359" s="1764"/>
      <c r="AP359" s="1808">
        <f t="shared" si="155"/>
        <v>1.4678618173696185</v>
      </c>
      <c r="AQ359" s="1810">
        <f>IF(AP359&gt;[11]核心假设及结论!$B$59,[11]核心假设及结论!$D$59,IF(AP359&lt;=[11]核心假设及结论!$B$58,[11]核心假设及结论!$D$57,[11]核心假设及结论!$D$58))</f>
        <v>1.0069999999999999</v>
      </c>
      <c r="AR359" s="1809">
        <f t="shared" si="156"/>
        <v>669.17</v>
      </c>
      <c r="AS359" s="1811">
        <f>AH359*(AS$2&lt;=YEAR($K359))+AR359*$AQ359*(AS$2=YEAR($K359)+1)+INDEX([11]核心假设及结论!$E$17:$E$21,MATCH($D359,[11]核心假设及结论!$B$17:$B$21,0))*(AS$2&gt;YEAR($K359)+1)*AR359</f>
        <v>673.8541899999999</v>
      </c>
      <c r="AT359" s="1809">
        <f>AI359*(AT$2&lt;=YEAR($K359))+AS359*$AQ359*(AT$2=YEAR($K359)+1)+INDEX([11]核心假设及结论!$E$17:$E$21,MATCH($D359,[11]核心假设及结论!$B$17:$B$21,0))*(AT$2&gt;YEAR($K359)+1)*AS359</f>
        <v>692.09844920733917</v>
      </c>
      <c r="AU359" s="1809">
        <f>AJ359*(AU$2&lt;=YEAR($K359))+AT359*$AQ359*(AU$2=YEAR($K359)+1)+INDEX([11]核心假设及结论!$E$17:$E$21,MATCH($D359,[11]核心假设及结论!$B$17:$B$21,0))*(AU$2&gt;YEAR($K359)+1)*AT359</f>
        <v>710.83666244652113</v>
      </c>
      <c r="AV359" s="1809">
        <f>AK359*(AV$2&lt;=YEAR($K359))+AU359*$AQ359*(AV$2=YEAR($K359)+1)+INDEX([11]核心假设及结论!$E$17:$E$21,MATCH($D359,[11]核心假设及结论!$B$17:$B$21,0))*(AV$2&gt;YEAR($K359)+1)*AU359</f>
        <v>730.0822032715389</v>
      </c>
      <c r="AW359" s="1809">
        <f>AL359*(AW$2&lt;=YEAR($K359))+AV359*$AQ359*(AW$2=YEAR($K359)+1)+INDEX([11]核心假设及结论!$E$17:$E$21,MATCH($D359,[11]核心假设及结论!$B$17:$B$21,0))*(AW$2&gt;YEAR($K359)+1)*AV359</f>
        <v>749.84880731855287</v>
      </c>
      <c r="AX359" s="1809">
        <f>AM359*(AX$2&lt;=YEAR($K359))+AW359*$AQ359*(AX$2=YEAR($K359)+1)+INDEX([11]核心假设及结论!$E$17:$E$21,MATCH($D359,[11]核心假设及结论!$B$17:$B$21,0))*(AX$2&gt;YEAR($K359)+1)*AW359</f>
        <v>770.15058210908114</v>
      </c>
      <c r="AZ359" s="1746">
        <f t="shared" si="146"/>
        <v>45900</v>
      </c>
      <c r="BA359" s="1817">
        <f t="shared" si="147"/>
        <v>45658</v>
      </c>
      <c r="BB359" s="1817">
        <f t="shared" si="148"/>
        <v>45900</v>
      </c>
      <c r="BC359" s="1841">
        <f t="shared" si="149"/>
        <v>46022</v>
      </c>
      <c r="BD359" s="1842">
        <f t="shared" si="150"/>
        <v>243</v>
      </c>
      <c r="BE359" s="1842">
        <f t="shared" si="151"/>
        <v>122</v>
      </c>
      <c r="BG359" s="1843">
        <f t="shared" si="164"/>
        <v>69.21992160486576</v>
      </c>
      <c r="BH359" s="1843">
        <f t="shared" si="165"/>
        <v>70.171074383682409</v>
      </c>
      <c r="BI359" s="1843">
        <f t="shared" si="165"/>
        <v>72.070920506051095</v>
      </c>
      <c r="BJ359" s="1843">
        <f t="shared" si="165"/>
        <v>74.022203995174962</v>
      </c>
      <c r="BK359" s="1843">
        <f t="shared" si="165"/>
        <v>76.026317491577672</v>
      </c>
      <c r="BL359" s="1843">
        <f t="shared" si="165"/>
        <v>78.084691340816207</v>
      </c>
      <c r="BM359" s="1843">
        <f t="shared" si="165"/>
        <v>52.913775994242997</v>
      </c>
      <c r="BO359" s="1739">
        <f t="shared" si="152"/>
        <v>2025</v>
      </c>
      <c r="BP359" s="1742">
        <f>_xlfn.IFNA(INDEX($AR359:$AX359,MATCH(BO359,$AR$2:$AX$2,0))*12/365*[11]核心假设及结论!$C$70*$H359,0)</f>
        <v>56760.282739726019</v>
      </c>
      <c r="BR359" s="1739">
        <f t="shared" si="157"/>
        <v>2030</v>
      </c>
      <c r="BS359" s="1742">
        <f>_xlfn.IFNA(INDEX($AR359:$AX359,MATCH(BR359,$AR$2:$AX$2,0))*12/365*[11]核心假设及结论!$C$70*$H359,0)</f>
        <v>63603.613902965481</v>
      </c>
      <c r="BU359" s="1739">
        <f t="shared" si="158"/>
        <v>2035</v>
      </c>
      <c r="BV359" s="1742">
        <f>_xlfn.IFNA(INDEX($AR359:$AX359,MATCH(BU359,$AR$2:$AX$2,0))*12/365*[11]核心假设及结论!$C$70*$H359,0)</f>
        <v>0</v>
      </c>
      <c r="BX359" s="1739">
        <f t="shared" si="159"/>
        <v>2040</v>
      </c>
      <c r="BY359" s="1742">
        <f>_xlfn.IFNA(INDEX($AR359:$AX359,MATCH(BX359,$AR$2:$AX$2,0))*12/365*[11]核心假设及结论!$C$70*$H359,0)</f>
        <v>0</v>
      </c>
      <c r="CA359" s="1739">
        <f t="shared" si="160"/>
        <v>2045</v>
      </c>
      <c r="CB359" s="1742">
        <f>_xlfn.IFNA(INDEX($AR359:$AX359,MATCH(CA359,$AR$2:$AX$2,0))*12/365*[11]核心假设及结论!$C$70*$H359,0)</f>
        <v>0</v>
      </c>
    </row>
    <row r="360" spans="1:80" ht="30" customHeight="1">
      <c r="A360" s="1763" t="s">
        <v>1687</v>
      </c>
      <c r="B360" s="1757" t="s">
        <v>2416</v>
      </c>
      <c r="C360" s="1764" t="s">
        <v>2417</v>
      </c>
      <c r="D360" s="1764" t="s">
        <v>1676</v>
      </c>
      <c r="E360" s="1764" t="s">
        <v>1681</v>
      </c>
      <c r="F360" s="1765"/>
      <c r="G360" s="1760" t="s">
        <v>1661</v>
      </c>
      <c r="H360" s="1761">
        <v>85</v>
      </c>
      <c r="I360" s="1763" t="s">
        <v>2356</v>
      </c>
      <c r="J360" s="1773">
        <v>45566</v>
      </c>
      <c r="K360" s="1773">
        <v>46639</v>
      </c>
      <c r="L360" s="1764">
        <f t="shared" si="142"/>
        <v>36</v>
      </c>
      <c r="M360" s="1774">
        <f t="shared" si="153"/>
        <v>39421.300000000003</v>
      </c>
      <c r="N360" s="1775">
        <f t="shared" si="154"/>
        <v>355.78</v>
      </c>
      <c r="O360" s="1777">
        <v>30241.3</v>
      </c>
      <c r="P360" s="1763">
        <v>0.14000000000000001</v>
      </c>
      <c r="Q360" s="1783">
        <f t="shared" si="143"/>
        <v>90</v>
      </c>
      <c r="R360" s="1763">
        <v>7650</v>
      </c>
      <c r="S360" s="1777">
        <f t="shared" si="144"/>
        <v>18</v>
      </c>
      <c r="T360" s="1763">
        <v>1530</v>
      </c>
      <c r="U360" s="1763"/>
      <c r="V360" s="1785">
        <v>62100.366666666698</v>
      </c>
      <c r="W360" s="1785">
        <f t="shared" si="145"/>
        <v>730.59254901960821</v>
      </c>
      <c r="X360" s="1786">
        <f t="shared" si="166"/>
        <v>0.61016225883797748</v>
      </c>
      <c r="Y360" s="1789">
        <f>VLOOKUP(E360,[11]核心假设及结论!$C$25:$E$45,3,0)</f>
        <v>0.25</v>
      </c>
      <c r="Z360" s="1790">
        <f t="shared" si="163"/>
        <v>25854.45</v>
      </c>
      <c r="AA360" s="1790">
        <f t="shared" si="163"/>
        <v>27147.3</v>
      </c>
      <c r="AB360" s="1790">
        <f t="shared" si="163"/>
        <v>28439.3</v>
      </c>
      <c r="AC360" s="1790">
        <f t="shared" si="161"/>
        <v>0</v>
      </c>
      <c r="AD360" s="1790">
        <f t="shared" si="161"/>
        <v>0</v>
      </c>
      <c r="AE360" s="1790">
        <f t="shared" si="161"/>
        <v>0</v>
      </c>
      <c r="AF360" s="1790">
        <f t="shared" si="161"/>
        <v>0</v>
      </c>
      <c r="AG360" s="1794">
        <v>304.17</v>
      </c>
      <c r="AH360" s="1794">
        <v>319.38</v>
      </c>
      <c r="AI360" s="1794">
        <v>334.58</v>
      </c>
      <c r="AJ360" s="1794">
        <v>0</v>
      </c>
      <c r="AK360" s="1794">
        <v>0</v>
      </c>
      <c r="AL360" s="1794">
        <v>0</v>
      </c>
      <c r="AM360" s="1794">
        <v>0</v>
      </c>
      <c r="AN360" s="1764"/>
      <c r="AO360" s="1764"/>
      <c r="AP360" s="1808">
        <f t="shared" si="155"/>
        <v>2.4406490353519099</v>
      </c>
      <c r="AQ360" s="1808">
        <f>IF(AP360&gt;[11]核心假设及结论!$B$65,[11]核心假设及结论!$D$65,IF(AP360&lt;=[11]核心假设及结论!$B$64,[11]核心假设及结论!$D$63,[11]核心假设及结论!$D$64))</f>
        <v>0.72793038402688603</v>
      </c>
      <c r="AR360" s="1809">
        <f t="shared" si="156"/>
        <v>304.17</v>
      </c>
      <c r="AS360" s="1809">
        <f>AH360*(AS$2&lt;=YEAR($K360))+AR360*$AQ360*(AS$2=YEAR($K360)+1)+INDEX([11]核心假设及结论!$E$17:$E$21,MATCH($D360,[11]核心假设及结论!$B$17:$B$21,0))*(AS$2&gt;YEAR($K360)+1)*AR360</f>
        <v>319.38</v>
      </c>
      <c r="AT360" s="1809">
        <f>AI360*(AT$2&lt;=YEAR($K360))+AS360*$AQ360*(AT$2=YEAR($K360)+1)+INDEX([11]核心假设及结论!$E$17:$E$21,MATCH($D360,[11]核心假设及结论!$B$17:$B$21,0))*(AT$2&gt;YEAR($K360)+1)*AS360</f>
        <v>334.58</v>
      </c>
      <c r="AU360" s="1811">
        <f>AJ360*(AU$2&lt;=YEAR($K360))+AT360*$AQ360*(AU$2=YEAR($K360)+1)+INDEX([11]核心假设及结论!$E$17:$E$21,MATCH($D360,[11]核心假设及结论!$B$17:$B$21,0))*(AU$2&gt;YEAR($K360)+1)*AT360</f>
        <v>243.55094788771552</v>
      </c>
      <c r="AV360" s="1809">
        <f>AK360*(AV$2&lt;=YEAR($K360))+AU360*$AQ360*(AV$2=YEAR($K360)+1)+INDEX([11]核心假设及结论!$E$17:$E$21,MATCH($D360,[11]核心假设及结论!$B$17:$B$21,0))*(AV$2&gt;YEAR($K360)+1)*AU360</f>
        <v>251.97174322103234</v>
      </c>
      <c r="AW360" s="1809">
        <f>AL360*(AW$2&lt;=YEAR($K360))+AV360*$AQ360*(AW$2=YEAR($K360)+1)+INDEX([11]核心假设及结论!$E$17:$E$21,MATCH($D360,[11]核心假设及结论!$B$17:$B$21,0))*(AW$2&gt;YEAR($K360)+1)*AV360</f>
        <v>260.68368828979715</v>
      </c>
      <c r="AX360" s="1809">
        <f>AM360*(AX$2&lt;=YEAR($K360))+AW360*$AQ360*(AX$2=YEAR($K360)+1)+INDEX([11]核心假设及结论!$E$17:$E$21,MATCH($D360,[11]核心假设及结论!$B$17:$B$21,0))*(AX$2&gt;YEAR($K360)+1)*AW360</f>
        <v>269.69684962158789</v>
      </c>
      <c r="AZ360" s="1746">
        <f t="shared" si="146"/>
        <v>46639</v>
      </c>
      <c r="BA360" s="1817">
        <f t="shared" si="147"/>
        <v>45658</v>
      </c>
      <c r="BB360" s="1817">
        <f t="shared" si="148"/>
        <v>45909</v>
      </c>
      <c r="BC360" s="1841">
        <f t="shared" si="149"/>
        <v>46022</v>
      </c>
      <c r="BD360" s="1842">
        <f t="shared" si="150"/>
        <v>252</v>
      </c>
      <c r="BE360" s="1842">
        <f t="shared" si="151"/>
        <v>113</v>
      </c>
      <c r="BG360" s="1843">
        <f t="shared" si="164"/>
        <v>31.50564263013699</v>
      </c>
      <c r="BH360" s="1843">
        <f t="shared" si="165"/>
        <v>33.056746849315068</v>
      </c>
      <c r="BI360" s="1843">
        <f t="shared" si="165"/>
        <v>31.252637110558375</v>
      </c>
      <c r="BJ360" s="1843">
        <f t="shared" si="165"/>
        <v>25.108109251702622</v>
      </c>
      <c r="BK360" s="1843">
        <f t="shared" si="165"/>
        <v>25.976224325977032</v>
      </c>
      <c r="BL360" s="1843">
        <f t="shared" si="165"/>
        <v>26.874354554902379</v>
      </c>
      <c r="BM360" s="1843">
        <f t="shared" si="165"/>
        <v>18.99256937718711</v>
      </c>
      <c r="BO360" s="1739">
        <f t="shared" si="152"/>
        <v>2027</v>
      </c>
      <c r="BP360" s="1742">
        <f>_xlfn.IFNA(INDEX($AR360:$AX360,MATCH(BO360,$AR$2:$AX$2,0))*12/365*[11]核心假设及结论!$C$70*$H360,0)</f>
        <v>28049.72054794521</v>
      </c>
      <c r="BR360" s="1739">
        <f t="shared" si="157"/>
        <v>2030</v>
      </c>
      <c r="BS360" s="1742">
        <f>_xlfn.IFNA(INDEX($AR360:$AX360,MATCH(BR360,$AR$2:$AX$2,0))*12/365*[11]核心假设及结论!$C$70*$H360,0)</f>
        <v>21854.577703199429</v>
      </c>
      <c r="BU360" s="1739">
        <f t="shared" si="158"/>
        <v>2033</v>
      </c>
      <c r="BV360" s="1742">
        <f>_xlfn.IFNA(INDEX($AR360:$AX360,MATCH(BU360,$AR$2:$AX$2,0))*12/365*[11]核心假设及结论!$C$70*$H360,0)</f>
        <v>0</v>
      </c>
      <c r="BX360" s="1739">
        <f t="shared" si="159"/>
        <v>2036</v>
      </c>
      <c r="BY360" s="1742">
        <f>_xlfn.IFNA(INDEX($AR360:$AX360,MATCH(BX360,$AR$2:$AX$2,0))*12/365*[11]核心假设及结论!$C$70*$H360,0)</f>
        <v>0</v>
      </c>
      <c r="CA360" s="1739">
        <f t="shared" si="160"/>
        <v>2039</v>
      </c>
      <c r="CB360" s="1742">
        <f>_xlfn.IFNA(INDEX($AR360:$AX360,MATCH(CA360,$AR$2:$AX$2,0))*12/365*[11]核心假设及结论!$C$70*$H360,0)</f>
        <v>0</v>
      </c>
    </row>
    <row r="361" spans="1:80" ht="30" customHeight="1">
      <c r="A361" s="1763" t="s">
        <v>1662</v>
      </c>
      <c r="B361" s="1757" t="s">
        <v>2418</v>
      </c>
      <c r="C361" s="1764" t="s">
        <v>2419</v>
      </c>
      <c r="D361" s="1764" t="s">
        <v>1685</v>
      </c>
      <c r="E361" s="1764" t="s">
        <v>1838</v>
      </c>
      <c r="F361" s="1765"/>
      <c r="G361" s="1760" t="s">
        <v>1661</v>
      </c>
      <c r="H361" s="1761">
        <v>83</v>
      </c>
      <c r="I361" s="1763" t="s">
        <v>2356</v>
      </c>
      <c r="J361" s="1773">
        <v>43983</v>
      </c>
      <c r="K361" s="1773">
        <v>45808</v>
      </c>
      <c r="L361" s="1764">
        <f t="shared" si="142"/>
        <v>60</v>
      </c>
      <c r="M361" s="1774">
        <f t="shared" si="153"/>
        <v>72545.320000000007</v>
      </c>
      <c r="N361" s="1775">
        <f t="shared" si="154"/>
        <v>760.42</v>
      </c>
      <c r="O361" s="1777">
        <v>63114.86</v>
      </c>
      <c r="P361" s="1763">
        <v>0.08</v>
      </c>
      <c r="Q361" s="1783">
        <f t="shared" si="143"/>
        <v>95</v>
      </c>
      <c r="R361" s="1763">
        <v>7885</v>
      </c>
      <c r="S361" s="1777">
        <f t="shared" si="144"/>
        <v>18.62</v>
      </c>
      <c r="T361" s="1763">
        <v>1545.46</v>
      </c>
      <c r="U361" s="1763"/>
      <c r="V361" s="1785">
        <v>220047.08333333299</v>
      </c>
      <c r="W361" s="1785">
        <f t="shared" si="145"/>
        <v>2651.1696787148553</v>
      </c>
      <c r="X361" s="1786">
        <f t="shared" si="166"/>
        <v>0.32265758275217665</v>
      </c>
      <c r="Y361" s="1789">
        <f>VLOOKUP(E361,[11]核心假设及结论!$C$25:$E$45,3,0)</f>
        <v>0.2</v>
      </c>
      <c r="Z361" s="1790">
        <f t="shared" si="163"/>
        <v>63114.859999999993</v>
      </c>
      <c r="AA361" s="1790">
        <f t="shared" si="163"/>
        <v>0</v>
      </c>
      <c r="AB361" s="1790">
        <f t="shared" si="163"/>
        <v>0</v>
      </c>
      <c r="AC361" s="1790">
        <f t="shared" si="161"/>
        <v>0</v>
      </c>
      <c r="AD361" s="1790">
        <f t="shared" si="161"/>
        <v>0</v>
      </c>
      <c r="AE361" s="1790">
        <f t="shared" si="161"/>
        <v>0</v>
      </c>
      <c r="AF361" s="1790">
        <f t="shared" si="161"/>
        <v>0</v>
      </c>
      <c r="AG361" s="1794">
        <v>760.42</v>
      </c>
      <c r="AH361" s="1794">
        <v>0</v>
      </c>
      <c r="AI361" s="1794">
        <v>0</v>
      </c>
      <c r="AJ361" s="1794">
        <v>0</v>
      </c>
      <c r="AK361" s="1794">
        <v>0</v>
      </c>
      <c r="AL361" s="1794">
        <v>0</v>
      </c>
      <c r="AM361" s="1794">
        <v>0</v>
      </c>
      <c r="AN361" s="1764"/>
      <c r="AO361" s="1764"/>
      <c r="AP361" s="1808">
        <f t="shared" si="155"/>
        <v>1.6132879137608831</v>
      </c>
      <c r="AQ361" s="1810">
        <f>IF(AP361&gt;[11]核心假设及结论!$B$59,[11]核心假设及结论!$D$59,IF(AP361&lt;=[11]核心假设及结论!$B$58,[11]核心假设及结论!$D$57,[11]核心假设及结论!$D$58))</f>
        <v>1</v>
      </c>
      <c r="AR361" s="1809">
        <f t="shared" si="156"/>
        <v>760.42</v>
      </c>
      <c r="AS361" s="1811">
        <f>AH361*(AS$2&lt;=YEAR($K361))+AR361*$AQ361*(AS$2=YEAR($K361)+1)+INDEX([11]核心假设及结论!$E$17:$E$21,MATCH($D361,[11]核心假设及结论!$B$17:$B$21,0))*(AS$2&gt;YEAR($K361)+1)*AR361</f>
        <v>760.42</v>
      </c>
      <c r="AT361" s="1809">
        <f>AI361*(AT$2&lt;=YEAR($K361))+AS361*$AQ361*(AT$2=YEAR($K361)+1)+INDEX([11]核心假设及结论!$E$17:$E$21,MATCH($D361,[11]核心假设及结论!$B$17:$B$21,0))*(AT$2&gt;YEAR($K361)+1)*AS361</f>
        <v>781.00798445171779</v>
      </c>
      <c r="AU361" s="1809">
        <f>AJ361*(AU$2&lt;=YEAR($K361))+AT361*$AQ361*(AU$2=YEAR($K361)+1)+INDEX([11]核心假设及结论!$E$17:$E$21,MATCH($D361,[11]核心假设及结论!$B$17:$B$21,0))*(AU$2&gt;YEAR($K361)+1)*AT361</f>
        <v>802.15337810333062</v>
      </c>
      <c r="AV361" s="1809">
        <f>AK361*(AV$2&lt;=YEAR($K361))+AU361*$AQ361*(AV$2=YEAR($K361)+1)+INDEX([11]核心假设及结论!$E$17:$E$21,MATCH($D361,[11]核心假设及结论!$B$17:$B$21,0))*(AV$2&gt;YEAR($K361)+1)*AU361</f>
        <v>823.87127252520838</v>
      </c>
      <c r="AW361" s="1809">
        <f>AL361*(AW$2&lt;=YEAR($K361))+AV361*$AQ361*(AW$2=YEAR($K361)+1)+INDEX([11]核心假设及结论!$E$17:$E$21,MATCH($D361,[11]核心假设及结论!$B$17:$B$21,0))*(AW$2&gt;YEAR($K361)+1)*AV361</f>
        <v>846.17716788430732</v>
      </c>
      <c r="AX361" s="1809">
        <f>AM361*(AX$2&lt;=YEAR($K361))+AW361*$AQ361*(AX$2=YEAR($K361)+1)+INDEX([11]核心假设及结论!$E$17:$E$21,MATCH($D361,[11]核心假设及结论!$B$17:$B$21,0))*(AX$2&gt;YEAR($K361)+1)*AW361</f>
        <v>869.08698400671437</v>
      </c>
      <c r="AZ361" s="1746">
        <f t="shared" si="146"/>
        <v>45808</v>
      </c>
      <c r="BA361" s="1817">
        <f t="shared" si="147"/>
        <v>45658</v>
      </c>
      <c r="BB361" s="1817">
        <f t="shared" si="148"/>
        <v>45808</v>
      </c>
      <c r="BC361" s="1841">
        <f t="shared" si="149"/>
        <v>46022</v>
      </c>
      <c r="BD361" s="1842">
        <f t="shared" si="150"/>
        <v>151</v>
      </c>
      <c r="BE361" s="1842">
        <f t="shared" si="151"/>
        <v>214</v>
      </c>
      <c r="BG361" s="1843">
        <f t="shared" si="164"/>
        <v>75.737832000000012</v>
      </c>
      <c r="BH361" s="1843">
        <f t="shared" si="165"/>
        <v>76.940080043281355</v>
      </c>
      <c r="BI361" s="1843">
        <f t="shared" si="165"/>
        <v>79.023193548508729</v>
      </c>
      <c r="BJ361" s="1843">
        <f t="shared" si="165"/>
        <v>81.162706291600429</v>
      </c>
      <c r="BK361" s="1843">
        <f t="shared" si="165"/>
        <v>83.360145253214824</v>
      </c>
      <c r="BL361" s="1843">
        <f t="shared" si="165"/>
        <v>85.617078756234378</v>
      </c>
      <c r="BM361" s="1843">
        <f t="shared" si="165"/>
        <v>35.810193437444887</v>
      </c>
      <c r="BO361" s="1739">
        <f t="shared" si="152"/>
        <v>2025</v>
      </c>
      <c r="BP361" s="1742">
        <f>_xlfn.IFNA(INDEX($AR361:$AX361,MATCH(BO361,$AR$2:$AX$2,0))*12/365*[11]核心假设及结论!$C$70*$H361,0)</f>
        <v>62250.272876712319</v>
      </c>
      <c r="BR361" s="1739">
        <f t="shared" si="157"/>
        <v>2030</v>
      </c>
      <c r="BS361" s="1742">
        <f>_xlfn.IFNA(INDEX($AR361:$AX361,MATCH(BR361,$AR$2:$AX$2,0))*12/365*[11]核心假设及结论!$C$70*$H361,0)</f>
        <v>69270.613085981095</v>
      </c>
      <c r="BU361" s="1739">
        <f t="shared" si="158"/>
        <v>2035</v>
      </c>
      <c r="BV361" s="1742">
        <f>_xlfn.IFNA(INDEX($AR361:$AX361,MATCH(BU361,$AR$2:$AX$2,0))*12/365*[11]核心假设及结论!$C$70*$H361,0)</f>
        <v>0</v>
      </c>
      <c r="BX361" s="1739">
        <f t="shared" si="159"/>
        <v>2040</v>
      </c>
      <c r="BY361" s="1742">
        <f>_xlfn.IFNA(INDEX($AR361:$AX361,MATCH(BX361,$AR$2:$AX$2,0))*12/365*[11]核心假设及结论!$C$70*$H361,0)</f>
        <v>0</v>
      </c>
      <c r="CA361" s="1739">
        <f t="shared" si="160"/>
        <v>2045</v>
      </c>
      <c r="CB361" s="1742">
        <f>_xlfn.IFNA(INDEX($AR361:$AX361,MATCH(CA361,$AR$2:$AX$2,0))*12/365*[11]核心假设及结论!$C$70*$H361,0)</f>
        <v>0</v>
      </c>
    </row>
    <row r="362" spans="1:80" ht="30" customHeight="1">
      <c r="A362" s="1763" t="s">
        <v>1666</v>
      </c>
      <c r="B362" s="1757" t="s">
        <v>2420</v>
      </c>
      <c r="C362" s="1764" t="s">
        <v>2421</v>
      </c>
      <c r="D362" s="1764" t="s">
        <v>1698</v>
      </c>
      <c r="E362" s="1764" t="s">
        <v>1698</v>
      </c>
      <c r="F362" s="1765"/>
      <c r="G362" s="1760" t="s">
        <v>1661</v>
      </c>
      <c r="H362" s="1761">
        <v>82</v>
      </c>
      <c r="I362" s="1763" t="s">
        <v>2356</v>
      </c>
      <c r="J362" s="1773">
        <v>45059</v>
      </c>
      <c r="K362" s="1773">
        <v>45789</v>
      </c>
      <c r="L362" s="1764">
        <f t="shared" si="142"/>
        <v>24</v>
      </c>
      <c r="M362" s="1774">
        <f t="shared" si="153"/>
        <v>71621.260000000009</v>
      </c>
      <c r="N362" s="1775">
        <f t="shared" si="154"/>
        <v>760.43000000000006</v>
      </c>
      <c r="O362" s="1777">
        <v>62355.26</v>
      </c>
      <c r="P362" s="1763">
        <v>0.17</v>
      </c>
      <c r="Q362" s="1783">
        <f t="shared" si="143"/>
        <v>95</v>
      </c>
      <c r="R362" s="1763">
        <v>7790</v>
      </c>
      <c r="S362" s="1777">
        <f t="shared" si="144"/>
        <v>18</v>
      </c>
      <c r="T362" s="1763">
        <v>1476</v>
      </c>
      <c r="U362" s="1763"/>
      <c r="V362" s="1785">
        <v>459471.9325</v>
      </c>
      <c r="W362" s="1785">
        <f t="shared" si="145"/>
        <v>5603.3162499999999</v>
      </c>
      <c r="X362" s="1786">
        <f t="shared" si="166"/>
        <v>0.15266495086726545</v>
      </c>
      <c r="Y362" s="1789">
        <f>VLOOKUP(E362,[11]核心假设及结论!$C$25:$E$45,3,0)</f>
        <v>0.2</v>
      </c>
      <c r="Z362" s="1790">
        <f t="shared" si="163"/>
        <v>62355.259999999995</v>
      </c>
      <c r="AA362" s="1790">
        <f t="shared" si="163"/>
        <v>0</v>
      </c>
      <c r="AB362" s="1790">
        <f t="shared" si="163"/>
        <v>0</v>
      </c>
      <c r="AC362" s="1790">
        <f t="shared" si="161"/>
        <v>0</v>
      </c>
      <c r="AD362" s="1790">
        <f t="shared" si="161"/>
        <v>0</v>
      </c>
      <c r="AE362" s="1790">
        <f t="shared" si="161"/>
        <v>0</v>
      </c>
      <c r="AF362" s="1790">
        <f t="shared" si="161"/>
        <v>0</v>
      </c>
      <c r="AG362" s="1794">
        <v>760.43</v>
      </c>
      <c r="AH362" s="1794">
        <v>0</v>
      </c>
      <c r="AI362" s="1794">
        <v>0</v>
      </c>
      <c r="AJ362" s="1794">
        <v>0</v>
      </c>
      <c r="AK362" s="1794">
        <v>0</v>
      </c>
      <c r="AL362" s="1794">
        <v>0</v>
      </c>
      <c r="AM362" s="1794">
        <v>0</v>
      </c>
      <c r="AN362" s="1764"/>
      <c r="AO362" s="1764"/>
      <c r="AP362" s="1808">
        <f t="shared" si="155"/>
        <v>0.76332475433632718</v>
      </c>
      <c r="AQ362" s="1812">
        <f>IF(AP362&gt;[11]核心假设及结论!$B$62,[11]核心假设及结论!$D$62,IF(AP362&lt;=[11]核心假设及结论!$B$61,[11]核心假设及结论!$D$60,[11]核心假设及结论!$D$61))</f>
        <v>1.0811176582269599</v>
      </c>
      <c r="AR362" s="1809">
        <f t="shared" si="156"/>
        <v>760.43</v>
      </c>
      <c r="AS362" s="1811">
        <f>AH362*(AS$2&lt;=YEAR($K362))+AR362*$AQ362*(AS$2=YEAR($K362)+1)+INDEX([11]核心假设及结论!$E$17:$E$21,MATCH($D362,[11]核心假设及结论!$B$17:$B$21,0))*(AS$2&gt;YEAR($K362)+1)*AR362</f>
        <v>822.11430084552705</v>
      </c>
      <c r="AT362" s="1809">
        <f>AI362*(AT$2&lt;=YEAR($K362))+AS362*$AQ362*(AT$2=YEAR($K362)+1)+INDEX([11]核心假设及结论!$E$17:$E$21,MATCH($D362,[11]核心假设及结论!$B$17:$B$21,0))*(AT$2&gt;YEAR($K362)+1)*AS362</f>
        <v>847.28530765015466</v>
      </c>
      <c r="AU362" s="1809">
        <f>AJ362*(AU$2&lt;=YEAR($K362))+AT362*$AQ362*(AU$2=YEAR($K362)+1)+INDEX([11]核心假设及结论!$E$17:$E$21,MATCH($D362,[11]核心假设及结论!$B$17:$B$21,0))*(AU$2&gt;YEAR($K362)+1)*AT362</f>
        <v>873.22698537354256</v>
      </c>
      <c r="AV362" s="1809">
        <f>AK362*(AV$2&lt;=YEAR($K362))+AU362*$AQ362*(AV$2=YEAR($K362)+1)+INDEX([11]核心假设及结论!$E$17:$E$21,MATCH($D362,[11]核心假设及结论!$B$17:$B$21,0))*(AV$2&gt;YEAR($K362)+1)*AU362</f>
        <v>899.96292995961278</v>
      </c>
      <c r="AW362" s="1809">
        <f>AL362*(AW$2&lt;=YEAR($K362))+AV362*$AQ362*(AW$2=YEAR($K362)+1)+INDEX([11]核心假设及结论!$E$17:$E$21,MATCH($D362,[11]核心假设及结论!$B$17:$B$21,0))*(AW$2&gt;YEAR($K362)+1)*AV362</f>
        <v>927.51745979886732</v>
      </c>
      <c r="AX362" s="1809">
        <f>AM362*(AX$2&lt;=YEAR($K362))+AW362*$AQ362*(AX$2=YEAR($K362)+1)+INDEX([11]核心假设及结论!$E$17:$E$21,MATCH($D362,[11]核心假设及结论!$B$17:$B$21,0))*(AX$2&gt;YEAR($K362)+1)*AW362</f>
        <v>955.91563784782807</v>
      </c>
      <c r="AZ362" s="1746">
        <f t="shared" si="146"/>
        <v>45789</v>
      </c>
      <c r="BA362" s="1817">
        <f t="shared" si="147"/>
        <v>45658</v>
      </c>
      <c r="BB362" s="1817">
        <f t="shared" si="148"/>
        <v>45789</v>
      </c>
      <c r="BC362" s="1841">
        <f t="shared" si="149"/>
        <v>46022</v>
      </c>
      <c r="BD362" s="1842">
        <f t="shared" si="150"/>
        <v>132</v>
      </c>
      <c r="BE362" s="1842">
        <f t="shared" si="151"/>
        <v>233</v>
      </c>
      <c r="BG362" s="1843">
        <f t="shared" si="164"/>
        <v>78.700964883138525</v>
      </c>
      <c r="BH362" s="1843">
        <f t="shared" si="165"/>
        <v>82.477145031175368</v>
      </c>
      <c r="BI362" s="1843">
        <f t="shared" si="165"/>
        <v>85.002381213870166</v>
      </c>
      <c r="BJ362" s="1843">
        <f t="shared" si="165"/>
        <v>87.604933576410687</v>
      </c>
      <c r="BK362" s="1843">
        <f t="shared" si="165"/>
        <v>90.287169339616469</v>
      </c>
      <c r="BL362" s="1843">
        <f t="shared" si="165"/>
        <v>93.051528202466457</v>
      </c>
      <c r="BM362" s="1843">
        <f t="shared" si="165"/>
        <v>34.016978183227039</v>
      </c>
      <c r="BO362" s="1739">
        <f t="shared" si="152"/>
        <v>2025</v>
      </c>
      <c r="BP362" s="1742">
        <f>_xlfn.IFNA(INDEX($AR362:$AX362,MATCH(BO362,$AR$2:$AX$2,0))*12/365*[11]核心假设及结论!$C$70*$H362,0)</f>
        <v>61501.078356164384</v>
      </c>
      <c r="BR362" s="1739">
        <f t="shared" si="157"/>
        <v>2027</v>
      </c>
      <c r="BS362" s="1742">
        <f>_xlfn.IFNA(INDEX($AR362:$AX362,MATCH(BR362,$AR$2:$AX$2,0))*12/365*[11]核心假设及结论!$C$70*$H362,0)</f>
        <v>68525.650087212503</v>
      </c>
      <c r="BU362" s="1739">
        <f t="shared" si="158"/>
        <v>2029</v>
      </c>
      <c r="BV362" s="1742">
        <f>_xlfn.IFNA(INDEX($AR362:$AX362,MATCH(BU362,$AR$2:$AX$2,0))*12/365*[11]核心假设及结论!$C$70*$H362,0)</f>
        <v>72786.042992898001</v>
      </c>
      <c r="BX362" s="1739">
        <f t="shared" si="159"/>
        <v>2031</v>
      </c>
      <c r="BY362" s="1742">
        <f>_xlfn.IFNA(INDEX($AR362:$AX362,MATCH(BX362,$AR$2:$AX$2,0))*12/365*[11]核心假设及结论!$C$70*$H362,0)</f>
        <v>77311.314052788715</v>
      </c>
      <c r="CA362" s="1739">
        <f t="shared" si="160"/>
        <v>2033</v>
      </c>
      <c r="CB362" s="1742">
        <f>_xlfn.IFNA(INDEX($AR362:$AX362,MATCH(CA362,$AR$2:$AX$2,0))*12/365*[11]核心假设及结论!$C$70*$H362,0)</f>
        <v>0</v>
      </c>
    </row>
    <row r="363" spans="1:80" ht="30" customHeight="1">
      <c r="A363" s="1763" t="s">
        <v>1662</v>
      </c>
      <c r="B363" s="1757" t="s">
        <v>2422</v>
      </c>
      <c r="C363" s="1764" t="s">
        <v>2423</v>
      </c>
      <c r="D363" s="1764" t="s">
        <v>1685</v>
      </c>
      <c r="E363" s="1764" t="s">
        <v>1838</v>
      </c>
      <c r="F363" s="1765"/>
      <c r="G363" s="1760" t="s">
        <v>1661</v>
      </c>
      <c r="H363" s="1761">
        <v>82</v>
      </c>
      <c r="I363" s="1763" t="s">
        <v>2356</v>
      </c>
      <c r="J363" s="1773">
        <v>44119</v>
      </c>
      <c r="K363" s="1773">
        <v>45944</v>
      </c>
      <c r="L363" s="1764">
        <f t="shared" si="142"/>
        <v>60</v>
      </c>
      <c r="M363" s="1774">
        <f t="shared" si="153"/>
        <v>64188.78</v>
      </c>
      <c r="N363" s="1775">
        <f t="shared" si="154"/>
        <v>669.17000000000007</v>
      </c>
      <c r="O363" s="1777">
        <v>54871.94</v>
      </c>
      <c r="P363" s="1763">
        <v>0.1</v>
      </c>
      <c r="Q363" s="1783">
        <f t="shared" si="143"/>
        <v>95</v>
      </c>
      <c r="R363" s="1763">
        <v>7790</v>
      </c>
      <c r="S363" s="1777">
        <f t="shared" si="144"/>
        <v>18.619999999999997</v>
      </c>
      <c r="T363" s="1763">
        <v>1526.84</v>
      </c>
      <c r="U363" s="1763"/>
      <c r="V363" s="1785">
        <v>325569.59999999998</v>
      </c>
      <c r="W363" s="1785">
        <f t="shared" si="145"/>
        <v>3970.3609756097558</v>
      </c>
      <c r="X363" s="1786">
        <f t="shared" si="166"/>
        <v>0.19246864572122216</v>
      </c>
      <c r="Y363" s="1789">
        <f>VLOOKUP(E363,[11]核心假设及结论!$C$25:$E$45,3,0)</f>
        <v>0.2</v>
      </c>
      <c r="Z363" s="1790">
        <f t="shared" si="163"/>
        <v>54871.939999999995</v>
      </c>
      <c r="AA363" s="1790">
        <f t="shared" si="163"/>
        <v>0</v>
      </c>
      <c r="AB363" s="1790">
        <f t="shared" si="163"/>
        <v>0</v>
      </c>
      <c r="AC363" s="1790">
        <f t="shared" si="161"/>
        <v>0</v>
      </c>
      <c r="AD363" s="1790">
        <f t="shared" si="161"/>
        <v>0</v>
      </c>
      <c r="AE363" s="1790">
        <f t="shared" si="161"/>
        <v>0</v>
      </c>
      <c r="AF363" s="1790">
        <f t="shared" si="161"/>
        <v>0</v>
      </c>
      <c r="AG363" s="1794">
        <v>669.17</v>
      </c>
      <c r="AH363" s="1794">
        <v>0</v>
      </c>
      <c r="AI363" s="1794">
        <v>0</v>
      </c>
      <c r="AJ363" s="1794">
        <v>0</v>
      </c>
      <c r="AK363" s="1794">
        <v>0</v>
      </c>
      <c r="AL363" s="1794">
        <v>0</v>
      </c>
      <c r="AM363" s="1794">
        <v>0</v>
      </c>
      <c r="AN363" s="1764"/>
      <c r="AO363" s="1764"/>
      <c r="AP363" s="1808">
        <f t="shared" si="155"/>
        <v>0.96234322860611077</v>
      </c>
      <c r="AQ363" s="1810">
        <f>IF(AP363&gt;[11]核心假设及结论!$B$59,[11]核心假设及结论!$D$59,IF(AP363&lt;=[11]核心假设及结论!$B$58,[11]核心假设及结论!$D$57,[11]核心假设及结论!$D$58))</f>
        <v>1.0342640124442799</v>
      </c>
      <c r="AR363" s="1809">
        <f t="shared" si="156"/>
        <v>669.17</v>
      </c>
      <c r="AS363" s="1811">
        <f>AH363*(AS$2&lt;=YEAR($K363))+AR363*$AQ363*(AS$2=YEAR($K363)+1)+INDEX([11]核心假设及结论!$E$17:$E$21,MATCH($D363,[11]核心假设及结论!$B$17:$B$21,0))*(AS$2&gt;YEAR($K363)+1)*AR363</f>
        <v>692.09844920733872</v>
      </c>
      <c r="AT363" s="1809">
        <f>AI363*(AT$2&lt;=YEAR($K363))+AS363*$AQ363*(AT$2=YEAR($K363)+1)+INDEX([11]核心假设及结论!$E$17:$E$21,MATCH($D363,[11]核心假设及结论!$B$17:$B$21,0))*(AT$2&gt;YEAR($K363)+1)*AS363</f>
        <v>710.83666244652068</v>
      </c>
      <c r="AU363" s="1809">
        <f>AJ363*(AU$2&lt;=YEAR($K363))+AT363*$AQ363*(AU$2=YEAR($K363)+1)+INDEX([11]核心假设及结论!$E$17:$E$21,MATCH($D363,[11]核心假设及结论!$B$17:$B$21,0))*(AU$2&gt;YEAR($K363)+1)*AT363</f>
        <v>730.08220327153845</v>
      </c>
      <c r="AV363" s="1809">
        <f>AK363*(AV$2&lt;=YEAR($K363))+AU363*$AQ363*(AV$2=YEAR($K363)+1)+INDEX([11]核心假设及结论!$E$17:$E$21,MATCH($D363,[11]核心假设及结论!$B$17:$B$21,0))*(AV$2&gt;YEAR($K363)+1)*AU363</f>
        <v>749.84880731855242</v>
      </c>
      <c r="AW363" s="1809">
        <f>AL363*(AW$2&lt;=YEAR($K363))+AV363*$AQ363*(AW$2=YEAR($K363)+1)+INDEX([11]核心假设及结论!$E$17:$E$21,MATCH($D363,[11]核心假设及结论!$B$17:$B$21,0))*(AW$2&gt;YEAR($K363)+1)*AV363</f>
        <v>770.15058210908069</v>
      </c>
      <c r="AX363" s="1809">
        <f>AM363*(AX$2&lt;=YEAR($K363))+AW363*$AQ363*(AX$2=YEAR($K363)+1)+INDEX([11]核心假设及结论!$E$17:$E$21,MATCH($D363,[11]核心假设及结论!$B$17:$B$21,0))*(AX$2&gt;YEAR($K363)+1)*AW363</f>
        <v>791.00201711860598</v>
      </c>
      <c r="AZ363" s="1746">
        <f t="shared" si="146"/>
        <v>45944</v>
      </c>
      <c r="BA363" s="1817">
        <f t="shared" si="147"/>
        <v>45658</v>
      </c>
      <c r="BB363" s="1817">
        <f t="shared" si="148"/>
        <v>45944</v>
      </c>
      <c r="BC363" s="1841">
        <f t="shared" si="149"/>
        <v>46022</v>
      </c>
      <c r="BD363" s="1842">
        <f t="shared" si="150"/>
        <v>287</v>
      </c>
      <c r="BE363" s="1842">
        <f t="shared" si="151"/>
        <v>78</v>
      </c>
      <c r="BG363" s="1843">
        <f t="shared" si="164"/>
        <v>66.328466173578519</v>
      </c>
      <c r="BH363" s="1843">
        <f t="shared" si="165"/>
        <v>68.496513523244246</v>
      </c>
      <c r="BI363" s="1843">
        <f t="shared" si="165"/>
        <v>70.351021762655918</v>
      </c>
      <c r="BJ363" s="1843">
        <f t="shared" si="165"/>
        <v>72.255739868718408</v>
      </c>
      <c r="BK363" s="1843">
        <f t="shared" si="165"/>
        <v>74.212027248014763</v>
      </c>
      <c r="BL363" s="1843">
        <f t="shared" si="165"/>
        <v>76.221280112369456</v>
      </c>
      <c r="BM363" s="1843">
        <f t="shared" si="165"/>
        <v>61.201451411077066</v>
      </c>
      <c r="BO363" s="1739">
        <f t="shared" si="152"/>
        <v>2025</v>
      </c>
      <c r="BP363" s="1742">
        <f>_xlfn.IFNA(INDEX($AR363:$AX363,MATCH(BO363,$AR$2:$AX$2,0))*12/365*[11]核心假设及结论!$C$70*$H363,0)</f>
        <v>54120.269589041091</v>
      </c>
      <c r="BR363" s="1739">
        <f t="shared" si="157"/>
        <v>2030</v>
      </c>
      <c r="BS363" s="1742">
        <f>_xlfn.IFNA(INDEX($AR363:$AX363,MATCH(BR363,$AR$2:$AX$2,0))*12/365*[11]核心假设及结论!$C$70*$H363,0)</f>
        <v>62287.247079068664</v>
      </c>
      <c r="BU363" s="1739">
        <f t="shared" si="158"/>
        <v>2035</v>
      </c>
      <c r="BV363" s="1742">
        <f>_xlfn.IFNA(INDEX($AR363:$AX363,MATCH(BU363,$AR$2:$AX$2,0))*12/365*[11]核心假设及结论!$C$70*$H363,0)</f>
        <v>0</v>
      </c>
      <c r="BX363" s="1739">
        <f t="shared" si="159"/>
        <v>2040</v>
      </c>
      <c r="BY363" s="1742">
        <f>_xlfn.IFNA(INDEX($AR363:$AX363,MATCH(BX363,$AR$2:$AX$2,0))*12/365*[11]核心假设及结论!$C$70*$H363,0)</f>
        <v>0</v>
      </c>
      <c r="CA363" s="1739">
        <f t="shared" si="160"/>
        <v>2045</v>
      </c>
      <c r="CB363" s="1742">
        <f>_xlfn.IFNA(INDEX($AR363:$AX363,MATCH(CA363,$AR$2:$AX$2,0))*12/365*[11]核心假设及结论!$C$70*$H363,0)</f>
        <v>0</v>
      </c>
    </row>
    <row r="364" spans="1:80" ht="30" customHeight="1">
      <c r="A364" s="1763" t="s">
        <v>1666</v>
      </c>
      <c r="B364" s="1757" t="s">
        <v>2424</v>
      </c>
      <c r="C364" s="1764" t="s">
        <v>2425</v>
      </c>
      <c r="D364" s="1764" t="s">
        <v>1685</v>
      </c>
      <c r="E364" s="1764" t="s">
        <v>1726</v>
      </c>
      <c r="F364" s="1765"/>
      <c r="G364" s="1763" t="s">
        <v>1682</v>
      </c>
      <c r="H364" s="1761">
        <v>81</v>
      </c>
      <c r="I364" s="1763" t="s">
        <v>2356</v>
      </c>
      <c r="J364" s="1773">
        <v>44874</v>
      </c>
      <c r="K364" s="1773">
        <v>46334</v>
      </c>
      <c r="L364" s="1764">
        <f t="shared" si="142"/>
        <v>48</v>
      </c>
      <c r="M364" s="1774">
        <f t="shared" si="153"/>
        <v>86761.53</v>
      </c>
      <c r="N364" s="1775">
        <f t="shared" si="154"/>
        <v>958.13</v>
      </c>
      <c r="O364" s="1777">
        <v>77608.53</v>
      </c>
      <c r="P364" s="1763">
        <v>0</v>
      </c>
      <c r="Q364" s="1783">
        <f t="shared" si="143"/>
        <v>95</v>
      </c>
      <c r="R364" s="1763">
        <v>7695</v>
      </c>
      <c r="S364" s="1777">
        <f t="shared" si="144"/>
        <v>18</v>
      </c>
      <c r="T364" s="1763">
        <v>1458</v>
      </c>
      <c r="U364" s="1763"/>
      <c r="V364" s="1785">
        <v>373048.6</v>
      </c>
      <c r="W364" s="1785">
        <f t="shared" si="145"/>
        <v>4605.538271604938</v>
      </c>
      <c r="X364" s="1786">
        <f>(N364+Q364+S364)*H364/V364</f>
        <v>0.23257433481857329</v>
      </c>
      <c r="Y364" s="1789">
        <f>VLOOKUP(E364,[11]核心假设及结论!$C$25:$E$45,3,0)</f>
        <v>0.1</v>
      </c>
      <c r="Z364" s="1790">
        <f t="shared" si="163"/>
        <v>77608.53</v>
      </c>
      <c r="AA364" s="1790">
        <f t="shared" si="163"/>
        <v>78347.25</v>
      </c>
      <c r="AB364" s="1790">
        <f t="shared" si="163"/>
        <v>0</v>
      </c>
      <c r="AC364" s="1790">
        <f t="shared" si="161"/>
        <v>0</v>
      </c>
      <c r="AD364" s="1790">
        <f t="shared" si="161"/>
        <v>0</v>
      </c>
      <c r="AE364" s="1790">
        <f t="shared" si="161"/>
        <v>0</v>
      </c>
      <c r="AF364" s="1790">
        <f t="shared" si="161"/>
        <v>0</v>
      </c>
      <c r="AG364" s="1794">
        <v>958.13</v>
      </c>
      <c r="AH364" s="1794">
        <v>967.25</v>
      </c>
      <c r="AI364" s="1794">
        <v>0</v>
      </c>
      <c r="AJ364" s="1794">
        <v>0</v>
      </c>
      <c r="AK364" s="1794">
        <v>0</v>
      </c>
      <c r="AL364" s="1794">
        <v>0</v>
      </c>
      <c r="AM364" s="1794">
        <v>0</v>
      </c>
      <c r="AN364" s="1764"/>
      <c r="AO364" s="1764"/>
      <c r="AP364" s="1808">
        <f t="shared" si="155"/>
        <v>2.3257433481857328</v>
      </c>
      <c r="AQ364" s="1810">
        <f>IF(AP364&gt;[11]核心假设及结论!$B$59,[11]核心假设及结论!$D$59,IF(AP364&lt;=[11]核心假设及结论!$B$58,[11]核心假设及结论!$D$57,[11]核心假设及结论!$D$58))</f>
        <v>1</v>
      </c>
      <c r="AR364" s="1809">
        <f t="shared" si="156"/>
        <v>958.13</v>
      </c>
      <c r="AS364" s="1809">
        <f>AH364*(AS$2&lt;=YEAR($K364))+AR364*$AQ364*(AS$2=YEAR($K364)+1)+INDEX([11]核心假设及结论!$E$17:$E$21,MATCH($D364,[11]核心假设及结论!$B$17:$B$21,0))*(AS$2&gt;YEAR($K364)+1)*AR364</f>
        <v>967.25</v>
      </c>
      <c r="AT364" s="1811">
        <f>AI364*(AT$2&lt;=YEAR($K364))+AS364*$AQ364*(AT$2=YEAR($K364)+1)+INDEX([11]核心假设及结论!$E$17:$E$21,MATCH($D364,[11]核心假设及结论!$B$17:$B$21,0))*(AT$2&gt;YEAR($K364)+1)*AS364</f>
        <v>967.25</v>
      </c>
      <c r="AU364" s="1809">
        <f>AJ364*(AU$2&lt;=YEAR($K364))+AT364*$AQ364*(AU$2=YEAR($K364)+1)+INDEX([11]核心假设及结论!$E$17:$E$21,MATCH($D364,[11]核心假设及结论!$B$17:$B$21,0))*(AU$2&gt;YEAR($K364)+1)*AT364</f>
        <v>993.43780142674325</v>
      </c>
      <c r="AV364" s="1809">
        <f>AK364*(AV$2&lt;=YEAR($K364))+AU364*$AQ364*(AV$2=YEAR($K364)+1)+INDEX([11]核心假设及结论!$E$17:$E$21,MATCH($D364,[11]核心假设及结论!$B$17:$B$21,0))*(AV$2&gt;YEAR($K364)+1)*AU364</f>
        <v>1020.334624247714</v>
      </c>
      <c r="AW364" s="1809">
        <f>AL364*(AW$2&lt;=YEAR($K364))+AV364*$AQ364*(AW$2=YEAR($K364)+1)+INDEX([11]核心假设及结论!$E$17:$E$21,MATCH($D364,[11]核心假设及结论!$B$17:$B$21,0))*(AW$2&gt;YEAR($K364)+1)*AV364</f>
        <v>1047.9596648562742</v>
      </c>
      <c r="AX364" s="1809">
        <f>AM364*(AX$2&lt;=YEAR($K364))+AW364*$AQ364*(AX$2=YEAR($K364)+1)+INDEX([11]核心假设及结论!$E$17:$E$21,MATCH($D364,[11]核心假设及结论!$B$17:$B$21,0))*(AX$2&gt;YEAR($K364)+1)*AW364</f>
        <v>1076.3326393783652</v>
      </c>
      <c r="AZ364" s="1746">
        <f t="shared" si="146"/>
        <v>46334</v>
      </c>
      <c r="BA364" s="1817">
        <f t="shared" si="147"/>
        <v>45658</v>
      </c>
      <c r="BB364" s="1817">
        <f t="shared" si="148"/>
        <v>45969</v>
      </c>
      <c r="BC364" s="1841">
        <f t="shared" si="149"/>
        <v>46022</v>
      </c>
      <c r="BD364" s="1842">
        <f t="shared" si="150"/>
        <v>312</v>
      </c>
      <c r="BE364" s="1842">
        <f t="shared" si="151"/>
        <v>53</v>
      </c>
      <c r="BG364" s="1843">
        <f t="shared" si="164"/>
        <v>93.258955430136979</v>
      </c>
      <c r="BH364" s="1843">
        <f t="shared" si="165"/>
        <v>94.0167</v>
      </c>
      <c r="BI364" s="1843">
        <f t="shared" si="165"/>
        <v>94.386313911863041</v>
      </c>
      <c r="BJ364" s="1843">
        <f t="shared" si="165"/>
        <v>96.941775319075361</v>
      </c>
      <c r="BK364" s="1843">
        <f t="shared" si="165"/>
        <v>99.566424543176595</v>
      </c>
      <c r="BL364" s="1843">
        <f t="shared" si="165"/>
        <v>102.26213480909287</v>
      </c>
      <c r="BM364" s="1843">
        <f t="shared" si="165"/>
        <v>89.428203163956326</v>
      </c>
      <c r="BO364" s="1739">
        <f t="shared" si="152"/>
        <v>2026</v>
      </c>
      <c r="BP364" s="1742">
        <f>_xlfn.IFNA(INDEX($AR364:$AX364,MATCH(BO364,$AR$2:$AX$2,0))*12/365*[11]核心假设及结论!$C$70*$H364,0)</f>
        <v>77274</v>
      </c>
      <c r="BR364" s="1739">
        <f t="shared" si="157"/>
        <v>2030</v>
      </c>
      <c r="BS364" s="1742">
        <f>_xlfn.IFNA(INDEX($AR364:$AX364,MATCH(BR364,$AR$2:$AX$2,0))*12/365*[11]核心假设及结论!$C$70*$H364,0)</f>
        <v>83721.928293723162</v>
      </c>
      <c r="BU364" s="1739">
        <f t="shared" si="158"/>
        <v>2034</v>
      </c>
      <c r="BV364" s="1742">
        <f>_xlfn.IFNA(INDEX($AR364:$AX364,MATCH(BU364,$AR$2:$AX$2,0))*12/365*[11]核心假设及结论!$C$70*$H364,0)</f>
        <v>0</v>
      </c>
      <c r="BX364" s="1739">
        <f t="shared" si="159"/>
        <v>2038</v>
      </c>
      <c r="BY364" s="1742">
        <f>_xlfn.IFNA(INDEX($AR364:$AX364,MATCH(BX364,$AR$2:$AX$2,0))*12/365*[11]核心假设及结论!$C$70*$H364,0)</f>
        <v>0</v>
      </c>
      <c r="CA364" s="1739">
        <f t="shared" si="160"/>
        <v>2042</v>
      </c>
      <c r="CB364" s="1742">
        <f>_xlfn.IFNA(INDEX($AR364:$AX364,MATCH(CA364,$AR$2:$AX$2,0))*12/365*[11]核心假设及结论!$C$70*$H364,0)</f>
        <v>0</v>
      </c>
    </row>
    <row r="365" spans="1:80" ht="30" customHeight="1">
      <c r="A365" s="1763" t="s">
        <v>1662</v>
      </c>
      <c r="B365" s="1757" t="s">
        <v>2426</v>
      </c>
      <c r="C365" s="1764" t="s">
        <v>2427</v>
      </c>
      <c r="D365" s="1764" t="s">
        <v>1685</v>
      </c>
      <c r="E365" s="1764" t="s">
        <v>1871</v>
      </c>
      <c r="F365" s="1765"/>
      <c r="G365" s="1760" t="s">
        <v>1661</v>
      </c>
      <c r="H365" s="1761">
        <v>81</v>
      </c>
      <c r="I365" s="1763" t="s">
        <v>2356</v>
      </c>
      <c r="J365" s="1773">
        <v>45536</v>
      </c>
      <c r="K365" s="1773">
        <v>46268</v>
      </c>
      <c r="L365" s="1764">
        <f t="shared" si="142"/>
        <v>25</v>
      </c>
      <c r="M365" s="1774">
        <f t="shared" si="153"/>
        <v>71239.5</v>
      </c>
      <c r="N365" s="1775">
        <f t="shared" si="154"/>
        <v>766.5</v>
      </c>
      <c r="O365" s="1777">
        <v>62086.5</v>
      </c>
      <c r="P365" s="1763">
        <v>0.13</v>
      </c>
      <c r="Q365" s="1783">
        <f t="shared" si="143"/>
        <v>95</v>
      </c>
      <c r="R365" s="1763">
        <v>7695</v>
      </c>
      <c r="S365" s="1777">
        <f t="shared" si="144"/>
        <v>18</v>
      </c>
      <c r="T365" s="1763">
        <v>1458</v>
      </c>
      <c r="U365" s="1763"/>
      <c r="V365" s="1785">
        <v>348158.25</v>
      </c>
      <c r="W365" s="1785">
        <f t="shared" si="145"/>
        <v>4298.25</v>
      </c>
      <c r="X365" s="1786">
        <f>(N365+Q365)*H365/V365</f>
        <v>0.20043040772407375</v>
      </c>
      <c r="Y365" s="1789">
        <f>VLOOKUP(E365,[11]核心假设及结论!$C$25:$E$45,3,0)</f>
        <v>0.2</v>
      </c>
      <c r="Z365" s="1790">
        <f t="shared" si="163"/>
        <v>62086.5</v>
      </c>
      <c r="AA365" s="1790">
        <f t="shared" si="163"/>
        <v>65289.24</v>
      </c>
      <c r="AB365" s="1790">
        <f t="shared" si="163"/>
        <v>0</v>
      </c>
      <c r="AC365" s="1790">
        <f t="shared" si="161"/>
        <v>0</v>
      </c>
      <c r="AD365" s="1790">
        <f t="shared" si="161"/>
        <v>0</v>
      </c>
      <c r="AE365" s="1790">
        <f t="shared" si="161"/>
        <v>0</v>
      </c>
      <c r="AF365" s="1790">
        <f t="shared" si="161"/>
        <v>0</v>
      </c>
      <c r="AG365" s="1794">
        <v>766.5</v>
      </c>
      <c r="AH365" s="1794">
        <v>806.04</v>
      </c>
      <c r="AI365" s="1794">
        <v>0</v>
      </c>
      <c r="AJ365" s="1794">
        <v>0</v>
      </c>
      <c r="AK365" s="1794">
        <v>0</v>
      </c>
      <c r="AL365" s="1794">
        <v>0</v>
      </c>
      <c r="AM365" s="1794">
        <v>0</v>
      </c>
      <c r="AN365" s="1764"/>
      <c r="AO365" s="1764"/>
      <c r="AP365" s="1808">
        <f t="shared" si="155"/>
        <v>1.0021520386203686</v>
      </c>
      <c r="AQ365" s="1810">
        <f>IF(AP365&gt;[11]核心假设及结论!$B$59,[11]核心假设及结论!$D$59,IF(AP365&lt;=[11]核心假设及结论!$B$58,[11]核心假设及结论!$D$57,[11]核心假设及结论!$D$58))</f>
        <v>1.0069999999999999</v>
      </c>
      <c r="AR365" s="1809">
        <f t="shared" si="156"/>
        <v>766.5</v>
      </c>
      <c r="AS365" s="1809">
        <f>AH365*(AS$2&lt;=YEAR($K365))+AR365*$AQ365*(AS$2=YEAR($K365)+1)+INDEX([11]核心假设及结论!$E$17:$E$21,MATCH($D365,[11]核心假设及结论!$B$17:$B$21,0))*(AS$2&gt;YEAR($K365)+1)*AR365</f>
        <v>806.04</v>
      </c>
      <c r="AT365" s="1811">
        <f>AI365*(AT$2&lt;=YEAR($K365))+AS365*$AQ365*(AT$2=YEAR($K365)+1)+INDEX([11]核心假设及结论!$E$17:$E$21,MATCH($D365,[11]核心假设及结论!$B$17:$B$21,0))*(AT$2&gt;YEAR($K365)+1)*AS365</f>
        <v>811.68227999999988</v>
      </c>
      <c r="AU365" s="1809">
        <f>AJ365*(AU$2&lt;=YEAR($K365))+AT365*$AQ365*(AU$2=YEAR($K365)+1)+INDEX([11]核心假设及结论!$E$17:$E$21,MATCH($D365,[11]核心假设及结论!$B$17:$B$21,0))*(AU$2&gt;YEAR($K365)+1)*AT365</f>
        <v>833.65816459058783</v>
      </c>
      <c r="AV365" s="1809">
        <f>AK365*(AV$2&lt;=YEAR($K365))+AU365*$AQ365*(AV$2=YEAR($K365)+1)+INDEX([11]核心假设及结论!$E$17:$E$21,MATCH($D365,[11]核心假设及结论!$B$17:$B$21,0))*(AV$2&gt;YEAR($K365)+1)*AU365</f>
        <v>856.22903507089961</v>
      </c>
      <c r="AW365" s="1809">
        <f>AL365*(AW$2&lt;=YEAR($K365))+AV365*$AQ365*(AW$2=YEAR($K365)+1)+INDEX([11]核心假设及结论!$E$17:$E$21,MATCH($D365,[11]核心假设及结论!$B$17:$B$21,0))*(AW$2&gt;YEAR($K365)+1)*AV365</f>
        <v>879.41100038105594</v>
      </c>
      <c r="AX365" s="1809">
        <f>AM365*(AX$2&lt;=YEAR($K365))+AW365*$AQ365*(AX$2=YEAR($K365)+1)+INDEX([11]核心假设及结论!$E$17:$E$21,MATCH($D365,[11]核心假设及结论!$B$17:$B$21,0))*(AX$2&gt;YEAR($K365)+1)*AW365</f>
        <v>903.22060560253203</v>
      </c>
      <c r="AZ365" s="1746">
        <f t="shared" si="146"/>
        <v>46268</v>
      </c>
      <c r="BA365" s="1817">
        <f t="shared" si="147"/>
        <v>45658</v>
      </c>
      <c r="BB365" s="1817">
        <f t="shared" si="148"/>
        <v>45903</v>
      </c>
      <c r="BC365" s="1841">
        <f t="shared" si="149"/>
        <v>46022</v>
      </c>
      <c r="BD365" s="1842">
        <f t="shared" si="150"/>
        <v>246</v>
      </c>
      <c r="BE365" s="1842">
        <f t="shared" si="151"/>
        <v>119</v>
      </c>
      <c r="BG365" s="1843">
        <f t="shared" si="164"/>
        <v>75.756817183561651</v>
      </c>
      <c r="BH365" s="1843">
        <f t="shared" si="165"/>
        <v>78.525891080284921</v>
      </c>
      <c r="BI365" s="1843">
        <f t="shared" si="165"/>
        <v>79.591930388280574</v>
      </c>
      <c r="BJ365" s="1843">
        <f t="shared" si="165"/>
        <v>81.746841391826138</v>
      </c>
      <c r="BK365" s="1843">
        <f t="shared" si="165"/>
        <v>83.96009551395862</v>
      </c>
      <c r="BL365" s="1843">
        <f t="shared" si="165"/>
        <v>86.233272364917468</v>
      </c>
      <c r="BM365" s="1843">
        <f t="shared" si="165"/>
        <v>59.17010560187196</v>
      </c>
      <c r="BO365" s="1739">
        <f t="shared" si="152"/>
        <v>2026</v>
      </c>
      <c r="BP365" s="1742">
        <f>_xlfn.IFNA(INDEX($AR365:$AX365,MATCH(BO365,$AR$2:$AX$2,0))*12/365*[11]核心假设及结论!$C$70*$H365,0)</f>
        <v>64394.866849315069</v>
      </c>
      <c r="BR365" s="1739">
        <f t="shared" si="157"/>
        <v>2028</v>
      </c>
      <c r="BS365" s="1742">
        <f>_xlfn.IFNA(INDEX($AR365:$AX365,MATCH(BR365,$AR$2:$AX$2,0))*12/365*[11]核心假设及结论!$C$70*$H365,0)</f>
        <v>66601.293368387778</v>
      </c>
      <c r="BU365" s="1739">
        <f t="shared" si="158"/>
        <v>2030</v>
      </c>
      <c r="BV365" s="1742">
        <f>_xlfn.IFNA(INDEX($AR365:$AX365,MATCH(BU365,$AR$2:$AX$2,0))*12/365*[11]核心假设及结论!$C$70*$H365,0)</f>
        <v>70256.506222223528</v>
      </c>
      <c r="BX365" s="1739">
        <f t="shared" si="159"/>
        <v>2032</v>
      </c>
      <c r="BY365" s="1742">
        <f>_xlfn.IFNA(INDEX($AR365:$AX365,MATCH(BX365,$AR$2:$AX$2,0))*12/365*[11]核心假设及结论!$C$70*$H365,0)</f>
        <v>0</v>
      </c>
      <c r="CA365" s="1739">
        <f t="shared" si="160"/>
        <v>2034</v>
      </c>
      <c r="CB365" s="1742">
        <f>_xlfn.IFNA(INDEX($AR365:$AX365,MATCH(CA365,$AR$2:$AX$2,0))*12/365*[11]核心假设及结论!$C$70*$H365,0)</f>
        <v>0</v>
      </c>
    </row>
    <row r="366" spans="1:80" ht="30" customHeight="1">
      <c r="A366" s="1763" t="s">
        <v>1666</v>
      </c>
      <c r="B366" s="1757" t="s">
        <v>1914</v>
      </c>
      <c r="C366" s="1764" t="s">
        <v>2428</v>
      </c>
      <c r="D366" s="1764" t="s">
        <v>1685</v>
      </c>
      <c r="E366" s="1764" t="s">
        <v>1726</v>
      </c>
      <c r="F366" s="1765"/>
      <c r="G366" s="1760" t="s">
        <v>1661</v>
      </c>
      <c r="H366" s="1761">
        <v>81</v>
      </c>
      <c r="I366" s="1763" t="s">
        <v>2356</v>
      </c>
      <c r="J366" s="1773">
        <v>45483</v>
      </c>
      <c r="K366" s="1773">
        <v>46577</v>
      </c>
      <c r="L366" s="1764">
        <f t="shared" si="142"/>
        <v>36</v>
      </c>
      <c r="M366" s="1774">
        <f t="shared" si="153"/>
        <v>45616.77</v>
      </c>
      <c r="N366" s="1775">
        <f t="shared" si="154"/>
        <v>450.16999999999996</v>
      </c>
      <c r="O366" s="1777">
        <v>36463.769999999997</v>
      </c>
      <c r="P366" s="1763">
        <v>0.12</v>
      </c>
      <c r="Q366" s="1783">
        <f t="shared" si="143"/>
        <v>95</v>
      </c>
      <c r="R366" s="1763">
        <v>7695</v>
      </c>
      <c r="S366" s="1777">
        <f t="shared" si="144"/>
        <v>18</v>
      </c>
      <c r="T366" s="1763">
        <v>1458</v>
      </c>
      <c r="U366" s="1763"/>
      <c r="V366" s="1785">
        <v>221811.75</v>
      </c>
      <c r="W366" s="1785">
        <f t="shared" si="145"/>
        <v>2738.4166666666665</v>
      </c>
      <c r="X366" s="1786">
        <f>(N366+Q366+S366)*H366/V366</f>
        <v>0.20565533611271719</v>
      </c>
      <c r="Y366" s="1789">
        <f>VLOOKUP(E366,[11]核心假设及结论!$C$25:$E$45,3,0)</f>
        <v>0.1</v>
      </c>
      <c r="Z366" s="1790">
        <f t="shared" si="163"/>
        <v>36463.770000000004</v>
      </c>
      <c r="AA366" s="1790">
        <f t="shared" si="163"/>
        <v>37695.78</v>
      </c>
      <c r="AB366" s="1790">
        <f t="shared" si="163"/>
        <v>38680.740000000005</v>
      </c>
      <c r="AC366" s="1790">
        <f t="shared" si="161"/>
        <v>0</v>
      </c>
      <c r="AD366" s="1790">
        <f t="shared" si="161"/>
        <v>0</v>
      </c>
      <c r="AE366" s="1790">
        <f t="shared" si="161"/>
        <v>0</v>
      </c>
      <c r="AF366" s="1790">
        <f t="shared" si="161"/>
        <v>0</v>
      </c>
      <c r="AG366" s="1794">
        <v>450.17</v>
      </c>
      <c r="AH366" s="1794">
        <v>465.38</v>
      </c>
      <c r="AI366" s="1794">
        <v>477.54</v>
      </c>
      <c r="AJ366" s="1794">
        <v>0</v>
      </c>
      <c r="AK366" s="1794">
        <v>0</v>
      </c>
      <c r="AL366" s="1794">
        <v>0</v>
      </c>
      <c r="AM366" s="1794">
        <v>0</v>
      </c>
      <c r="AN366" s="1764"/>
      <c r="AO366" s="1764"/>
      <c r="AP366" s="1808">
        <f t="shared" si="155"/>
        <v>2.0565533611271718</v>
      </c>
      <c r="AQ366" s="1810">
        <f>IF(AP366&gt;[11]核心假设及结论!$B$59,[11]核心假设及结论!$D$59,IF(AP366&lt;=[11]核心假设及结论!$B$58,[11]核心假设及结论!$D$57,[11]核心假设及结论!$D$58))</f>
        <v>1</v>
      </c>
      <c r="AR366" s="1809">
        <f t="shared" si="156"/>
        <v>450.17</v>
      </c>
      <c r="AS366" s="1809">
        <f>AH366*(AS$2&lt;=YEAR($K366))+AR366*$AQ366*(AS$2=YEAR($K366)+1)+INDEX([11]核心假设及结论!$E$17:$E$21,MATCH($D366,[11]核心假设及结论!$B$17:$B$21,0))*(AS$2&gt;YEAR($K366)+1)*AR366</f>
        <v>465.38</v>
      </c>
      <c r="AT366" s="1809">
        <f>AI366*(AT$2&lt;=YEAR($K366))+AS366*$AQ366*(AT$2=YEAR($K366)+1)+INDEX([11]核心假设及结论!$E$17:$E$21,MATCH($D366,[11]核心假设及结论!$B$17:$B$21,0))*(AT$2&gt;YEAR($K366)+1)*AS366</f>
        <v>477.54</v>
      </c>
      <c r="AU366" s="1811">
        <f>AJ366*(AU$2&lt;=YEAR($K366))+AT366*$AQ366*(AU$2=YEAR($K366)+1)+INDEX([11]核心假设及结论!$E$17:$E$21,MATCH($D366,[11]核心假设及结论!$B$17:$B$21,0))*(AU$2&gt;YEAR($K366)+1)*AT366</f>
        <v>477.54</v>
      </c>
      <c r="AV366" s="1809">
        <f>AK366*(AV$2&lt;=YEAR($K366))+AU366*$AQ366*(AV$2=YEAR($K366)+1)+INDEX([11]核心假设及结论!$E$17:$E$21,MATCH($D366,[11]核心假设及结论!$B$17:$B$21,0))*(AV$2&gt;YEAR($K366)+1)*AU366</f>
        <v>490.46915243559266</v>
      </c>
      <c r="AW366" s="1809">
        <f>AL366*(AW$2&lt;=YEAR($K366))+AV366*$AQ366*(AW$2=YEAR($K366)+1)+INDEX([11]核心假设及结论!$E$17:$E$21,MATCH($D366,[11]核心假设及结论!$B$17:$B$21,0))*(AW$2&gt;YEAR($K366)+1)*AV366</f>
        <v>503.74835509253387</v>
      </c>
      <c r="AX366" s="1809">
        <f>AM366*(AX$2&lt;=YEAR($K366))+AW366*$AQ366*(AX$2=YEAR($K366)+1)+INDEX([11]核心假设及结论!$E$17:$E$21,MATCH($D366,[11]核心假设及结论!$B$17:$B$21,0))*(AX$2&gt;YEAR($K366)+1)*AW366</f>
        <v>517.38708540239361</v>
      </c>
      <c r="AZ366" s="1746">
        <f t="shared" si="146"/>
        <v>46577</v>
      </c>
      <c r="BA366" s="1817">
        <f t="shared" si="147"/>
        <v>45658</v>
      </c>
      <c r="BB366" s="1817">
        <f t="shared" si="148"/>
        <v>45847</v>
      </c>
      <c r="BC366" s="1841">
        <f t="shared" si="149"/>
        <v>46022</v>
      </c>
      <c r="BD366" s="1842">
        <f t="shared" si="150"/>
        <v>190</v>
      </c>
      <c r="BE366" s="1842">
        <f t="shared" si="151"/>
        <v>175</v>
      </c>
      <c r="BG366" s="1843">
        <f t="shared" si="164"/>
        <v>44.465351671232874</v>
      </c>
      <c r="BH366" s="1843">
        <f t="shared" si="165"/>
        <v>45.801625315068492</v>
      </c>
      <c r="BI366" s="1843">
        <f t="shared" si="165"/>
        <v>46.416888</v>
      </c>
      <c r="BJ366" s="1843">
        <f t="shared" si="165"/>
        <v>47.019421925834067</v>
      </c>
      <c r="BK366" s="1843">
        <f t="shared" si="165"/>
        <v>48.292448841930202</v>
      </c>
      <c r="BL366" s="1843">
        <f t="shared" si="165"/>
        <v>49.599942313818168</v>
      </c>
      <c r="BM366" s="1843">
        <f t="shared" si="165"/>
        <v>26.178369022496998</v>
      </c>
      <c r="BO366" s="1739">
        <f t="shared" si="152"/>
        <v>2027</v>
      </c>
      <c r="BP366" s="1742">
        <f>_xlfn.IFNA(INDEX($AR366:$AX366,MATCH(BO366,$AR$2:$AX$2,0))*12/365*[11]核心假设及结论!$C$70*$H366,0)</f>
        <v>38150.866849315069</v>
      </c>
      <c r="BR366" s="1739">
        <f t="shared" si="157"/>
        <v>2030</v>
      </c>
      <c r="BS366" s="1742">
        <f>_xlfn.IFNA(INDEX($AR366:$AX366,MATCH(BR366,$AR$2:$AX$2,0))*12/365*[11]核心假设及结论!$C$70*$H366,0)</f>
        <v>40244.663108214481</v>
      </c>
      <c r="BU366" s="1739">
        <f t="shared" si="158"/>
        <v>2033</v>
      </c>
      <c r="BV366" s="1742">
        <f>_xlfn.IFNA(INDEX($AR366:$AX366,MATCH(BU366,$AR$2:$AX$2,0))*12/365*[11]核心假设及结论!$C$70*$H366,0)</f>
        <v>0</v>
      </c>
      <c r="BX366" s="1739">
        <f t="shared" si="159"/>
        <v>2036</v>
      </c>
      <c r="BY366" s="1742">
        <f>_xlfn.IFNA(INDEX($AR366:$AX366,MATCH(BX366,$AR$2:$AX$2,0))*12/365*[11]核心假设及结论!$C$70*$H366,0)</f>
        <v>0</v>
      </c>
      <c r="CA366" s="1739">
        <f t="shared" si="160"/>
        <v>2039</v>
      </c>
      <c r="CB366" s="1742">
        <f>_xlfn.IFNA(INDEX($AR366:$AX366,MATCH(CA366,$AR$2:$AX$2,0))*12/365*[11]核心假设及结论!$C$70*$H366,0)</f>
        <v>0</v>
      </c>
    </row>
    <row r="367" spans="1:80" ht="30" customHeight="1">
      <c r="A367" s="1763" t="s">
        <v>1687</v>
      </c>
      <c r="B367" s="1757" t="s">
        <v>2429</v>
      </c>
      <c r="C367" s="1764" t="s">
        <v>2430</v>
      </c>
      <c r="D367" s="1764" t="s">
        <v>1685</v>
      </c>
      <c r="E367" s="1764" t="s">
        <v>1735</v>
      </c>
      <c r="F367" s="1765"/>
      <c r="G367" s="1760" t="s">
        <v>1661</v>
      </c>
      <c r="H367" s="1761">
        <v>81</v>
      </c>
      <c r="I367" s="1763" t="s">
        <v>2356</v>
      </c>
      <c r="J367" s="1773">
        <v>45352</v>
      </c>
      <c r="K367" s="1773">
        <v>46080</v>
      </c>
      <c r="L367" s="1764">
        <f t="shared" si="142"/>
        <v>24</v>
      </c>
      <c r="M367" s="1774">
        <f t="shared" si="153"/>
        <v>32063.85</v>
      </c>
      <c r="N367" s="1775">
        <f t="shared" si="154"/>
        <v>288.95999999999998</v>
      </c>
      <c r="O367" s="1777">
        <v>23405.759999999998</v>
      </c>
      <c r="P367" s="1763">
        <v>0.17</v>
      </c>
      <c r="Q367" s="1783">
        <f t="shared" si="143"/>
        <v>90</v>
      </c>
      <c r="R367" s="1763">
        <v>7290</v>
      </c>
      <c r="S367" s="1777">
        <f t="shared" si="144"/>
        <v>16.89</v>
      </c>
      <c r="T367" s="1763">
        <v>1368.09</v>
      </c>
      <c r="U367" s="1763"/>
      <c r="V367" s="1785">
        <v>56668.433333333298</v>
      </c>
      <c r="W367" s="1785">
        <f t="shared" si="145"/>
        <v>699.61028806584318</v>
      </c>
      <c r="X367" s="1786">
        <f t="shared" ref="X367:X375" si="167">(N367+Q367)*H367/V367</f>
        <v>0.5416729949007475</v>
      </c>
      <c r="Y367" s="1789">
        <f>VLOOKUP(E367,[11]核心假设及结论!$C$25:$E$45,3,0)</f>
        <v>0.2</v>
      </c>
      <c r="Z367" s="1790">
        <f t="shared" si="163"/>
        <v>23405.759999999998</v>
      </c>
      <c r="AA367" s="1790">
        <f t="shared" si="163"/>
        <v>17246.52</v>
      </c>
      <c r="AB367" s="1790">
        <f t="shared" si="163"/>
        <v>0</v>
      </c>
      <c r="AC367" s="1790">
        <f t="shared" si="161"/>
        <v>0</v>
      </c>
      <c r="AD367" s="1790">
        <f t="shared" si="161"/>
        <v>0</v>
      </c>
      <c r="AE367" s="1790">
        <f t="shared" si="161"/>
        <v>0</v>
      </c>
      <c r="AF367" s="1790">
        <f t="shared" si="161"/>
        <v>0</v>
      </c>
      <c r="AG367" s="1794">
        <v>288.95999999999998</v>
      </c>
      <c r="AH367" s="1794">
        <v>212.92</v>
      </c>
      <c r="AI367" s="1794">
        <v>0</v>
      </c>
      <c r="AJ367" s="1794">
        <v>0</v>
      </c>
      <c r="AK367" s="1794">
        <v>0</v>
      </c>
      <c r="AL367" s="1794">
        <v>0</v>
      </c>
      <c r="AM367" s="1794">
        <v>0</v>
      </c>
      <c r="AN367" s="1764"/>
      <c r="AO367" s="1764"/>
      <c r="AP367" s="1808">
        <f t="shared" si="155"/>
        <v>2.7083649745037373</v>
      </c>
      <c r="AQ367" s="1810">
        <f>IF(AP367&gt;[11]核心假设及结论!$B$59,[11]核心假设及结论!$D$59,IF(AP367&lt;=[11]核心假设及结论!$B$58,[11]核心假设及结论!$D$57,[11]核心假设及结论!$D$58))</f>
        <v>1</v>
      </c>
      <c r="AR367" s="1809">
        <f t="shared" si="156"/>
        <v>288.95999999999998</v>
      </c>
      <c r="AS367" s="1809">
        <f>AH367*(AS$2&lt;=YEAR($K367))+AR367*$AQ367*(AS$2=YEAR($K367)+1)+INDEX([11]核心假设及结论!$E$17:$E$21,MATCH($D367,[11]核心假设及结论!$B$17:$B$21,0))*(AS$2&gt;YEAR($K367)+1)*AR367</f>
        <v>212.92</v>
      </c>
      <c r="AT367" s="1811">
        <f>AI367*(AT$2&lt;=YEAR($K367))+AS367*$AQ367*(AT$2=YEAR($K367)+1)+INDEX([11]核心假设及结论!$E$17:$E$21,MATCH($D367,[11]核心假设及结论!$B$17:$B$21,0))*(AT$2&gt;YEAR($K367)+1)*AS367</f>
        <v>212.92</v>
      </c>
      <c r="AU367" s="1809">
        <f>AJ367*(AU$2&lt;=YEAR($K367))+AT367*$AQ367*(AU$2=YEAR($K367)+1)+INDEX([11]核心假设及结论!$E$17:$E$21,MATCH($D367,[11]核心假设及结论!$B$17:$B$21,0))*(AU$2&gt;YEAR($K367)+1)*AT367</f>
        <v>218.68470062525941</v>
      </c>
      <c r="AV367" s="1809">
        <f>AK367*(AV$2&lt;=YEAR($K367))+AU367*$AQ367*(AV$2=YEAR($K367)+1)+INDEX([11]核心假设及结论!$E$17:$E$21,MATCH($D367,[11]核心假设及结论!$B$17:$B$21,0))*(AV$2&gt;YEAR($K367)+1)*AU367</f>
        <v>224.60547758575677</v>
      </c>
      <c r="AW367" s="1809">
        <f>AL367*(AW$2&lt;=YEAR($K367))+AV367*$AQ367*(AW$2=YEAR($K367)+1)+INDEX([11]核心假设及结论!$E$17:$E$21,MATCH($D367,[11]核心假设及结论!$B$17:$B$21,0))*(AW$2&gt;YEAR($K367)+1)*AV367</f>
        <v>230.68655656882694</v>
      </c>
      <c r="AX367" s="1809">
        <f>AM367*(AX$2&lt;=YEAR($K367))+AW367*$AQ367*(AX$2=YEAR($K367)+1)+INDEX([11]核心假设及结论!$E$17:$E$21,MATCH($D367,[11]核心假设及结论!$B$17:$B$21,0))*(AX$2&gt;YEAR($K367)+1)*AW367</f>
        <v>236.93227767013852</v>
      </c>
      <c r="AZ367" s="1746">
        <f t="shared" si="146"/>
        <v>46080</v>
      </c>
      <c r="BA367" s="1817">
        <f t="shared" si="147"/>
        <v>45658</v>
      </c>
      <c r="BB367" s="1817">
        <f t="shared" si="148"/>
        <v>45715</v>
      </c>
      <c r="BC367" s="1841">
        <f t="shared" si="149"/>
        <v>46022</v>
      </c>
      <c r="BD367" s="1842">
        <f t="shared" si="150"/>
        <v>58</v>
      </c>
      <c r="BE367" s="1842">
        <f t="shared" si="151"/>
        <v>307</v>
      </c>
      <c r="BG367" s="1843">
        <f t="shared" si="164"/>
        <v>21.870298257534248</v>
      </c>
      <c r="BH367" s="1843">
        <f t="shared" si="165"/>
        <v>20.695823999999998</v>
      </c>
      <c r="BI367" s="1843">
        <f t="shared" si="165"/>
        <v>21.16711433572052</v>
      </c>
      <c r="BJ367" s="1843">
        <f t="shared" si="165"/>
        <v>21.740203182451996</v>
      </c>
      <c r="BK367" s="1843">
        <f t="shared" si="165"/>
        <v>22.328808118010645</v>
      </c>
      <c r="BL367" s="1843">
        <f t="shared" si="165"/>
        <v>22.933349232603895</v>
      </c>
      <c r="BM367" s="1843">
        <f t="shared" si="165"/>
        <v>3.6595326262826653</v>
      </c>
      <c r="BO367" s="1739">
        <f t="shared" si="152"/>
        <v>2026</v>
      </c>
      <c r="BP367" s="1742">
        <f>_xlfn.IFNA(INDEX($AR367:$AX367,MATCH(BO367,$AR$2:$AX$2,0))*12/365*[11]核心假设及结论!$C$70*$H367,0)</f>
        <v>17010.266301369862</v>
      </c>
      <c r="BR367" s="1739">
        <f t="shared" si="157"/>
        <v>2028</v>
      </c>
      <c r="BS367" s="1742">
        <f>_xlfn.IFNA(INDEX($AR367:$AX367,MATCH(BR367,$AR$2:$AX$2,0))*12/365*[11]核心假设及结论!$C$70*$H367,0)</f>
        <v>17470.810603376885</v>
      </c>
      <c r="BU367" s="1739">
        <f t="shared" si="158"/>
        <v>2030</v>
      </c>
      <c r="BV367" s="1742">
        <f>_xlfn.IFNA(INDEX($AR367:$AX367,MATCH(BU367,$AR$2:$AX$2,0))*12/365*[11]核心假设及结论!$C$70*$H367,0)</f>
        <v>18429.643806978063</v>
      </c>
      <c r="BX367" s="1739">
        <f t="shared" si="159"/>
        <v>2032</v>
      </c>
      <c r="BY367" s="1742">
        <f>_xlfn.IFNA(INDEX($AR367:$AX367,MATCH(BX367,$AR$2:$AX$2,0))*12/365*[11]核心假设及结论!$C$70*$H367,0)</f>
        <v>0</v>
      </c>
      <c r="CA367" s="1739">
        <f t="shared" si="160"/>
        <v>2034</v>
      </c>
      <c r="CB367" s="1742">
        <f>_xlfn.IFNA(INDEX($AR367:$AX367,MATCH(CA367,$AR$2:$AX$2,0))*12/365*[11]核心假设及结论!$C$70*$H367,0)</f>
        <v>0</v>
      </c>
    </row>
    <row r="368" spans="1:80" ht="30" customHeight="1">
      <c r="A368" s="1763" t="s">
        <v>1662</v>
      </c>
      <c r="B368" s="1757" t="s">
        <v>2431</v>
      </c>
      <c r="C368" s="1764" t="s">
        <v>2432</v>
      </c>
      <c r="D368" s="1764" t="s">
        <v>1685</v>
      </c>
      <c r="E368" s="1764" t="s">
        <v>1838</v>
      </c>
      <c r="F368" s="1765"/>
      <c r="G368" s="1760" t="s">
        <v>1661</v>
      </c>
      <c r="H368" s="1761">
        <v>80</v>
      </c>
      <c r="I368" s="1763" t="s">
        <v>2356</v>
      </c>
      <c r="J368" s="1773">
        <v>43971</v>
      </c>
      <c r="K368" s="1773">
        <v>45796</v>
      </c>
      <c r="L368" s="1764">
        <f t="shared" si="142"/>
        <v>60</v>
      </c>
      <c r="M368" s="1774">
        <f t="shared" si="153"/>
        <v>66272.600000000006</v>
      </c>
      <c r="N368" s="1775">
        <f t="shared" si="154"/>
        <v>714.78750000000002</v>
      </c>
      <c r="O368" s="1777">
        <v>57183</v>
      </c>
      <c r="P368" s="1763">
        <v>0.08</v>
      </c>
      <c r="Q368" s="1783">
        <f t="shared" si="143"/>
        <v>95</v>
      </c>
      <c r="R368" s="1763">
        <v>7600</v>
      </c>
      <c r="S368" s="1777">
        <f t="shared" si="144"/>
        <v>18.619999999999997</v>
      </c>
      <c r="T368" s="1763">
        <v>1489.6</v>
      </c>
      <c r="U368" s="1763"/>
      <c r="V368" s="1785">
        <v>1398842.08333333</v>
      </c>
      <c r="W368" s="1785">
        <f t="shared" si="145"/>
        <v>17485.526041666624</v>
      </c>
      <c r="X368" s="1786">
        <f t="shared" si="167"/>
        <v>4.6311875208692059E-2</v>
      </c>
      <c r="Y368" s="1789">
        <f>VLOOKUP(E368,[11]核心假设及结论!$C$25:$E$45,3,0)</f>
        <v>0.2</v>
      </c>
      <c r="Z368" s="1790">
        <f t="shared" si="163"/>
        <v>60833.599999999999</v>
      </c>
      <c r="AA368" s="1790">
        <f t="shared" si="163"/>
        <v>0</v>
      </c>
      <c r="AB368" s="1790">
        <f t="shared" si="163"/>
        <v>0</v>
      </c>
      <c r="AC368" s="1790">
        <f t="shared" si="161"/>
        <v>0</v>
      </c>
      <c r="AD368" s="1790">
        <f t="shared" si="161"/>
        <v>0</v>
      </c>
      <c r="AE368" s="1790">
        <f t="shared" si="161"/>
        <v>0</v>
      </c>
      <c r="AF368" s="1790">
        <f t="shared" si="161"/>
        <v>0</v>
      </c>
      <c r="AG368" s="1794">
        <v>760.42</v>
      </c>
      <c r="AH368" s="1794">
        <v>0</v>
      </c>
      <c r="AI368" s="1794">
        <v>0</v>
      </c>
      <c r="AJ368" s="1794">
        <v>0</v>
      </c>
      <c r="AK368" s="1794">
        <v>0</v>
      </c>
      <c r="AL368" s="1794">
        <v>0</v>
      </c>
      <c r="AM368" s="1794">
        <v>0</v>
      </c>
      <c r="AN368" s="1764"/>
      <c r="AO368" s="1764"/>
      <c r="AP368" s="1808">
        <f t="shared" si="155"/>
        <v>0.23155937604346027</v>
      </c>
      <c r="AQ368" s="1810">
        <f>IF(AP368&gt;[11]核心假设及结论!$B$59,[11]核心假设及结论!$D$59,IF(AP368&lt;=[11]核心假设及结论!$B$58,[11]核心假设及结论!$D$57,[11]核心假设及结论!$D$58))</f>
        <v>1.0342640124442799</v>
      </c>
      <c r="AR368" s="1809">
        <f t="shared" si="156"/>
        <v>760.42</v>
      </c>
      <c r="AS368" s="1811">
        <f>AH368*(AS$2&lt;=YEAR($K368))+AR368*$AQ368*(AS$2=YEAR($K368)+1)+INDEX([11]核心假设及结论!$E$17:$E$21,MATCH($D368,[11]核心假设及结论!$B$17:$B$21,0))*(AS$2&gt;YEAR($K368)+1)*AR368</f>
        <v>786.47504034287931</v>
      </c>
      <c r="AT368" s="1809">
        <f>AI368*(AT$2&lt;=YEAR($K368))+AS368*$AQ368*(AT$2=YEAR($K368)+1)+INDEX([11]核心假设及结论!$E$17:$E$21,MATCH($D368,[11]核心假设及结论!$B$17:$B$21,0))*(AT$2&gt;YEAR($K368)+1)*AS368</f>
        <v>807.76845175005349</v>
      </c>
      <c r="AU368" s="1809">
        <f>AJ368*(AU$2&lt;=YEAR($K368))+AT368*$AQ368*(AU$2=YEAR($K368)+1)+INDEX([11]核心假设及结论!$E$17:$E$21,MATCH($D368,[11]核心假设及结论!$B$17:$B$21,0))*(AU$2&gt;YEAR($K368)+1)*AT368</f>
        <v>829.63837143288447</v>
      </c>
      <c r="AV368" s="1809">
        <f>AK368*(AV$2&lt;=YEAR($K368))+AU368*$AQ368*(AV$2=YEAR($K368)+1)+INDEX([11]核心假设及结论!$E$17:$E$21,MATCH($D368,[11]核心假设及结论!$B$17:$B$21,0))*(AV$2&gt;YEAR($K368)+1)*AU368</f>
        <v>852.10040805949711</v>
      </c>
      <c r="AW368" s="1809">
        <f>AL368*(AW$2&lt;=YEAR($K368))+AV368*$AQ368*(AW$2=YEAR($K368)+1)+INDEX([11]核心假设及结论!$E$17:$E$21,MATCH($D368,[11]核心假设及结论!$B$17:$B$21,0))*(AW$2&gt;YEAR($K368)+1)*AV368</f>
        <v>875.17059289476106</v>
      </c>
      <c r="AX368" s="1809">
        <f>AM368*(AX$2&lt;=YEAR($K368))+AW368*$AQ368*(AX$2=YEAR($K368)+1)+INDEX([11]核心假设及结论!$E$17:$E$21,MATCH($D368,[11]核心假设及结论!$B$17:$B$21,0))*(AX$2&gt;YEAR($K368)+1)*AW368</f>
        <v>898.86539124188243</v>
      </c>
      <c r="AZ368" s="1746">
        <f t="shared" si="146"/>
        <v>45796</v>
      </c>
      <c r="BA368" s="1817">
        <f t="shared" si="147"/>
        <v>45658</v>
      </c>
      <c r="BB368" s="1817">
        <f t="shared" si="148"/>
        <v>45796</v>
      </c>
      <c r="BC368" s="1841">
        <f t="shared" si="149"/>
        <v>46022</v>
      </c>
      <c r="BD368" s="1842">
        <f t="shared" si="150"/>
        <v>139</v>
      </c>
      <c r="BE368" s="1842">
        <f t="shared" si="151"/>
        <v>226</v>
      </c>
      <c r="BG368" s="1843">
        <f t="shared" si="164"/>
        <v>74.549060151449609</v>
      </c>
      <c r="BH368" s="1843">
        <f t="shared" si="165"/>
        <v>76.767307582204225</v>
      </c>
      <c r="BI368" s="1843">
        <f t="shared" si="165"/>
        <v>78.845743360987882</v>
      </c>
      <c r="BJ368" s="1843">
        <f t="shared" si="165"/>
        <v>80.980451730573321</v>
      </c>
      <c r="BK368" s="1843">
        <f t="shared" si="165"/>
        <v>83.17295624271415</v>
      </c>
      <c r="BL368" s="1843">
        <f t="shared" si="165"/>
        <v>85.42482169855225</v>
      </c>
      <c r="BM368" s="1843">
        <f t="shared" si="165"/>
        <v>32.861533645840225</v>
      </c>
      <c r="BO368" s="1739">
        <f t="shared" si="152"/>
        <v>2025</v>
      </c>
      <c r="BP368" s="1742">
        <f>_xlfn.IFNA(INDEX($AR368:$AX368,MATCH(BO368,$AR$2:$AX$2,0))*12/365*[11]核心假设及结论!$C$70*$H368,0)</f>
        <v>60000.263013698626</v>
      </c>
      <c r="BR368" s="1739">
        <f t="shared" si="157"/>
        <v>2030</v>
      </c>
      <c r="BS368" s="1742">
        <f>_xlfn.IFNA(INDEX($AR368:$AX368,MATCH(BR368,$AR$2:$AX$2,0))*12/365*[11]核心假设及结论!$C$70*$H368,0)</f>
        <v>69054.556370874285</v>
      </c>
      <c r="BU368" s="1739">
        <f t="shared" si="158"/>
        <v>2035</v>
      </c>
      <c r="BV368" s="1742">
        <f>_xlfn.IFNA(INDEX($AR368:$AX368,MATCH(BU368,$AR$2:$AX$2,0))*12/365*[11]核心假设及结论!$C$70*$H368,0)</f>
        <v>0</v>
      </c>
      <c r="BX368" s="1739">
        <f t="shared" si="159"/>
        <v>2040</v>
      </c>
      <c r="BY368" s="1742">
        <f>_xlfn.IFNA(INDEX($AR368:$AX368,MATCH(BX368,$AR$2:$AX$2,0))*12/365*[11]核心假设及结论!$C$70*$H368,0)</f>
        <v>0</v>
      </c>
      <c r="CA368" s="1739">
        <f t="shared" si="160"/>
        <v>2045</v>
      </c>
      <c r="CB368" s="1742">
        <f>_xlfn.IFNA(INDEX($AR368:$AX368,MATCH(CA368,$AR$2:$AX$2,0))*12/365*[11]核心假设及结论!$C$70*$H368,0)</f>
        <v>0</v>
      </c>
    </row>
    <row r="369" spans="1:80" ht="30" customHeight="1">
      <c r="A369" s="1763" t="s">
        <v>1662</v>
      </c>
      <c r="B369" s="1757" t="s">
        <v>2433</v>
      </c>
      <c r="C369" s="1764" t="s">
        <v>2434</v>
      </c>
      <c r="D369" s="1764" t="s">
        <v>1685</v>
      </c>
      <c r="E369" s="1764" t="s">
        <v>1871</v>
      </c>
      <c r="F369" s="1765"/>
      <c r="G369" s="1760" t="s">
        <v>1661</v>
      </c>
      <c r="H369" s="1761">
        <v>80</v>
      </c>
      <c r="I369" s="1763" t="s">
        <v>2356</v>
      </c>
      <c r="J369" s="1773">
        <v>45504</v>
      </c>
      <c r="K369" s="1773">
        <v>45868</v>
      </c>
      <c r="L369" s="1764">
        <f t="shared" si="142"/>
        <v>12</v>
      </c>
      <c r="M369" s="1774">
        <f t="shared" si="153"/>
        <v>65006.400000000001</v>
      </c>
      <c r="N369" s="1775">
        <f t="shared" si="154"/>
        <v>699.58</v>
      </c>
      <c r="O369" s="1777">
        <v>55966.400000000001</v>
      </c>
      <c r="P369" s="1763">
        <v>0.16</v>
      </c>
      <c r="Q369" s="1783">
        <f t="shared" si="143"/>
        <v>95</v>
      </c>
      <c r="R369" s="1763">
        <v>7600</v>
      </c>
      <c r="S369" s="1777">
        <f t="shared" si="144"/>
        <v>18</v>
      </c>
      <c r="T369" s="1763">
        <v>1440</v>
      </c>
      <c r="U369" s="1763"/>
      <c r="V369" s="1785">
        <v>604632.33333333302</v>
      </c>
      <c r="W369" s="1785">
        <f t="shared" si="145"/>
        <v>7557.9041666666626</v>
      </c>
      <c r="X369" s="1786">
        <f t="shared" si="167"/>
        <v>0.10513232008212159</v>
      </c>
      <c r="Y369" s="1789">
        <f>VLOOKUP(E369,[11]核心假设及结论!$C$25:$E$45,3,0)</f>
        <v>0.2</v>
      </c>
      <c r="Z369" s="1790">
        <f t="shared" si="163"/>
        <v>55966.400000000001</v>
      </c>
      <c r="AA369" s="1790">
        <f t="shared" si="163"/>
        <v>0</v>
      </c>
      <c r="AB369" s="1790">
        <f t="shared" si="163"/>
        <v>0</v>
      </c>
      <c r="AC369" s="1790">
        <f t="shared" si="161"/>
        <v>0</v>
      </c>
      <c r="AD369" s="1790">
        <f t="shared" si="161"/>
        <v>0</v>
      </c>
      <c r="AE369" s="1790">
        <f t="shared" si="161"/>
        <v>0</v>
      </c>
      <c r="AF369" s="1790">
        <f t="shared" si="161"/>
        <v>0</v>
      </c>
      <c r="AG369" s="1794">
        <v>699.58</v>
      </c>
      <c r="AH369" s="1794">
        <v>0</v>
      </c>
      <c r="AI369" s="1794">
        <v>0</v>
      </c>
      <c r="AJ369" s="1794">
        <v>0</v>
      </c>
      <c r="AK369" s="1794">
        <v>0</v>
      </c>
      <c r="AL369" s="1794">
        <v>0</v>
      </c>
      <c r="AM369" s="1794">
        <v>0</v>
      </c>
      <c r="AN369" s="1764"/>
      <c r="AO369" s="1764"/>
      <c r="AP369" s="1808">
        <f t="shared" si="155"/>
        <v>0.52566160041060794</v>
      </c>
      <c r="AQ369" s="1810">
        <f>IF(AP369&gt;[11]核心假设及结论!$B$59,[11]核心假设及结论!$D$59,IF(AP369&lt;=[11]核心假设及结论!$B$58,[11]核心假设及结论!$D$57,[11]核心假设及结论!$D$58))</f>
        <v>1.0342640124442799</v>
      </c>
      <c r="AR369" s="1809">
        <f t="shared" si="156"/>
        <v>699.58</v>
      </c>
      <c r="AS369" s="1811">
        <f>AH369*(AS$2&lt;=YEAR($K369))+AR369*$AQ369*(AS$2=YEAR($K369)+1)+INDEX([11]核心假设及结论!$E$17:$E$21,MATCH($D369,[11]核心假设及结论!$B$17:$B$21,0))*(AS$2&gt;YEAR($K369)+1)*AR369</f>
        <v>723.55041782576939</v>
      </c>
      <c r="AT369" s="1809">
        <f>AI369*(AT$2&lt;=YEAR($K369))+AS369*$AQ369*(AT$2=YEAR($K369)+1)+INDEX([11]核心假设及结论!$E$17:$E$21,MATCH($D369,[11]核心假设及结论!$B$17:$B$21,0))*(AT$2&gt;YEAR($K369)+1)*AS369</f>
        <v>743.14017710647067</v>
      </c>
      <c r="AU369" s="1809">
        <f>AJ369*(AU$2&lt;=YEAR($K369))+AT369*$AQ369*(AU$2=YEAR($K369)+1)+INDEX([11]核心假设及结论!$E$17:$E$21,MATCH($D369,[11]核心假设及结论!$B$17:$B$21,0))*(AU$2&gt;YEAR($K369)+1)*AT369</f>
        <v>763.26031914865109</v>
      </c>
      <c r="AV369" s="1809">
        <f>AK369*(AV$2&lt;=YEAR($K369))+AU369*$AQ369*(AV$2=YEAR($K369)+1)+INDEX([11]核心假设及结论!$E$17:$E$21,MATCH($D369,[11]核心假设及结论!$B$17:$B$21,0))*(AV$2&gt;YEAR($K369)+1)*AU369</f>
        <v>783.92520379561677</v>
      </c>
      <c r="AW369" s="1809">
        <f>AL369*(AW$2&lt;=YEAR($K369))+AV369*$AQ369*(AW$2=YEAR($K369)+1)+INDEX([11]核心假设及结论!$E$17:$E$21,MATCH($D369,[11]核心假设及结论!$B$17:$B$21,0))*(AW$2&gt;YEAR($K369)+1)*AV369</f>
        <v>805.14957967612213</v>
      </c>
      <c r="AX369" s="1809">
        <f>AM369*(AX$2&lt;=YEAR($K369))+AW369*$AQ369*(AX$2=YEAR($K369)+1)+INDEX([11]核心假设及结论!$E$17:$E$21,MATCH($D369,[11]核心假设及结论!$B$17:$B$21,0))*(AX$2&gt;YEAR($K369)+1)*AW369</f>
        <v>826.94859473053839</v>
      </c>
      <c r="AZ369" s="1746">
        <f t="shared" si="146"/>
        <v>45868</v>
      </c>
      <c r="BA369" s="1817">
        <f t="shared" si="147"/>
        <v>45658</v>
      </c>
      <c r="BB369" s="1817">
        <f t="shared" si="148"/>
        <v>45868</v>
      </c>
      <c r="BC369" s="1841">
        <f t="shared" si="149"/>
        <v>46022</v>
      </c>
      <c r="BD369" s="1842">
        <f t="shared" si="150"/>
        <v>211</v>
      </c>
      <c r="BE369" s="1842">
        <f t="shared" si="151"/>
        <v>154</v>
      </c>
      <c r="BG369" s="1843">
        <f t="shared" si="164"/>
        <v>68.130580430510065</v>
      </c>
      <c r="BH369" s="1843">
        <f t="shared" si="165"/>
        <v>70.254305868002334</v>
      </c>
      <c r="BI369" s="1843">
        <f t="shared" si="165"/>
        <v>72.156405440444729</v>
      </c>
      <c r="BJ369" s="1843">
        <f t="shared" si="165"/>
        <v>74.110003390656104</v>
      </c>
      <c r="BK369" s="1843">
        <f t="shared" si="165"/>
        <v>76.116494011002203</v>
      </c>
      <c r="BL369" s="1843">
        <f t="shared" si="165"/>
        <v>78.177309343604946</v>
      </c>
      <c r="BM369" s="1843">
        <f t="shared" si="165"/>
        <v>45.892248588662426</v>
      </c>
      <c r="BO369" s="1739">
        <f t="shared" si="152"/>
        <v>2025</v>
      </c>
      <c r="BP369" s="1742">
        <f>_xlfn.IFNA(INDEX($AR369:$AX369,MATCH(BO369,$AR$2:$AX$2,0))*12/365*[11]核心假设及结论!$C$70*$H369,0)</f>
        <v>55199.736986301374</v>
      </c>
      <c r="BR369" s="1739">
        <f t="shared" si="157"/>
        <v>2026</v>
      </c>
      <c r="BS369" s="1742">
        <f>_xlfn.IFNA(INDEX($AR369:$AX369,MATCH(BR369,$AR$2:$AX$2,0))*12/365*[11]核心假设及结论!$C$70*$H369,0)</f>
        <v>57091.101461320985</v>
      </c>
      <c r="BU369" s="1739">
        <f t="shared" si="158"/>
        <v>2027</v>
      </c>
      <c r="BV369" s="1742">
        <f>_xlfn.IFNA(INDEX($AR369:$AX369,MATCH(BU369,$AR$2:$AX$2,0))*12/365*[11]核心假设及结论!$C$70*$H369,0)</f>
        <v>58636.813974428369</v>
      </c>
      <c r="BX369" s="1739">
        <f t="shared" si="159"/>
        <v>2028</v>
      </c>
      <c r="BY369" s="1742">
        <f>_xlfn.IFNA(INDEX($AR369:$AX369,MATCH(BX369,$AR$2:$AX$2,0))*12/365*[11]核心假设及结论!$C$70*$H369,0)</f>
        <v>60224.375867071656</v>
      </c>
      <c r="CA369" s="1739">
        <f t="shared" si="160"/>
        <v>2029</v>
      </c>
      <c r="CB369" s="1742">
        <f>_xlfn.IFNA(INDEX($AR369:$AX369,MATCH(CA369,$AR$2:$AX$2,0))*12/365*[11]核心假设及结论!$C$70*$H369,0)</f>
        <v>61854.920189900731</v>
      </c>
    </row>
    <row r="370" spans="1:80" ht="30" customHeight="1">
      <c r="A370" s="1763" t="s">
        <v>1662</v>
      </c>
      <c r="B370" s="1757" t="s">
        <v>2435</v>
      </c>
      <c r="C370" s="1764" t="s">
        <v>2436</v>
      </c>
      <c r="D370" s="1764" t="s">
        <v>1685</v>
      </c>
      <c r="E370" s="1764" t="s">
        <v>1718</v>
      </c>
      <c r="F370" s="1765"/>
      <c r="G370" s="1760" t="s">
        <v>1661</v>
      </c>
      <c r="H370" s="1761">
        <v>80</v>
      </c>
      <c r="I370" s="1763" t="s">
        <v>2356</v>
      </c>
      <c r="J370" s="1773">
        <v>45534</v>
      </c>
      <c r="K370" s="1773">
        <v>46628</v>
      </c>
      <c r="L370" s="1764">
        <f t="shared" si="142"/>
        <v>36</v>
      </c>
      <c r="M370" s="1774">
        <f t="shared" si="153"/>
        <v>62573.599999999999</v>
      </c>
      <c r="N370" s="1775">
        <f t="shared" si="154"/>
        <v>669.17</v>
      </c>
      <c r="O370" s="1777">
        <v>53533.599999999999</v>
      </c>
      <c r="P370" s="1763">
        <v>0.15</v>
      </c>
      <c r="Q370" s="1783">
        <f t="shared" si="143"/>
        <v>95</v>
      </c>
      <c r="R370" s="1763">
        <v>7600</v>
      </c>
      <c r="S370" s="1777">
        <f t="shared" si="144"/>
        <v>18</v>
      </c>
      <c r="T370" s="1763">
        <v>1440</v>
      </c>
      <c r="U370" s="1763"/>
      <c r="V370" s="1785"/>
      <c r="W370" s="1785">
        <f t="shared" si="145"/>
        <v>0</v>
      </c>
      <c r="X370" s="1786" t="e">
        <f t="shared" si="167"/>
        <v>#DIV/0!</v>
      </c>
      <c r="Y370" s="1789">
        <f>VLOOKUP(E370,[11]核心假设及结论!$C$25:$E$45,3,0)</f>
        <v>0.2</v>
      </c>
      <c r="Z370" s="1790">
        <f t="shared" si="163"/>
        <v>53533.599999999999</v>
      </c>
      <c r="AA370" s="1790">
        <f t="shared" si="163"/>
        <v>55966.400000000001</v>
      </c>
      <c r="AB370" s="1790">
        <f t="shared" si="163"/>
        <v>58400</v>
      </c>
      <c r="AC370" s="1790">
        <f t="shared" si="161"/>
        <v>0</v>
      </c>
      <c r="AD370" s="1790">
        <f t="shared" si="161"/>
        <v>0</v>
      </c>
      <c r="AE370" s="1790">
        <f t="shared" si="161"/>
        <v>0</v>
      </c>
      <c r="AF370" s="1790">
        <f t="shared" si="161"/>
        <v>0</v>
      </c>
      <c r="AG370" s="1794">
        <v>669.17</v>
      </c>
      <c r="AH370" s="1794">
        <v>699.58</v>
      </c>
      <c r="AI370" s="1794">
        <v>730</v>
      </c>
      <c r="AJ370" s="1794">
        <v>0</v>
      </c>
      <c r="AK370" s="1794">
        <v>0</v>
      </c>
      <c r="AL370" s="1794">
        <v>0</v>
      </c>
      <c r="AM370" s="1794">
        <v>0</v>
      </c>
      <c r="AN370" s="1764"/>
      <c r="AO370" s="1764"/>
      <c r="AP370" s="1808">
        <f t="shared" si="155"/>
        <v>1.25</v>
      </c>
      <c r="AQ370" s="1810">
        <f>IF(AP370&gt;[11]核心假设及结论!$B$59,[11]核心假设及结论!$D$59,IF(AP370&lt;=[11]核心假设及结论!$B$58,[11]核心假设及结论!$D$57,[11]核心假设及结论!$D$58))</f>
        <v>1.0069999999999999</v>
      </c>
      <c r="AR370" s="1809">
        <f t="shared" si="156"/>
        <v>669.17</v>
      </c>
      <c r="AS370" s="1809">
        <f>AH370*(AS$2&lt;=YEAR($K370))+AR370*$AQ370*(AS$2=YEAR($K370)+1)+INDEX([11]核心假设及结论!$E$17:$E$21,MATCH($D370,[11]核心假设及结论!$B$17:$B$21,0))*(AS$2&gt;YEAR($K370)+1)*AR370</f>
        <v>699.58</v>
      </c>
      <c r="AT370" s="1809">
        <f>AI370*(AT$2&lt;=YEAR($K370))+AS370*$AQ370*(AT$2=YEAR($K370)+1)+INDEX([11]核心假设及结论!$E$17:$E$21,MATCH($D370,[11]核心假设及结论!$B$17:$B$21,0))*(AT$2&gt;YEAR($K370)+1)*AS370</f>
        <v>730</v>
      </c>
      <c r="AU370" s="1811">
        <f>AJ370*(AU$2&lt;=YEAR($K370))+AT370*$AQ370*(AU$2=YEAR($K370)+1)+INDEX([11]核心假设及结论!$E$17:$E$21,MATCH($D370,[11]核心假设及结论!$B$17:$B$21,0))*(AU$2&gt;YEAR($K370)+1)*AT370</f>
        <v>735.1099999999999</v>
      </c>
      <c r="AV370" s="1809">
        <f>AK370*(AV$2&lt;=YEAR($K370))+AU370*$AQ370*(AV$2=YEAR($K370)+1)+INDEX([11]核心假设及结论!$E$17:$E$21,MATCH($D370,[11]核心假设及结论!$B$17:$B$21,0))*(AV$2&gt;YEAR($K370)+1)*AU370</f>
        <v>755.01272908432475</v>
      </c>
      <c r="AW370" s="1809">
        <f>AL370*(AW$2&lt;=YEAR($K370))+AV370*$AQ370*(AW$2=YEAR($K370)+1)+INDEX([11]核心假设及结论!$E$17:$E$21,MATCH($D370,[11]核心假设及结论!$B$17:$B$21,0))*(AW$2&gt;YEAR($K370)+1)*AV370</f>
        <v>775.45431442826248</v>
      </c>
      <c r="AX370" s="1809">
        <f>AM370*(AX$2&lt;=YEAR($K370))+AW370*$AQ370*(AX$2=YEAR($K370)+1)+INDEX([11]核心假设及结论!$E$17:$E$21,MATCH($D370,[11]核心假设及结论!$B$17:$B$21,0))*(AX$2&gt;YEAR($K370)+1)*AW370</f>
        <v>796.44934529076818</v>
      </c>
      <c r="AZ370" s="1746">
        <f t="shared" si="146"/>
        <v>46628</v>
      </c>
      <c r="BA370" s="1817">
        <f t="shared" si="147"/>
        <v>45658</v>
      </c>
      <c r="BB370" s="1817">
        <f t="shared" si="148"/>
        <v>45898</v>
      </c>
      <c r="BC370" s="1841">
        <f t="shared" si="149"/>
        <v>46022</v>
      </c>
      <c r="BD370" s="1842">
        <f t="shared" si="150"/>
        <v>241</v>
      </c>
      <c r="BE370" s="1842">
        <f t="shared" si="151"/>
        <v>124</v>
      </c>
      <c r="BG370" s="1843">
        <f t="shared" si="164"/>
        <v>65.232102575342466</v>
      </c>
      <c r="BH370" s="1843">
        <f t="shared" si="165"/>
        <v>68.151788712328766</v>
      </c>
      <c r="BI370" s="1843">
        <f t="shared" si="165"/>
        <v>70.246655999999987</v>
      </c>
      <c r="BJ370" s="1843">
        <f t="shared" si="165"/>
        <v>71.219661608273427</v>
      </c>
      <c r="BK370" s="1843">
        <f t="shared" si="165"/>
        <v>73.147897696024586</v>
      </c>
      <c r="BL370" s="1843">
        <f t="shared" si="165"/>
        <v>75.128339794393369</v>
      </c>
      <c r="BM370" s="1843">
        <f t="shared" si="165"/>
        <v>50.483978226430722</v>
      </c>
      <c r="BO370" s="1739">
        <f t="shared" si="152"/>
        <v>2027</v>
      </c>
      <c r="BP370" s="1742">
        <f>_xlfn.IFNA(INDEX($AR370:$AX370,MATCH(BO370,$AR$2:$AX$2,0))*12/365*[11]核心假设及结论!$C$70*$H370,0)</f>
        <v>57600</v>
      </c>
      <c r="BR370" s="1739">
        <f t="shared" si="157"/>
        <v>2030</v>
      </c>
      <c r="BS370" s="1742">
        <f>_xlfn.IFNA(INDEX($AR370:$AX370,MATCH(BR370,$AR$2:$AX$2,0))*12/365*[11]核心假设及结论!$C$70*$H370,0)</f>
        <v>61186.532206942356</v>
      </c>
      <c r="BU370" s="1739">
        <f t="shared" si="158"/>
        <v>2033</v>
      </c>
      <c r="BV370" s="1742">
        <f>_xlfn.IFNA(INDEX($AR370:$AX370,MATCH(BU370,$AR$2:$AX$2,0))*12/365*[11]核心假设及结论!$C$70*$H370,0)</f>
        <v>0</v>
      </c>
      <c r="BX370" s="1739">
        <f t="shared" si="159"/>
        <v>2036</v>
      </c>
      <c r="BY370" s="1742">
        <f>_xlfn.IFNA(INDEX($AR370:$AX370,MATCH(BX370,$AR$2:$AX$2,0))*12/365*[11]核心假设及结论!$C$70*$H370,0)</f>
        <v>0</v>
      </c>
      <c r="CA370" s="1739">
        <f t="shared" si="160"/>
        <v>2039</v>
      </c>
      <c r="CB370" s="1742">
        <f>_xlfn.IFNA(INDEX($AR370:$AX370,MATCH(CA370,$AR$2:$AX$2,0))*12/365*[11]核心假设及结论!$C$70*$H370,0)</f>
        <v>0</v>
      </c>
    </row>
    <row r="371" spans="1:80" ht="30" customHeight="1">
      <c r="A371" s="1763" t="s">
        <v>1687</v>
      </c>
      <c r="B371" s="1757" t="s">
        <v>2437</v>
      </c>
      <c r="C371" s="1764" t="s">
        <v>2438</v>
      </c>
      <c r="D371" s="1764" t="s">
        <v>1676</v>
      </c>
      <c r="E371" s="1764" t="s">
        <v>1677</v>
      </c>
      <c r="F371" s="1765"/>
      <c r="G371" s="1760" t="s">
        <v>1661</v>
      </c>
      <c r="H371" s="1761">
        <v>80</v>
      </c>
      <c r="I371" s="1763" t="s">
        <v>2356</v>
      </c>
      <c r="J371" s="1773">
        <v>45449</v>
      </c>
      <c r="K371" s="1773">
        <v>46543</v>
      </c>
      <c r="L371" s="1764">
        <f t="shared" si="142"/>
        <v>36</v>
      </c>
      <c r="M371" s="1774">
        <f t="shared" si="153"/>
        <v>24456.799999999999</v>
      </c>
      <c r="N371" s="1775">
        <f t="shared" si="154"/>
        <v>197.70999999999998</v>
      </c>
      <c r="O371" s="1777">
        <v>15816.8</v>
      </c>
      <c r="P371" s="1763">
        <v>0.08</v>
      </c>
      <c r="Q371" s="1783">
        <f t="shared" si="143"/>
        <v>90</v>
      </c>
      <c r="R371" s="1763">
        <v>7200</v>
      </c>
      <c r="S371" s="1777">
        <f t="shared" si="144"/>
        <v>18</v>
      </c>
      <c r="T371" s="1763">
        <v>1440</v>
      </c>
      <c r="U371" s="1763"/>
      <c r="V371" s="1785">
        <v>451700.85</v>
      </c>
      <c r="W371" s="1785">
        <f t="shared" si="145"/>
        <v>5646.2606249999999</v>
      </c>
      <c r="X371" s="1786">
        <f t="shared" si="167"/>
        <v>5.095584832306603E-2</v>
      </c>
      <c r="Y371" s="1789">
        <f>VLOOKUP(E371,[11]核心假设及结论!$C$25:$E$45,3,0)</f>
        <v>0.25</v>
      </c>
      <c r="Z371" s="1790">
        <f t="shared" si="163"/>
        <v>15816.800000000001</v>
      </c>
      <c r="AA371" s="1790">
        <f t="shared" si="163"/>
        <v>16546.400000000001</v>
      </c>
      <c r="AB371" s="1790">
        <f t="shared" si="163"/>
        <v>17033.599999999999</v>
      </c>
      <c r="AC371" s="1790">
        <f t="shared" si="161"/>
        <v>0</v>
      </c>
      <c r="AD371" s="1790">
        <f t="shared" si="161"/>
        <v>0</v>
      </c>
      <c r="AE371" s="1790">
        <f t="shared" si="161"/>
        <v>0</v>
      </c>
      <c r="AF371" s="1790">
        <f t="shared" si="161"/>
        <v>0</v>
      </c>
      <c r="AG371" s="1794">
        <v>197.71</v>
      </c>
      <c r="AH371" s="1794">
        <v>206.83</v>
      </c>
      <c r="AI371" s="1794">
        <v>212.92</v>
      </c>
      <c r="AJ371" s="1794">
        <v>0</v>
      </c>
      <c r="AK371" s="1794">
        <v>0</v>
      </c>
      <c r="AL371" s="1794">
        <v>0</v>
      </c>
      <c r="AM371" s="1794">
        <v>0</v>
      </c>
      <c r="AN371" s="1764"/>
      <c r="AO371" s="1764"/>
      <c r="AP371" s="1808">
        <f t="shared" si="155"/>
        <v>0.20382339329226412</v>
      </c>
      <c r="AQ371" s="1808">
        <f>IF(AP371&gt;[11]核心假设及结论!$B$65,[11]核心假设及结论!$D$65,IF(AP371&lt;=[11]核心假设及结论!$B$64,[11]核心假设及结论!$D$63,[11]核心假设及结论!$D$64))</f>
        <v>1</v>
      </c>
      <c r="AR371" s="1809">
        <f t="shared" si="156"/>
        <v>197.71</v>
      </c>
      <c r="AS371" s="1809">
        <f>AH371*(AS$2&lt;=YEAR($K371))+AR371*$AQ371*(AS$2=YEAR($K371)+1)+INDEX([11]核心假设及结论!$E$17:$E$21,MATCH($D371,[11]核心假设及结论!$B$17:$B$21,0))*(AS$2&gt;YEAR($K371)+1)*AR371</f>
        <v>206.83</v>
      </c>
      <c r="AT371" s="1809">
        <f>AI371*(AT$2&lt;=YEAR($K371))+AS371*$AQ371*(AT$2=YEAR($K371)+1)+INDEX([11]核心假设及结论!$E$17:$E$21,MATCH($D371,[11]核心假设及结论!$B$17:$B$21,0))*(AT$2&gt;YEAR($K371)+1)*AS371</f>
        <v>212.92</v>
      </c>
      <c r="AU371" s="1811">
        <f>AJ371*(AU$2&lt;=YEAR($K371))+AT371*$AQ371*(AU$2=YEAR($K371)+1)+INDEX([11]核心假设及结论!$E$17:$E$21,MATCH($D371,[11]核心假设及结论!$B$17:$B$21,0))*(AU$2&gt;YEAR($K371)+1)*AT371</f>
        <v>212.92</v>
      </c>
      <c r="AV371" s="1809">
        <f>AK371*(AV$2&lt;=YEAR($K371))+AU371*$AQ371*(AV$2=YEAR($K371)+1)+INDEX([11]核心假设及结论!$E$17:$E$21,MATCH($D371,[11]核心假设及结论!$B$17:$B$21,0))*(AV$2&gt;YEAR($K371)+1)*AU371</f>
        <v>220.28172762996766</v>
      </c>
      <c r="AW371" s="1809">
        <f>AL371*(AW$2&lt;=YEAR($K371))+AV371*$AQ371*(AW$2=YEAR($K371)+1)+INDEX([11]核心假设及结论!$E$17:$E$21,MATCH($D371,[11]核心假设及结论!$B$17:$B$21,0))*(AW$2&gt;YEAR($K371)+1)*AV371</f>
        <v>227.89798763687423</v>
      </c>
      <c r="AX371" s="1809">
        <f>AM371*(AX$2&lt;=YEAR($K371))+AW371*$AQ371*(AX$2=YEAR($K371)+1)+INDEX([11]核心假设及结论!$E$17:$E$21,MATCH($D371,[11]核心假设及结论!$B$17:$B$21,0))*(AX$2&gt;YEAR($K371)+1)*AW371</f>
        <v>235.77758049992332</v>
      </c>
      <c r="AZ371" s="1746">
        <f t="shared" si="146"/>
        <v>46543</v>
      </c>
      <c r="BA371" s="1817">
        <f t="shared" si="147"/>
        <v>45658</v>
      </c>
      <c r="BB371" s="1817">
        <f t="shared" si="148"/>
        <v>45813</v>
      </c>
      <c r="BC371" s="1841">
        <f t="shared" si="149"/>
        <v>46022</v>
      </c>
      <c r="BD371" s="1842">
        <f t="shared" si="150"/>
        <v>156</v>
      </c>
      <c r="BE371" s="1842">
        <f t="shared" si="151"/>
        <v>209</v>
      </c>
      <c r="BG371" s="1843">
        <f t="shared" si="164"/>
        <v>19.481485150684936</v>
      </c>
      <c r="BH371" s="1843">
        <f t="shared" si="165"/>
        <v>20.190446465753425</v>
      </c>
      <c r="BI371" s="1843">
        <f t="shared" si="165"/>
        <v>20.440319999999996</v>
      </c>
      <c r="BJ371" s="1843">
        <f t="shared" si="165"/>
        <v>20.844993159363483</v>
      </c>
      <c r="BK371" s="1843">
        <f t="shared" si="165"/>
        <v>21.565710621733263</v>
      </c>
      <c r="BL371" s="1843">
        <f t="shared" si="165"/>
        <v>22.311346953425453</v>
      </c>
      <c r="BM371" s="1843">
        <f t="shared" si="165"/>
        <v>9.6739864262105506</v>
      </c>
      <c r="BO371" s="1739">
        <f t="shared" si="152"/>
        <v>2027</v>
      </c>
      <c r="BP371" s="1742">
        <f>_xlfn.IFNA(INDEX($AR371:$AX371,MATCH(BO371,$AR$2:$AX$2,0))*12/365*[11]核心假设及结论!$C$70*$H371,0)</f>
        <v>16800.26301369863</v>
      </c>
      <c r="BR371" s="1739">
        <f t="shared" si="157"/>
        <v>2030</v>
      </c>
      <c r="BS371" s="1742">
        <f>_xlfn.IFNA(INDEX($AR371:$AX371,MATCH(BR371,$AR$2:$AX$2,0))*12/365*[11]核心假设及结论!$C$70*$H371,0)</f>
        <v>17982.08779162186</v>
      </c>
      <c r="BU371" s="1739">
        <f t="shared" si="158"/>
        <v>2033</v>
      </c>
      <c r="BV371" s="1742">
        <f>_xlfn.IFNA(INDEX($AR371:$AX371,MATCH(BU371,$AR$2:$AX$2,0))*12/365*[11]核心假设及结论!$C$70*$H371,0)</f>
        <v>0</v>
      </c>
      <c r="BX371" s="1739">
        <f t="shared" si="159"/>
        <v>2036</v>
      </c>
      <c r="BY371" s="1742">
        <f>_xlfn.IFNA(INDEX($AR371:$AX371,MATCH(BX371,$AR$2:$AX$2,0))*12/365*[11]核心假设及结论!$C$70*$H371,0)</f>
        <v>0</v>
      </c>
      <c r="CA371" s="1739">
        <f t="shared" si="160"/>
        <v>2039</v>
      </c>
      <c r="CB371" s="1742">
        <f>_xlfn.IFNA(INDEX($AR371:$AX371,MATCH(CA371,$AR$2:$AX$2,0))*12/365*[11]核心假设及结论!$C$70*$H371,0)</f>
        <v>0</v>
      </c>
    </row>
    <row r="372" spans="1:80" ht="30" customHeight="1">
      <c r="A372" s="1763" t="s">
        <v>1687</v>
      </c>
      <c r="B372" s="1757" t="s">
        <v>2439</v>
      </c>
      <c r="C372" s="1764" t="s">
        <v>2440</v>
      </c>
      <c r="D372" s="1764" t="s">
        <v>1685</v>
      </c>
      <c r="E372" s="1764" t="s">
        <v>1726</v>
      </c>
      <c r="F372" s="1765"/>
      <c r="G372" s="1760" t="s">
        <v>1661</v>
      </c>
      <c r="H372" s="1761">
        <v>79</v>
      </c>
      <c r="I372" s="1763" t="s">
        <v>2356</v>
      </c>
      <c r="J372" s="1773">
        <v>45108</v>
      </c>
      <c r="K372" s="1773">
        <v>45838</v>
      </c>
      <c r="L372" s="1764">
        <f t="shared" si="142"/>
        <v>24</v>
      </c>
      <c r="M372" s="1774">
        <f t="shared" si="153"/>
        <v>70850.98</v>
      </c>
      <c r="N372" s="1775">
        <f t="shared" si="154"/>
        <v>783.22784810126586</v>
      </c>
      <c r="O372" s="1777">
        <v>61875</v>
      </c>
      <c r="P372" s="1763">
        <v>0.06</v>
      </c>
      <c r="Q372" s="1783">
        <f t="shared" si="143"/>
        <v>95</v>
      </c>
      <c r="R372" s="1763">
        <v>7505</v>
      </c>
      <c r="S372" s="1777">
        <f t="shared" si="144"/>
        <v>18.62</v>
      </c>
      <c r="T372" s="1763">
        <v>1470.98</v>
      </c>
      <c r="U372" s="1763"/>
      <c r="V372" s="1785">
        <v>492297.58333333302</v>
      </c>
      <c r="W372" s="1785">
        <f t="shared" si="145"/>
        <v>6231.6149789029496</v>
      </c>
      <c r="X372" s="1786">
        <f t="shared" si="167"/>
        <v>0.14093101885698886</v>
      </c>
      <c r="Y372" s="1789">
        <f>VLOOKUP(E372,[11]核心假设及结论!$C$25:$E$45,3,0)</f>
        <v>0.1</v>
      </c>
      <c r="Z372" s="1790">
        <f t="shared" si="163"/>
        <v>62475.57</v>
      </c>
      <c r="AA372" s="1790">
        <f t="shared" si="163"/>
        <v>0</v>
      </c>
      <c r="AB372" s="1790">
        <f t="shared" si="163"/>
        <v>0</v>
      </c>
      <c r="AC372" s="1790">
        <f t="shared" si="161"/>
        <v>0</v>
      </c>
      <c r="AD372" s="1790">
        <f t="shared" si="161"/>
        <v>0</v>
      </c>
      <c r="AE372" s="1790">
        <f t="shared" si="161"/>
        <v>0</v>
      </c>
      <c r="AF372" s="1790">
        <f t="shared" si="161"/>
        <v>0</v>
      </c>
      <c r="AG372" s="1794">
        <v>790.83</v>
      </c>
      <c r="AH372" s="1794">
        <v>0</v>
      </c>
      <c r="AI372" s="1794">
        <v>0</v>
      </c>
      <c r="AJ372" s="1794">
        <v>0</v>
      </c>
      <c r="AK372" s="1794">
        <v>0</v>
      </c>
      <c r="AL372" s="1794">
        <v>0</v>
      </c>
      <c r="AM372" s="1794">
        <v>0</v>
      </c>
      <c r="AN372" s="1764"/>
      <c r="AO372" s="1764"/>
      <c r="AP372" s="1808">
        <f t="shared" si="155"/>
        <v>1.4093101885698884</v>
      </c>
      <c r="AQ372" s="1810">
        <f>IF(AP372&gt;[11]核心假设及结论!$B$59,[11]核心假设及结论!$D$59,IF(AP372&lt;=[11]核心假设及结论!$B$58,[11]核心假设及结论!$D$57,[11]核心假设及结论!$D$58))</f>
        <v>1.0069999999999999</v>
      </c>
      <c r="AR372" s="1809">
        <f t="shared" si="156"/>
        <v>790.83</v>
      </c>
      <c r="AS372" s="1811">
        <f>AH372*(AS$2&lt;=YEAR($K372))+AR372*$AQ372*(AS$2=YEAR($K372)+1)+INDEX([11]核心假设及结论!$E$17:$E$21,MATCH($D372,[11]核心假设及结论!$B$17:$B$21,0))*(AS$2&gt;YEAR($K372)+1)*AR372</f>
        <v>796.36581000000001</v>
      </c>
      <c r="AT372" s="1809">
        <f>AI372*(AT$2&lt;=YEAR($K372))+AS372*$AQ372*(AT$2=YEAR($K372)+1)+INDEX([11]核心假设及结论!$E$17:$E$21,MATCH($D372,[11]核心假设及结论!$B$17:$B$21,0))*(AT$2&gt;YEAR($K372)+1)*AS372</f>
        <v>817.92700896131043</v>
      </c>
      <c r="AU372" s="1809">
        <f>AJ372*(AU$2&lt;=YEAR($K372))+AT372*$AQ372*(AU$2=YEAR($K372)+1)+INDEX([11]核心假设及结论!$E$17:$E$21,MATCH($D372,[11]核心假设及结论!$B$17:$B$21,0))*(AU$2&gt;YEAR($K372)+1)*AT372</f>
        <v>840.07196641000394</v>
      </c>
      <c r="AV372" s="1809">
        <f>AK372*(AV$2&lt;=YEAR($K372))+AU372*$AQ372*(AV$2=YEAR($K372)+1)+INDEX([11]核心假设及结论!$E$17:$E$21,MATCH($D372,[11]核心假设及结论!$B$17:$B$21,0))*(AV$2&gt;YEAR($K372)+1)*AU372</f>
        <v>862.81648730999768</v>
      </c>
      <c r="AW372" s="1809">
        <f>AL372*(AW$2&lt;=YEAR($K372))+AV372*$AQ372*(AW$2=YEAR($K372)+1)+INDEX([11]核心假设及结论!$E$17:$E$21,MATCH($D372,[11]核心假设及结论!$B$17:$B$21,0))*(AW$2&gt;YEAR($K372)+1)*AV372</f>
        <v>886.17680453656203</v>
      </c>
      <c r="AX372" s="1809">
        <f>AM372*(AX$2&lt;=YEAR($K372))+AW372*$AQ372*(AX$2=YEAR($K372)+1)+INDEX([11]核心假设及结论!$E$17:$E$21,MATCH($D372,[11]核心假设及结论!$B$17:$B$21,0))*(AX$2&gt;YEAR($K372)+1)*AW372</f>
        <v>910.16959046180307</v>
      </c>
      <c r="AZ372" s="1746">
        <f t="shared" si="146"/>
        <v>45838</v>
      </c>
      <c r="BA372" s="1817">
        <f t="shared" si="147"/>
        <v>45658</v>
      </c>
      <c r="BB372" s="1817">
        <f t="shared" si="148"/>
        <v>45838</v>
      </c>
      <c r="BC372" s="1841">
        <f t="shared" si="149"/>
        <v>46022</v>
      </c>
      <c r="BD372" s="1842">
        <f t="shared" si="150"/>
        <v>181</v>
      </c>
      <c r="BE372" s="1842">
        <f t="shared" si="151"/>
        <v>184</v>
      </c>
      <c r="BG372" s="1843">
        <f t="shared" si="164"/>
        <v>75.235238084909597</v>
      </c>
      <c r="BH372" s="1843">
        <f t="shared" si="165"/>
        <v>76.525879625594342</v>
      </c>
      <c r="BI372" s="1843">
        <f t="shared" si="165"/>
        <v>78.597778865337858</v>
      </c>
      <c r="BJ372" s="1843">
        <f t="shared" si="165"/>
        <v>80.725773722415695</v>
      </c>
      <c r="BK372" s="1843">
        <f t="shared" si="165"/>
        <v>82.911382957114938</v>
      </c>
      <c r="BL372" s="1843">
        <f t="shared" si="165"/>
        <v>85.156166449384344</v>
      </c>
      <c r="BM372" s="1843">
        <f t="shared" si="165"/>
        <v>42.787446489906813</v>
      </c>
      <c r="BO372" s="1739">
        <f t="shared" si="152"/>
        <v>2025</v>
      </c>
      <c r="BP372" s="1742">
        <f>_xlfn.IFNA(INDEX($AR372:$AX372,MATCH(BO372,$AR$2:$AX$2,0))*12/365*[11]核心假设及结论!$C$70*$H372,0)</f>
        <v>61619.740273972609</v>
      </c>
      <c r="BR372" s="1739">
        <f t="shared" si="157"/>
        <v>2027</v>
      </c>
      <c r="BS372" s="1742">
        <f>_xlfn.IFNA(INDEX($AR372:$AX372,MATCH(BR372,$AR$2:$AX$2,0))*12/365*[11]核心假设及结论!$C$70*$H372,0)</f>
        <v>63731.079821533342</v>
      </c>
      <c r="BU372" s="1739">
        <f t="shared" si="158"/>
        <v>2029</v>
      </c>
      <c r="BV372" s="1742">
        <f>_xlfn.IFNA(INDEX($AR372:$AX372,MATCH(BU372,$AR$2:$AX$2,0))*12/365*[11]核心假设及结论!$C$70*$H372,0)</f>
        <v>67228.769586565308</v>
      </c>
      <c r="BX372" s="1739">
        <f t="shared" si="159"/>
        <v>2031</v>
      </c>
      <c r="BY372" s="1742">
        <f>_xlfn.IFNA(INDEX($AR372:$AX372,MATCH(BX372,$AR$2:$AX$2,0))*12/365*[11]核心假设及结论!$C$70*$H372,0)</f>
        <v>70918.419596530628</v>
      </c>
      <c r="CA372" s="1739">
        <f t="shared" si="160"/>
        <v>2033</v>
      </c>
      <c r="CB372" s="1742">
        <f>_xlfn.IFNA(INDEX($AR372:$AX372,MATCH(CA372,$AR$2:$AX$2,0))*12/365*[11]核心假设及结论!$C$70*$H372,0)</f>
        <v>0</v>
      </c>
    </row>
    <row r="373" spans="1:80" ht="30" customHeight="1">
      <c r="A373" s="1763" t="s">
        <v>1662</v>
      </c>
      <c r="B373" s="1757" t="s">
        <v>2441</v>
      </c>
      <c r="C373" s="1764" t="s">
        <v>2442</v>
      </c>
      <c r="D373" s="1764" t="s">
        <v>1685</v>
      </c>
      <c r="E373" s="1764" t="s">
        <v>1888</v>
      </c>
      <c r="F373" s="1765"/>
      <c r="G373" s="1760" t="s">
        <v>1661</v>
      </c>
      <c r="H373" s="1761">
        <v>79</v>
      </c>
      <c r="I373" s="1763" t="s">
        <v>2356</v>
      </c>
      <c r="J373" s="1773">
        <v>45231</v>
      </c>
      <c r="K373" s="1773">
        <v>46326</v>
      </c>
      <c r="L373" s="1764">
        <f t="shared" si="142"/>
        <v>36</v>
      </c>
      <c r="M373" s="1774">
        <f t="shared" si="153"/>
        <v>63798.82</v>
      </c>
      <c r="N373" s="1775">
        <f t="shared" si="154"/>
        <v>699.58</v>
      </c>
      <c r="O373" s="1777">
        <v>55266.82</v>
      </c>
      <c r="P373" s="1763">
        <v>0.18</v>
      </c>
      <c r="Q373" s="1783">
        <f t="shared" si="143"/>
        <v>90</v>
      </c>
      <c r="R373" s="1763">
        <v>7110</v>
      </c>
      <c r="S373" s="1777">
        <f t="shared" si="144"/>
        <v>18</v>
      </c>
      <c r="T373" s="1763">
        <v>1422</v>
      </c>
      <c r="U373" s="1763"/>
      <c r="V373" s="1785">
        <v>194639.7</v>
      </c>
      <c r="W373" s="1785">
        <f t="shared" si="145"/>
        <v>2463.7936708860761</v>
      </c>
      <c r="X373" s="1786">
        <f t="shared" si="167"/>
        <v>0.32047326419019345</v>
      </c>
      <c r="Y373" s="1789">
        <f>VLOOKUP(E373,[11]核心假设及结论!$C$25:$E$45,3,0)</f>
        <v>0.3</v>
      </c>
      <c r="Z373" s="1790">
        <f t="shared" si="163"/>
        <v>56468.409999999996</v>
      </c>
      <c r="AA373" s="1790">
        <f t="shared" si="163"/>
        <v>57670</v>
      </c>
      <c r="AB373" s="1790">
        <f t="shared" si="163"/>
        <v>0</v>
      </c>
      <c r="AC373" s="1790">
        <f t="shared" si="161"/>
        <v>0</v>
      </c>
      <c r="AD373" s="1790">
        <f t="shared" si="161"/>
        <v>0</v>
      </c>
      <c r="AE373" s="1790">
        <f t="shared" si="161"/>
        <v>0</v>
      </c>
      <c r="AF373" s="1790">
        <f t="shared" si="161"/>
        <v>0</v>
      </c>
      <c r="AG373" s="1794">
        <v>714.79</v>
      </c>
      <c r="AH373" s="1794">
        <v>730</v>
      </c>
      <c r="AI373" s="1794">
        <v>0</v>
      </c>
      <c r="AJ373" s="1794">
        <v>0</v>
      </c>
      <c r="AK373" s="1794">
        <v>0</v>
      </c>
      <c r="AL373" s="1794">
        <v>0</v>
      </c>
      <c r="AM373" s="1794">
        <v>0</v>
      </c>
      <c r="AN373" s="1764"/>
      <c r="AO373" s="1764"/>
      <c r="AP373" s="1808">
        <f t="shared" si="155"/>
        <v>1.0682442139673116</v>
      </c>
      <c r="AQ373" s="1810">
        <f>IF(AP373&gt;[11]核心假设及结论!$B$59,[11]核心假设及结论!$D$59,IF(AP373&lt;=[11]核心假设及结论!$B$58,[11]核心假设及结论!$D$57,[11]核心假设及结论!$D$58))</f>
        <v>1.0069999999999999</v>
      </c>
      <c r="AR373" s="1809">
        <f t="shared" si="156"/>
        <v>714.79</v>
      </c>
      <c r="AS373" s="1809">
        <f>AH373*(AS$2&lt;=YEAR($K373))+AR373*$AQ373*(AS$2=YEAR($K373)+1)+INDEX([11]核心假设及结论!$E$17:$E$21,MATCH($D373,[11]核心假设及结论!$B$17:$B$21,0))*(AS$2&gt;YEAR($K373)+1)*AR373</f>
        <v>730</v>
      </c>
      <c r="AT373" s="1811">
        <f>AI373*(AT$2&lt;=YEAR($K373))+AS373*$AQ373*(AT$2=YEAR($K373)+1)+INDEX([11]核心假设及结论!$E$17:$E$21,MATCH($D373,[11]核心假设及结论!$B$17:$B$21,0))*(AT$2&gt;YEAR($K373)+1)*AS373</f>
        <v>735.1099999999999</v>
      </c>
      <c r="AU373" s="1809">
        <f>AJ373*(AU$2&lt;=YEAR($K373))+AT373*$AQ373*(AU$2=YEAR($K373)+1)+INDEX([11]核心假设及结论!$E$17:$E$21,MATCH($D373,[11]核心假设及结论!$B$17:$B$21,0))*(AU$2&gt;YEAR($K373)+1)*AT373</f>
        <v>755.01272908432475</v>
      </c>
      <c r="AV373" s="1809">
        <f>AK373*(AV$2&lt;=YEAR($K373))+AU373*$AQ373*(AV$2=YEAR($K373)+1)+INDEX([11]核心假设及结论!$E$17:$E$21,MATCH($D373,[11]核心假设及结论!$B$17:$B$21,0))*(AV$2&gt;YEAR($K373)+1)*AU373</f>
        <v>775.45431442826248</v>
      </c>
      <c r="AW373" s="1809">
        <f>AL373*(AW$2&lt;=YEAR($K373))+AV373*$AQ373*(AW$2=YEAR($K373)+1)+INDEX([11]核心假设及结论!$E$17:$E$21,MATCH($D373,[11]核心假设及结论!$B$17:$B$21,0))*(AW$2&gt;YEAR($K373)+1)*AV373</f>
        <v>796.44934529076818</v>
      </c>
      <c r="AX373" s="1809">
        <f>AM373*(AX$2&lt;=YEAR($K373))+AW373*$AQ373*(AX$2=YEAR($K373)+1)+INDEX([11]核心假设及结论!$E$17:$E$21,MATCH($D373,[11]核心假设及结论!$B$17:$B$21,0))*(AX$2&gt;YEAR($K373)+1)*AW373</f>
        <v>818.01280592755734</v>
      </c>
      <c r="AZ373" s="1746">
        <f t="shared" si="146"/>
        <v>46326</v>
      </c>
      <c r="BA373" s="1817">
        <f t="shared" si="147"/>
        <v>45658</v>
      </c>
      <c r="BB373" s="1817">
        <f t="shared" si="148"/>
        <v>45961</v>
      </c>
      <c r="BC373" s="1841">
        <f t="shared" si="149"/>
        <v>46022</v>
      </c>
      <c r="BD373" s="1842">
        <f t="shared" si="150"/>
        <v>304</v>
      </c>
      <c r="BE373" s="1842">
        <f t="shared" si="151"/>
        <v>61</v>
      </c>
      <c r="BG373" s="1843">
        <f t="shared" si="164"/>
        <v>68.003068405479439</v>
      </c>
      <c r="BH373" s="1843">
        <f t="shared" si="165"/>
        <v>69.284959199999989</v>
      </c>
      <c r="BI373" s="1843">
        <f t="shared" si="165"/>
        <v>70.003752662325567</v>
      </c>
      <c r="BJ373" s="1843">
        <f t="shared" si="165"/>
        <v>71.89906863425405</v>
      </c>
      <c r="BK373" s="1843">
        <f t="shared" si="165"/>
        <v>73.845699321420369</v>
      </c>
      <c r="BL373" s="1843">
        <f t="shared" si="165"/>
        <v>75.845034043620785</v>
      </c>
      <c r="BM373" s="1843">
        <f t="shared" si="165"/>
        <v>64.587601798869755</v>
      </c>
      <c r="BO373" s="1739">
        <f t="shared" si="152"/>
        <v>2026</v>
      </c>
      <c r="BP373" s="1742">
        <f>_xlfn.IFNA(INDEX($AR373:$AX373,MATCH(BO373,$AR$2:$AX$2,0))*12/365*[11]核心假设及结论!$C$70*$H373,0)</f>
        <v>56880</v>
      </c>
      <c r="BR373" s="1739">
        <f t="shared" si="157"/>
        <v>2029</v>
      </c>
      <c r="BS373" s="1742">
        <f>_xlfn.IFNA(INDEX($AR373:$AX373,MATCH(BR373,$AR$2:$AX$2,0))*12/365*[11]核心假设及结论!$C$70*$H373,0)</f>
        <v>60421.700554355579</v>
      </c>
      <c r="BU373" s="1739">
        <f t="shared" si="158"/>
        <v>2032</v>
      </c>
      <c r="BV373" s="1742">
        <f>_xlfn.IFNA(INDEX($AR373:$AX373,MATCH(BU373,$AR$2:$AX$2,0))*12/365*[11]核心假设及结论!$C$70*$H373,0)</f>
        <v>0</v>
      </c>
      <c r="BX373" s="1739">
        <f t="shared" si="159"/>
        <v>2035</v>
      </c>
      <c r="BY373" s="1742">
        <f>_xlfn.IFNA(INDEX($AR373:$AX373,MATCH(BX373,$AR$2:$AX$2,0))*12/365*[11]核心假设及结论!$C$70*$H373,0)</f>
        <v>0</v>
      </c>
      <c r="CA373" s="1739">
        <f t="shared" si="160"/>
        <v>2038</v>
      </c>
      <c r="CB373" s="1742">
        <f>_xlfn.IFNA(INDEX($AR373:$AX373,MATCH(CA373,$AR$2:$AX$2,0))*12/365*[11]核心假设及结论!$C$70*$H373,0)</f>
        <v>0</v>
      </c>
    </row>
    <row r="374" spans="1:80" ht="30" customHeight="1">
      <c r="A374" s="1763" t="s">
        <v>2443</v>
      </c>
      <c r="B374" s="1757" t="s">
        <v>2444</v>
      </c>
      <c r="C374" s="1764" t="s">
        <v>2353</v>
      </c>
      <c r="D374" s="1764" t="s">
        <v>1676</v>
      </c>
      <c r="E374" s="1764" t="s">
        <v>1758</v>
      </c>
      <c r="F374" s="1765"/>
      <c r="G374" s="1760" t="s">
        <v>1661</v>
      </c>
      <c r="H374" s="1761">
        <v>79</v>
      </c>
      <c r="I374" s="1763" t="s">
        <v>2356</v>
      </c>
      <c r="J374" s="1773">
        <v>45607</v>
      </c>
      <c r="K374" s="1773">
        <v>46336</v>
      </c>
      <c r="L374" s="1764">
        <f t="shared" si="142"/>
        <v>24</v>
      </c>
      <c r="M374" s="1774">
        <f t="shared" si="153"/>
        <v>27898.06</v>
      </c>
      <c r="N374" s="1775">
        <f t="shared" si="154"/>
        <v>319.38</v>
      </c>
      <c r="O374" s="1777">
        <v>25231.02</v>
      </c>
      <c r="P374" s="1763">
        <v>0.14000000000000001</v>
      </c>
      <c r="Q374" s="1783">
        <f t="shared" si="143"/>
        <v>33.76</v>
      </c>
      <c r="R374" s="1763">
        <v>2667.04</v>
      </c>
      <c r="S374" s="1777">
        <f t="shared" si="144"/>
        <v>0</v>
      </c>
      <c r="T374" s="1763">
        <v>0</v>
      </c>
      <c r="U374" s="1763"/>
      <c r="V374" s="1785">
        <v>133611.525833333</v>
      </c>
      <c r="W374" s="1785">
        <f t="shared" si="145"/>
        <v>1691.2851371307975</v>
      </c>
      <c r="X374" s="1786">
        <f t="shared" si="167"/>
        <v>0.20879980096028566</v>
      </c>
      <c r="Y374" s="1789">
        <f>VLOOKUP(E374,[11]核心假设及结论!$C$25:$E$45,3,0)</f>
        <v>0.2</v>
      </c>
      <c r="Z374" s="1790">
        <f t="shared" si="163"/>
        <v>25231.02</v>
      </c>
      <c r="AA374" s="1790">
        <f t="shared" si="163"/>
        <v>25999.690000000002</v>
      </c>
      <c r="AB374" s="1790">
        <f t="shared" si="163"/>
        <v>0</v>
      </c>
      <c r="AC374" s="1790">
        <f t="shared" si="161"/>
        <v>0</v>
      </c>
      <c r="AD374" s="1790">
        <f t="shared" si="161"/>
        <v>0</v>
      </c>
      <c r="AE374" s="1790">
        <f t="shared" si="161"/>
        <v>0</v>
      </c>
      <c r="AF374" s="1790">
        <f t="shared" si="161"/>
        <v>0</v>
      </c>
      <c r="AG374" s="1794">
        <v>319.38</v>
      </c>
      <c r="AH374" s="1794">
        <v>329.11</v>
      </c>
      <c r="AI374" s="1794">
        <v>0</v>
      </c>
      <c r="AJ374" s="1794">
        <v>0</v>
      </c>
      <c r="AK374" s="1794">
        <v>0</v>
      </c>
      <c r="AL374" s="1794">
        <v>0</v>
      </c>
      <c r="AM374" s="1794">
        <v>0</v>
      </c>
      <c r="AN374" s="1764"/>
      <c r="AO374" s="1764"/>
      <c r="AP374" s="1808">
        <f t="shared" si="155"/>
        <v>1.0439990048014283</v>
      </c>
      <c r="AQ374" s="1808">
        <f>IF(AP374&gt;[11]核心假设及结论!$B$65,[11]核心假设及结论!$D$65,IF(AP374&lt;=[11]核心假设及结论!$B$64,[11]核心假设及结论!$D$63,[11]核心假设及结论!$D$64))</f>
        <v>0.754</v>
      </c>
      <c r="AR374" s="1809">
        <f t="shared" si="156"/>
        <v>319.38</v>
      </c>
      <c r="AS374" s="1809">
        <f>AH374*(AS$2&lt;=YEAR($K374))+AR374*$AQ374*(AS$2=YEAR($K374)+1)+INDEX([11]核心假设及结论!$E$17:$E$21,MATCH($D374,[11]核心假设及结论!$B$17:$B$21,0))*(AS$2&gt;YEAR($K374)+1)*AR374</f>
        <v>329.11</v>
      </c>
      <c r="AT374" s="1811">
        <f>AI374*(AT$2&lt;=YEAR($K374))+AS374*$AQ374*(AT$2=YEAR($K374)+1)+INDEX([11]核心假设及结论!$E$17:$E$21,MATCH($D374,[11]核心假设及结论!$B$17:$B$21,0))*(AT$2&gt;YEAR($K374)+1)*AS374</f>
        <v>248.14894000000001</v>
      </c>
      <c r="AU374" s="1809">
        <f>AJ374*(AU$2&lt;=YEAR($K374))+AT374*$AQ374*(AU$2=YEAR($K374)+1)+INDEX([11]核心假设及结论!$E$17:$E$21,MATCH($D374,[11]核心假设及结论!$B$17:$B$21,0))*(AU$2&gt;YEAR($K374)+1)*AT374</f>
        <v>256.72871131291186</v>
      </c>
      <c r="AV374" s="1809">
        <f>AK374*(AV$2&lt;=YEAR($K374))+AU374*$AQ374*(AV$2=YEAR($K374)+1)+INDEX([11]核心假设及结论!$E$17:$E$21,MATCH($D374,[11]核心假设及结论!$B$17:$B$21,0))*(AV$2&gt;YEAR($K374)+1)*AU374</f>
        <v>265.60512896967617</v>
      </c>
      <c r="AW374" s="1809">
        <f>AL374*(AW$2&lt;=YEAR($K374))+AV374*$AQ374*(AW$2=YEAR($K374)+1)+INDEX([11]核心假设及结论!$E$17:$E$21,MATCH($D374,[11]核心假设及结论!$B$17:$B$21,0))*(AW$2&gt;YEAR($K374)+1)*AV374</f>
        <v>274.78844954358749</v>
      </c>
      <c r="AX374" s="1809">
        <f>AM374*(AX$2&lt;=YEAR($K374))+AW374*$AQ374*(AX$2=YEAR($K374)+1)+INDEX([11]核心假设及结论!$E$17:$E$21,MATCH($D374,[11]核心假设及结论!$B$17:$B$21,0))*(AX$2&gt;YEAR($K374)+1)*AW374</f>
        <v>284.28928422985939</v>
      </c>
      <c r="AZ374" s="1746">
        <f t="shared" si="146"/>
        <v>46336</v>
      </c>
      <c r="BA374" s="1817">
        <f t="shared" si="147"/>
        <v>45658</v>
      </c>
      <c r="BB374" s="1817">
        <f t="shared" si="148"/>
        <v>45971</v>
      </c>
      <c r="BC374" s="1841">
        <f t="shared" si="149"/>
        <v>46022</v>
      </c>
      <c r="BD374" s="1842">
        <f t="shared" si="150"/>
        <v>314</v>
      </c>
      <c r="BE374" s="1842">
        <f t="shared" si="151"/>
        <v>51</v>
      </c>
      <c r="BG374" s="1843">
        <f t="shared" si="164"/>
        <v>30.406107846575342</v>
      </c>
      <c r="BH374" s="1843">
        <f t="shared" si="165"/>
        <v>30.127215581128777</v>
      </c>
      <c r="BI374" s="1843">
        <f t="shared" si="165"/>
        <v>23.638167397873058</v>
      </c>
      <c r="BJ374" s="1843">
        <f t="shared" si="165"/>
        <v>24.45545910393507</v>
      </c>
      <c r="BK374" s="1843">
        <f t="shared" si="165"/>
        <v>25.301008742245156</v>
      </c>
      <c r="BL374" s="1843">
        <f t="shared" si="165"/>
        <v>26.175793333283291</v>
      </c>
      <c r="BM374" s="1843">
        <f t="shared" si="165"/>
        <v>23.184920497334438</v>
      </c>
      <c r="BO374" s="1739">
        <f t="shared" si="152"/>
        <v>2026</v>
      </c>
      <c r="BP374" s="1742">
        <f>_xlfn.IFNA(INDEX($AR374:$AX374,MATCH(BO374,$AR$2:$AX$2,0))*12/365*[11]核心假设及结论!$C$70*$H374,0)</f>
        <v>25643.529863013697</v>
      </c>
      <c r="BR374" s="1739">
        <f t="shared" si="157"/>
        <v>2028</v>
      </c>
      <c r="BS374" s="1742">
        <f>_xlfn.IFNA(INDEX($AR374:$AX374,MATCH(BR374,$AR$2:$AX$2,0))*12/365*[11]核心假设及结论!$C$70*$H374,0)</f>
        <v>20003.738492436201</v>
      </c>
      <c r="BU374" s="1739">
        <f t="shared" si="158"/>
        <v>2030</v>
      </c>
      <c r="BV374" s="1742">
        <f>_xlfn.IFNA(INDEX($AR374:$AX374,MATCH(BU374,$AR$2:$AX$2,0))*12/365*[11]核心假设及结论!$C$70*$H374,0)</f>
        <v>21410.913712382542</v>
      </c>
      <c r="BX374" s="1739">
        <f t="shared" si="159"/>
        <v>2032</v>
      </c>
      <c r="BY374" s="1742">
        <f>_xlfn.IFNA(INDEX($AR374:$AX374,MATCH(BX374,$AR$2:$AX$2,0))*12/365*[11]核心假设及结论!$C$70*$H374,0)</f>
        <v>0</v>
      </c>
      <c r="CA374" s="1739">
        <f t="shared" si="160"/>
        <v>2034</v>
      </c>
      <c r="CB374" s="1742">
        <f>_xlfn.IFNA(INDEX($AR374:$AX374,MATCH(CA374,$AR$2:$AX$2,0))*12/365*[11]核心假设及结论!$C$70*$H374,0)</f>
        <v>0</v>
      </c>
    </row>
    <row r="375" spans="1:80" ht="30" customHeight="1">
      <c r="A375" s="1763" t="s">
        <v>1687</v>
      </c>
      <c r="B375" s="1757" t="s">
        <v>2445</v>
      </c>
      <c r="C375" s="1764" t="s">
        <v>2446</v>
      </c>
      <c r="D375" s="1764" t="s">
        <v>1676</v>
      </c>
      <c r="E375" s="1764" t="s">
        <v>1758</v>
      </c>
      <c r="F375" s="1765"/>
      <c r="G375" s="1763" t="s">
        <v>1682</v>
      </c>
      <c r="H375" s="1761">
        <v>78</v>
      </c>
      <c r="I375" s="1763" t="s">
        <v>2356</v>
      </c>
      <c r="J375" s="1773">
        <v>45511</v>
      </c>
      <c r="K375" s="1773">
        <v>46240</v>
      </c>
      <c r="L375" s="1764">
        <f t="shared" si="142"/>
        <v>24</v>
      </c>
      <c r="M375" s="1774">
        <f t="shared" si="153"/>
        <v>16965</v>
      </c>
      <c r="N375" s="1775">
        <f t="shared" si="154"/>
        <v>109.5</v>
      </c>
      <c r="O375" s="1777">
        <v>8541</v>
      </c>
      <c r="P375" s="1763">
        <v>0</v>
      </c>
      <c r="Q375" s="1783">
        <f t="shared" si="143"/>
        <v>90</v>
      </c>
      <c r="R375" s="1763">
        <v>7020</v>
      </c>
      <c r="S375" s="1777">
        <f t="shared" si="144"/>
        <v>18</v>
      </c>
      <c r="T375" s="1763">
        <v>1404</v>
      </c>
      <c r="U375" s="1763"/>
      <c r="V375" s="1785">
        <v>82778</v>
      </c>
      <c r="W375" s="1785">
        <f t="shared" si="145"/>
        <v>1061.2564102564102</v>
      </c>
      <c r="X375" s="1786">
        <f t="shared" si="167"/>
        <v>0.18798473024233492</v>
      </c>
      <c r="Y375" s="1789">
        <f>VLOOKUP(E375,[11]核心假设及结论!$C$25:$E$45,3,0)</f>
        <v>0.2</v>
      </c>
      <c r="Z375" s="1790">
        <f t="shared" si="163"/>
        <v>8541</v>
      </c>
      <c r="AA375" s="1790">
        <f t="shared" si="163"/>
        <v>8541</v>
      </c>
      <c r="AB375" s="1790">
        <f t="shared" si="163"/>
        <v>0</v>
      </c>
      <c r="AC375" s="1790">
        <f t="shared" si="161"/>
        <v>0</v>
      </c>
      <c r="AD375" s="1790">
        <f t="shared" si="161"/>
        <v>0</v>
      </c>
      <c r="AE375" s="1790">
        <f t="shared" si="161"/>
        <v>0</v>
      </c>
      <c r="AF375" s="1790">
        <f t="shared" si="161"/>
        <v>0</v>
      </c>
      <c r="AG375" s="1794">
        <v>109.5</v>
      </c>
      <c r="AH375" s="1794">
        <v>109.5</v>
      </c>
      <c r="AI375" s="1794">
        <v>0</v>
      </c>
      <c r="AJ375" s="1794">
        <v>0</v>
      </c>
      <c r="AK375" s="1794">
        <v>0</v>
      </c>
      <c r="AL375" s="1794">
        <v>0</v>
      </c>
      <c r="AM375" s="1794">
        <v>0</v>
      </c>
      <c r="AN375" s="1764"/>
      <c r="AO375" s="1764"/>
      <c r="AP375" s="1808">
        <f t="shared" si="155"/>
        <v>0.93992365121167454</v>
      </c>
      <c r="AQ375" s="1808">
        <f>IF(AP375&gt;[11]核心假设及结论!$B$65,[11]核心假设及结论!$D$65,IF(AP375&lt;=[11]核心假设及结论!$B$64,[11]核心假设及结论!$D$63,[11]核心假设及结论!$D$64))</f>
        <v>1</v>
      </c>
      <c r="AR375" s="1809">
        <f t="shared" si="156"/>
        <v>109.5</v>
      </c>
      <c r="AS375" s="1809">
        <f>AH375*(AS$2&lt;=YEAR($K375))+AR375*$AQ375*(AS$2=YEAR($K375)+1)+INDEX([11]核心假设及结论!$E$17:$E$21,MATCH($D375,[11]核心假设及结论!$B$17:$B$21,0))*(AS$2&gt;YEAR($K375)+1)*AR375</f>
        <v>109.5</v>
      </c>
      <c r="AT375" s="1811">
        <f>AI375*(AT$2&lt;=YEAR($K375))+AS375*$AQ375*(AT$2=YEAR($K375)+1)+INDEX([11]核心假设及结论!$E$17:$E$21,MATCH($D375,[11]核心假设及结论!$B$17:$B$21,0))*(AT$2&gt;YEAR($K375)+1)*AS375</f>
        <v>109.5</v>
      </c>
      <c r="AU375" s="1809">
        <f>AJ375*(AU$2&lt;=YEAR($K375))+AT375*$AQ375*(AU$2=YEAR($K375)+1)+INDEX([11]核心假设及结论!$E$17:$E$21,MATCH($D375,[11]核心假设及结论!$B$17:$B$21,0))*(AU$2&gt;YEAR($K375)+1)*AT375</f>
        <v>113.28597208097624</v>
      </c>
      <c r="AV375" s="1809">
        <f>AK375*(AV$2&lt;=YEAR($K375))+AU375*$AQ375*(AV$2=YEAR($K375)+1)+INDEX([11]核心假设及结论!$E$17:$E$21,MATCH($D375,[11]核心假设及结论!$B$17:$B$21,0))*(AV$2&gt;YEAR($K375)+1)*AU375</f>
        <v>117.20284447791532</v>
      </c>
      <c r="AW375" s="1809">
        <f>AL375*(AW$2&lt;=YEAR($K375))+AV375*$AQ375*(AW$2=YEAR($K375)+1)+INDEX([11]核心假设及结论!$E$17:$E$21,MATCH($D375,[11]核心假设及结论!$B$17:$B$21,0))*(AW$2&gt;YEAR($K375)+1)*AV375</f>
        <v>121.25514308069512</v>
      </c>
      <c r="AX375" s="1809">
        <f>AM375*(AX$2&lt;=YEAR($K375))+AW375*$AQ375*(AX$2=YEAR($K375)+1)+INDEX([11]核心假设及结论!$E$17:$E$21,MATCH($D375,[11]核心假设及结论!$B$17:$B$21,0))*(AX$2&gt;YEAR($K375)+1)*AW375</f>
        <v>125.44755026223203</v>
      </c>
      <c r="AZ375" s="1746">
        <f t="shared" si="146"/>
        <v>46240</v>
      </c>
      <c r="BA375" s="1817">
        <f t="shared" si="147"/>
        <v>45658</v>
      </c>
      <c r="BB375" s="1817">
        <f t="shared" si="148"/>
        <v>45875</v>
      </c>
      <c r="BC375" s="1841">
        <f t="shared" si="149"/>
        <v>46022</v>
      </c>
      <c r="BD375" s="1842">
        <f t="shared" si="150"/>
        <v>218</v>
      </c>
      <c r="BE375" s="1842">
        <f t="shared" si="151"/>
        <v>147</v>
      </c>
      <c r="BG375" s="1843">
        <f t="shared" si="164"/>
        <v>10.2492</v>
      </c>
      <c r="BH375" s="1843">
        <f t="shared" si="165"/>
        <v>10.2492</v>
      </c>
      <c r="BI375" s="1843">
        <f t="shared" si="165"/>
        <v>10.39191766316868</v>
      </c>
      <c r="BJ375" s="1843">
        <f t="shared" si="165"/>
        <v>10.751219125639551</v>
      </c>
      <c r="BK375" s="1843">
        <f t="shared" si="165"/>
        <v>11.122943467613334</v>
      </c>
      <c r="BL375" s="1843">
        <f t="shared" si="165"/>
        <v>11.507520211235811</v>
      </c>
      <c r="BM375" s="1843">
        <f t="shared" si="165"/>
        <v>7.0129648591528548</v>
      </c>
      <c r="BO375" s="1739">
        <f t="shared" si="152"/>
        <v>2026</v>
      </c>
      <c r="BP375" s="1742">
        <f>_xlfn.IFNA(INDEX($AR375:$AX375,MATCH(BO375,$AR$2:$AX$2,0))*12/365*[11]核心假设及结论!$C$70*$H375,0)</f>
        <v>8424</v>
      </c>
      <c r="BR375" s="1739">
        <f t="shared" si="157"/>
        <v>2028</v>
      </c>
      <c r="BS375" s="1742">
        <f>_xlfn.IFNA(INDEX($AR375:$AX375,MATCH(BR375,$AR$2:$AX$2,0))*12/365*[11]核心假设及结论!$C$70*$H375,0)</f>
        <v>8715.260537078937</v>
      </c>
      <c r="BU375" s="1739">
        <f t="shared" si="158"/>
        <v>2030</v>
      </c>
      <c r="BV375" s="1742">
        <f>_xlfn.IFNA(INDEX($AR375:$AX375,MATCH(BU375,$AR$2:$AX$2,0))*12/365*[11]核心假设及结论!$C$70*$H375,0)</f>
        <v>9328.3408704271751</v>
      </c>
      <c r="BX375" s="1739">
        <f t="shared" si="159"/>
        <v>2032</v>
      </c>
      <c r="BY375" s="1742">
        <f>_xlfn.IFNA(INDEX($AR375:$AX375,MATCH(BX375,$AR$2:$AX$2,0))*12/365*[11]核心假设及结论!$C$70*$H375,0)</f>
        <v>0</v>
      </c>
      <c r="CA375" s="1739">
        <f t="shared" si="160"/>
        <v>2034</v>
      </c>
      <c r="CB375" s="1742">
        <f>_xlfn.IFNA(INDEX($AR375:$AX375,MATCH(CA375,$AR$2:$AX$2,0))*12/365*[11]核心假设及结论!$C$70*$H375,0)</f>
        <v>0</v>
      </c>
    </row>
    <row r="376" spans="1:80" ht="30" customHeight="1">
      <c r="A376" s="1763" t="s">
        <v>1662</v>
      </c>
      <c r="B376" s="1757" t="s">
        <v>2447</v>
      </c>
      <c r="C376" s="1764" t="s">
        <v>2448</v>
      </c>
      <c r="D376" s="1764" t="s">
        <v>1685</v>
      </c>
      <c r="E376" s="1764" t="s">
        <v>1718</v>
      </c>
      <c r="F376" s="1765"/>
      <c r="G376" s="1760" t="s">
        <v>1661</v>
      </c>
      <c r="H376" s="1761">
        <v>77</v>
      </c>
      <c r="I376" s="1763" t="s">
        <v>2356</v>
      </c>
      <c r="J376" s="1773">
        <v>45632</v>
      </c>
      <c r="K376" s="1773">
        <v>46726</v>
      </c>
      <c r="L376" s="1764">
        <f t="shared" si="142"/>
        <v>36</v>
      </c>
      <c r="M376" s="1774">
        <f t="shared" si="153"/>
        <v>67168.010000000009</v>
      </c>
      <c r="N376" s="1775">
        <f t="shared" si="154"/>
        <v>764.58454545454549</v>
      </c>
      <c r="O376" s="1777">
        <v>58873.01</v>
      </c>
      <c r="P376" s="1763">
        <v>0.15</v>
      </c>
      <c r="Q376" s="1783">
        <f t="shared" si="143"/>
        <v>90</v>
      </c>
      <c r="R376" s="1763">
        <v>6930</v>
      </c>
      <c r="S376" s="1777">
        <f t="shared" si="144"/>
        <v>17.727272727272727</v>
      </c>
      <c r="T376" s="1763">
        <v>1365</v>
      </c>
      <c r="U376" s="1763"/>
      <c r="V376" s="1785"/>
      <c r="W376" s="1785">
        <f t="shared" si="145"/>
        <v>0</v>
      </c>
      <c r="X376" s="1786" t="e">
        <f>(N376+Q376+S376)*H376/V376</f>
        <v>#DIV/0!</v>
      </c>
      <c r="Y376" s="1789">
        <f>VLOOKUP(E376,[11]核心假设及结论!$C$25:$E$45,3,0)</f>
        <v>0.2</v>
      </c>
      <c r="Z376" s="1790">
        <f t="shared" si="163"/>
        <v>70262.5</v>
      </c>
      <c r="AA376" s="1790">
        <f t="shared" si="163"/>
        <v>72604.84</v>
      </c>
      <c r="AB376" s="1790">
        <f t="shared" si="163"/>
        <v>74946.41</v>
      </c>
      <c r="AC376" s="1790">
        <f t="shared" si="161"/>
        <v>0</v>
      </c>
      <c r="AD376" s="1790">
        <f t="shared" si="161"/>
        <v>0</v>
      </c>
      <c r="AE376" s="1790">
        <f t="shared" si="161"/>
        <v>0</v>
      </c>
      <c r="AF376" s="1790">
        <f t="shared" si="161"/>
        <v>0</v>
      </c>
      <c r="AG376" s="1794">
        <v>912.5</v>
      </c>
      <c r="AH376" s="1794">
        <v>942.92</v>
      </c>
      <c r="AI376" s="1794">
        <v>973.33</v>
      </c>
      <c r="AJ376" s="1794">
        <v>0</v>
      </c>
      <c r="AK376" s="1794">
        <v>0</v>
      </c>
      <c r="AL376" s="1794">
        <v>0</v>
      </c>
      <c r="AM376" s="1794">
        <v>0</v>
      </c>
      <c r="AN376" s="1764"/>
      <c r="AO376" s="1764"/>
      <c r="AP376" s="1808">
        <f t="shared" si="155"/>
        <v>1.25</v>
      </c>
      <c r="AQ376" s="1810">
        <f>IF(AP376&gt;[11]核心假设及结论!$B$59,[11]核心假设及结论!$D$59,IF(AP376&lt;=[11]核心假设及结论!$B$58,[11]核心假设及结论!$D$57,[11]核心假设及结论!$D$58))</f>
        <v>1.0069999999999999</v>
      </c>
      <c r="AR376" s="1809">
        <f t="shared" si="156"/>
        <v>912.5</v>
      </c>
      <c r="AS376" s="1809">
        <f>AH376*(AS$2&lt;=YEAR($K376))+AR376*$AQ376*(AS$2=YEAR($K376)+1)+INDEX([11]核心假设及结论!$E$17:$E$21,MATCH($D376,[11]核心假设及结论!$B$17:$B$21,0))*(AS$2&gt;YEAR($K376)+1)*AR376</f>
        <v>942.92</v>
      </c>
      <c r="AT376" s="1809">
        <f>AI376*(AT$2&lt;=YEAR($K376))+AS376*$AQ376*(AT$2=YEAR($K376)+1)+INDEX([11]核心假设及结论!$E$17:$E$21,MATCH($D376,[11]核心假设及结论!$B$17:$B$21,0))*(AT$2&gt;YEAR($K376)+1)*AS376</f>
        <v>973.33</v>
      </c>
      <c r="AU376" s="1811">
        <f>AJ376*(AU$2&lt;=YEAR($K376))+AT376*$AQ376*(AU$2=YEAR($K376)+1)+INDEX([11]核心假设及结论!$E$17:$E$21,MATCH($D376,[11]核心假设及结论!$B$17:$B$21,0))*(AU$2&gt;YEAR($K376)+1)*AT376</f>
        <v>980.14330999999993</v>
      </c>
      <c r="AV376" s="1809">
        <f>AK376*(AV$2&lt;=YEAR($K376))+AU376*$AQ376*(AV$2=YEAR($K376)+1)+INDEX([11]核心假设及结论!$E$17:$E$21,MATCH($D376,[11]核心假设及结论!$B$17:$B$21,0))*(AV$2&gt;YEAR($K376)+1)*AU376</f>
        <v>1006.6801912323916</v>
      </c>
      <c r="AW376" s="1809">
        <f>AL376*(AW$2&lt;=YEAR($K376))+AV376*$AQ376*(AW$2=YEAR($K376)+1)+INDEX([11]核心假设及结论!$E$17:$E$21,MATCH($D376,[11]核心假设及结论!$B$17:$B$21,0))*(AW$2&gt;YEAR($K376)+1)*AV376</f>
        <v>1033.9355450170697</v>
      </c>
      <c r="AX376" s="1809">
        <f>AM376*(AX$2&lt;=YEAR($K376))+AW376*$AQ376*(AX$2=YEAR($K376)+1)+INDEX([11]核心假设及结论!$E$17:$E$21,MATCH($D376,[11]核心假设及结论!$B$17:$B$21,0))*(AX$2&gt;YEAR($K376)+1)*AW376</f>
        <v>1061.9288236326897</v>
      </c>
      <c r="AZ376" s="1746">
        <f t="shared" si="146"/>
        <v>46726</v>
      </c>
      <c r="BA376" s="1817">
        <f t="shared" si="147"/>
        <v>45658</v>
      </c>
      <c r="BB376" s="1817">
        <f t="shared" si="148"/>
        <v>45996</v>
      </c>
      <c r="BC376" s="1841">
        <f t="shared" si="149"/>
        <v>46022</v>
      </c>
      <c r="BD376" s="1842">
        <f t="shared" si="150"/>
        <v>339</v>
      </c>
      <c r="BE376" s="1842">
        <f t="shared" si="151"/>
        <v>26</v>
      </c>
      <c r="BG376" s="1843">
        <f t="shared" si="164"/>
        <v>84.515221939726018</v>
      </c>
      <c r="BH376" s="1843">
        <f t="shared" si="165"/>
        <v>87.325964120547951</v>
      </c>
      <c r="BI376" s="1843">
        <f t="shared" si="165"/>
        <v>89.980536646421911</v>
      </c>
      <c r="BJ376" s="1843">
        <f t="shared" si="165"/>
        <v>90.739905415158063</v>
      </c>
      <c r="BK376" s="1843">
        <f t="shared" si="165"/>
        <v>93.19664216831768</v>
      </c>
      <c r="BL376" s="1843">
        <f t="shared" si="165"/>
        <v>95.719893818607844</v>
      </c>
      <c r="BM376" s="1843">
        <f t="shared" si="165"/>
        <v>91.132695068331287</v>
      </c>
      <c r="BO376" s="1739">
        <f t="shared" si="152"/>
        <v>2027</v>
      </c>
      <c r="BP376" s="1742">
        <f>_xlfn.IFNA(INDEX($AR376:$AX376,MATCH(BO376,$AR$2:$AX$2,0))*12/365*[11]核心假设及结论!$C$70*$H376,0)</f>
        <v>73919.746849315081</v>
      </c>
      <c r="BR376" s="1739">
        <f t="shared" si="157"/>
        <v>2030</v>
      </c>
      <c r="BS376" s="1742">
        <f>_xlfn.IFNA(INDEX($AR376:$AX376,MATCH(BR376,$AR$2:$AX$2,0))*12/365*[11]核心假设及结论!$C$70*$H376,0)</f>
        <v>78522.447418830605</v>
      </c>
      <c r="BU376" s="1739">
        <f t="shared" si="158"/>
        <v>2033</v>
      </c>
      <c r="BV376" s="1742">
        <f>_xlfn.IFNA(INDEX($AR376:$AX376,MATCH(BU376,$AR$2:$AX$2,0))*12/365*[11]核心假设及结论!$C$70*$H376,0)</f>
        <v>0</v>
      </c>
      <c r="BX376" s="1739">
        <f t="shared" si="159"/>
        <v>2036</v>
      </c>
      <c r="BY376" s="1742">
        <f>_xlfn.IFNA(INDEX($AR376:$AX376,MATCH(BX376,$AR$2:$AX$2,0))*12/365*[11]核心假设及结论!$C$70*$H376,0)</f>
        <v>0</v>
      </c>
      <c r="CA376" s="1739">
        <f t="shared" si="160"/>
        <v>2039</v>
      </c>
      <c r="CB376" s="1742">
        <f>_xlfn.IFNA(INDEX($AR376:$AX376,MATCH(CA376,$AR$2:$AX$2,0))*12/365*[11]核心假设及结论!$C$70*$H376,0)</f>
        <v>0</v>
      </c>
    </row>
    <row r="377" spans="1:80" ht="30" customHeight="1">
      <c r="A377" s="1763" t="s">
        <v>1687</v>
      </c>
      <c r="B377" s="1757" t="s">
        <v>2449</v>
      </c>
      <c r="C377" s="1764" t="s">
        <v>2450</v>
      </c>
      <c r="D377" s="1764" t="s">
        <v>1685</v>
      </c>
      <c r="E377" s="1764" t="s">
        <v>1871</v>
      </c>
      <c r="F377" s="1765"/>
      <c r="G377" s="1760" t="s">
        <v>1661</v>
      </c>
      <c r="H377" s="1761">
        <v>76</v>
      </c>
      <c r="I377" s="1763" t="s">
        <v>2356</v>
      </c>
      <c r="J377" s="1773">
        <v>45408</v>
      </c>
      <c r="K377" s="1773">
        <v>46502</v>
      </c>
      <c r="L377" s="1764">
        <f t="shared" si="142"/>
        <v>36</v>
      </c>
      <c r="M377" s="1774">
        <f t="shared" si="153"/>
        <v>74470.880000000005</v>
      </c>
      <c r="N377" s="1775">
        <f t="shared" si="154"/>
        <v>866.88000000000011</v>
      </c>
      <c r="O377" s="1777">
        <v>65882.880000000005</v>
      </c>
      <c r="P377" s="1763" t="s">
        <v>2451</v>
      </c>
      <c r="Q377" s="1783">
        <f t="shared" si="143"/>
        <v>95</v>
      </c>
      <c r="R377" s="1763">
        <v>7220</v>
      </c>
      <c r="S377" s="1777">
        <f t="shared" si="144"/>
        <v>18</v>
      </c>
      <c r="T377" s="1763">
        <v>1368</v>
      </c>
      <c r="U377" s="1763"/>
      <c r="V377" s="1785">
        <v>843728.54249999998</v>
      </c>
      <c r="W377" s="1785">
        <f t="shared" si="145"/>
        <v>11101.69134868421</v>
      </c>
      <c r="X377" s="1786">
        <f>(N377+Q377)*H377/V377</f>
        <v>8.6642653789325855E-2</v>
      </c>
      <c r="Y377" s="1789">
        <f>VLOOKUP(E377,[11]核心假设及结论!$C$25:$E$45,3,0)</f>
        <v>0.2</v>
      </c>
      <c r="Z377" s="1790">
        <f t="shared" si="163"/>
        <v>65882.880000000005</v>
      </c>
      <c r="AA377" s="1790">
        <f t="shared" si="163"/>
        <v>67038.080000000002</v>
      </c>
      <c r="AB377" s="1790">
        <f t="shared" si="163"/>
        <v>68194.039999999994</v>
      </c>
      <c r="AC377" s="1790">
        <f t="shared" si="161"/>
        <v>0</v>
      </c>
      <c r="AD377" s="1790">
        <f t="shared" si="161"/>
        <v>0</v>
      </c>
      <c r="AE377" s="1790">
        <f t="shared" si="161"/>
        <v>0</v>
      </c>
      <c r="AF377" s="1790">
        <f t="shared" si="161"/>
        <v>0</v>
      </c>
      <c r="AG377" s="1794">
        <v>866.88</v>
      </c>
      <c r="AH377" s="1794">
        <v>882.08</v>
      </c>
      <c r="AI377" s="1794">
        <v>897.29</v>
      </c>
      <c r="AJ377" s="1794">
        <v>0</v>
      </c>
      <c r="AK377" s="1794">
        <v>0</v>
      </c>
      <c r="AL377" s="1794">
        <v>0</v>
      </c>
      <c r="AM377" s="1794">
        <v>0</v>
      </c>
      <c r="AN377" s="1764"/>
      <c r="AO377" s="1764"/>
      <c r="AP377" s="1808">
        <f t="shared" si="155"/>
        <v>0.43321326894662926</v>
      </c>
      <c r="AQ377" s="1810">
        <f>IF(AP377&gt;[11]核心假设及结论!$B$59,[11]核心假设及结论!$D$59,IF(AP377&lt;=[11]核心假设及结论!$B$58,[11]核心假设及结论!$D$57,[11]核心假设及结论!$D$58))</f>
        <v>1.0342640124442799</v>
      </c>
      <c r="AR377" s="1809">
        <f t="shared" si="156"/>
        <v>866.88</v>
      </c>
      <c r="AS377" s="1809">
        <f>AH377*(AS$2&lt;=YEAR($K377))+AR377*$AQ377*(AS$2=YEAR($K377)+1)+INDEX([11]核心假设及结论!$E$17:$E$21,MATCH($D377,[11]核心假设及结论!$B$17:$B$21,0))*(AS$2&gt;YEAR($K377)+1)*AR377</f>
        <v>882.08</v>
      </c>
      <c r="AT377" s="1809">
        <f>AI377*(AT$2&lt;=YEAR($K377))+AS377*$AQ377*(AT$2=YEAR($K377)+1)+INDEX([11]核心假设及结论!$E$17:$E$21,MATCH($D377,[11]核心假设及结论!$B$17:$B$21,0))*(AT$2&gt;YEAR($K377)+1)*AS377</f>
        <v>897.29</v>
      </c>
      <c r="AU377" s="1811">
        <f>AJ377*(AU$2&lt;=YEAR($K377))+AT377*$AQ377*(AU$2=YEAR($K377)+1)+INDEX([11]核心假设及结论!$E$17:$E$21,MATCH($D377,[11]核心假设及结论!$B$17:$B$21,0))*(AU$2&gt;YEAR($K377)+1)*AT377</f>
        <v>928.03475572612786</v>
      </c>
      <c r="AV377" s="1809">
        <f>AK377*(AV$2&lt;=YEAR($K377))+AU377*$AQ377*(AV$2=YEAR($K377)+1)+INDEX([11]核心假设及结论!$E$17:$E$21,MATCH($D377,[11]核心假设及结论!$B$17:$B$21,0))*(AV$2&gt;YEAR($K377)+1)*AU377</f>
        <v>953.16082437443185</v>
      </c>
      <c r="AW377" s="1809">
        <f>AL377*(AW$2&lt;=YEAR($K377))+AV377*$AQ377*(AW$2=YEAR($K377)+1)+INDEX([11]核心假设及结论!$E$17:$E$21,MATCH($D377,[11]核心假设及结论!$B$17:$B$21,0))*(AW$2&gt;YEAR($K377)+1)*AV377</f>
        <v>978.9671685424014</v>
      </c>
      <c r="AX377" s="1809">
        <f>AM377*(AX$2&lt;=YEAR($K377))+AW377*$AQ377*(AX$2=YEAR($K377)+1)+INDEX([11]核心假设及结论!$E$17:$E$21,MATCH($D377,[11]核心假设及结论!$B$17:$B$21,0))*(AX$2&gt;YEAR($K377)+1)*AW377</f>
        <v>1005.472206343476</v>
      </c>
      <c r="AZ377" s="1746">
        <f t="shared" si="146"/>
        <v>46502</v>
      </c>
      <c r="BA377" s="1817">
        <f t="shared" si="147"/>
        <v>45658</v>
      </c>
      <c r="BB377" s="1817">
        <f t="shared" si="148"/>
        <v>45772</v>
      </c>
      <c r="BC377" s="1841">
        <f t="shared" si="149"/>
        <v>46022</v>
      </c>
      <c r="BD377" s="1842">
        <f t="shared" si="150"/>
        <v>115</v>
      </c>
      <c r="BE377" s="1842">
        <f t="shared" si="151"/>
        <v>250</v>
      </c>
      <c r="BG377" s="1843">
        <f t="shared" si="164"/>
        <v>80.0089354520548</v>
      </c>
      <c r="BH377" s="1843">
        <f t="shared" si="165"/>
        <v>81.395800109589047</v>
      </c>
      <c r="BI377" s="1843">
        <f t="shared" si="165"/>
        <v>83.753342330289627</v>
      </c>
      <c r="BJ377" s="1843">
        <f t="shared" si="165"/>
        <v>86.206288530938835</v>
      </c>
      <c r="BK377" s="1843">
        <f t="shared" si="165"/>
        <v>88.540279914536413</v>
      </c>
      <c r="BL377" s="1843">
        <f t="shared" si="165"/>
        <v>90.937462926860178</v>
      </c>
      <c r="BM377" s="1843">
        <f t="shared" si="165"/>
        <v>28.891486301727056</v>
      </c>
      <c r="BO377" s="1739">
        <f t="shared" si="152"/>
        <v>2027</v>
      </c>
      <c r="BP377" s="1742">
        <f>_xlfn.IFNA(INDEX($AR377:$AX377,MATCH(BO377,$AR$2:$AX$2,0))*12/365*[11]核心假设及结论!$C$70*$H377,0)</f>
        <v>67259.875068493158</v>
      </c>
      <c r="BR377" s="1739">
        <f t="shared" si="157"/>
        <v>2030</v>
      </c>
      <c r="BS377" s="1742">
        <f>_xlfn.IFNA(INDEX($AR377:$AX377,MATCH(BR377,$AR$2:$AX$2,0))*12/365*[11]核心假设及结论!$C$70*$H377,0)</f>
        <v>73382.306113205763</v>
      </c>
      <c r="BU377" s="1739">
        <f t="shared" si="158"/>
        <v>2033</v>
      </c>
      <c r="BV377" s="1742">
        <f>_xlfn.IFNA(INDEX($AR377:$AX377,MATCH(BU377,$AR$2:$AX$2,0))*12/365*[11]核心假设及结论!$C$70*$H377,0)</f>
        <v>0</v>
      </c>
      <c r="BX377" s="1739">
        <f t="shared" si="159"/>
        <v>2036</v>
      </c>
      <c r="BY377" s="1742">
        <f>_xlfn.IFNA(INDEX($AR377:$AX377,MATCH(BX377,$AR$2:$AX$2,0))*12/365*[11]核心假设及结论!$C$70*$H377,0)</f>
        <v>0</v>
      </c>
      <c r="CA377" s="1739">
        <f t="shared" si="160"/>
        <v>2039</v>
      </c>
      <c r="CB377" s="1742">
        <f>_xlfn.IFNA(INDEX($AR377:$AX377,MATCH(CA377,$AR$2:$AX$2,0))*12/365*[11]核心假设及结论!$C$70*$H377,0)</f>
        <v>0</v>
      </c>
    </row>
    <row r="378" spans="1:80" ht="30" customHeight="1">
      <c r="A378" s="1763" t="s">
        <v>1662</v>
      </c>
      <c r="B378" s="1757" t="s">
        <v>2452</v>
      </c>
      <c r="C378" s="1764" t="s">
        <v>2453</v>
      </c>
      <c r="D378" s="1764" t="s">
        <v>1685</v>
      </c>
      <c r="E378" s="1764" t="s">
        <v>1838</v>
      </c>
      <c r="F378" s="1765"/>
      <c r="G378" s="1760" t="s">
        <v>1661</v>
      </c>
      <c r="H378" s="1761">
        <v>76</v>
      </c>
      <c r="I378" s="1763" t="s">
        <v>2356</v>
      </c>
      <c r="J378" s="1773">
        <v>44075</v>
      </c>
      <c r="K378" s="1773">
        <v>45900</v>
      </c>
      <c r="L378" s="1764">
        <f t="shared" si="142"/>
        <v>60</v>
      </c>
      <c r="M378" s="1774">
        <f t="shared" si="153"/>
        <v>59492.04</v>
      </c>
      <c r="N378" s="1775">
        <f t="shared" si="154"/>
        <v>669.17</v>
      </c>
      <c r="O378" s="1777">
        <v>50856.92</v>
      </c>
      <c r="P378" s="1763">
        <v>0.1</v>
      </c>
      <c r="Q378" s="1783">
        <f t="shared" si="143"/>
        <v>95</v>
      </c>
      <c r="R378" s="1763">
        <v>7220</v>
      </c>
      <c r="S378" s="1777">
        <f t="shared" si="144"/>
        <v>18.619999999999997</v>
      </c>
      <c r="T378" s="1763">
        <v>1415.12</v>
      </c>
      <c r="U378" s="1763"/>
      <c r="V378" s="1785">
        <v>63257.5</v>
      </c>
      <c r="W378" s="1785">
        <f t="shared" si="145"/>
        <v>832.33552631578948</v>
      </c>
      <c r="X378" s="1786">
        <f>(N378+Q378)*H378/V378</f>
        <v>0.9181033079081532</v>
      </c>
      <c r="Y378" s="1789">
        <f>VLOOKUP(E378,[11]核心假设及结论!$C$25:$E$45,3,0)</f>
        <v>0.2</v>
      </c>
      <c r="Z378" s="1790">
        <f t="shared" si="163"/>
        <v>50856.92</v>
      </c>
      <c r="AA378" s="1790">
        <f t="shared" si="163"/>
        <v>0</v>
      </c>
      <c r="AB378" s="1790">
        <f t="shared" si="163"/>
        <v>0</v>
      </c>
      <c r="AC378" s="1790">
        <f t="shared" si="161"/>
        <v>0</v>
      </c>
      <c r="AD378" s="1790">
        <f t="shared" si="161"/>
        <v>0</v>
      </c>
      <c r="AE378" s="1790">
        <f t="shared" si="161"/>
        <v>0</v>
      </c>
      <c r="AF378" s="1790">
        <f t="shared" si="161"/>
        <v>0</v>
      </c>
      <c r="AG378" s="1794">
        <v>669.17</v>
      </c>
      <c r="AH378" s="1794">
        <v>0</v>
      </c>
      <c r="AI378" s="1794">
        <v>0</v>
      </c>
      <c r="AJ378" s="1794">
        <v>0</v>
      </c>
      <c r="AK378" s="1794">
        <v>0</v>
      </c>
      <c r="AL378" s="1794">
        <v>0</v>
      </c>
      <c r="AM378" s="1794">
        <v>0</v>
      </c>
      <c r="AN378" s="1764"/>
      <c r="AO378" s="1764"/>
      <c r="AP378" s="1808">
        <f t="shared" si="155"/>
        <v>4.5905165395407659</v>
      </c>
      <c r="AQ378" s="1810">
        <f>IF(AP378&gt;[11]核心假设及结论!$B$59,[11]核心假设及结论!$D$59,IF(AP378&lt;=[11]核心假设及结论!$B$58,[11]核心假设及结论!$D$57,[11]核心假设及结论!$D$58))</f>
        <v>1</v>
      </c>
      <c r="AR378" s="1809">
        <f t="shared" si="156"/>
        <v>669.17</v>
      </c>
      <c r="AS378" s="1811">
        <f>AH378*(AS$2&lt;=YEAR($K378))+AR378*$AQ378*(AS$2=YEAR($K378)+1)+INDEX([11]核心假设及结论!$E$17:$E$21,MATCH($D378,[11]核心假设及结论!$B$17:$B$21,0))*(AS$2&gt;YEAR($K378)+1)*AR378</f>
        <v>669.17</v>
      </c>
      <c r="AT378" s="1809">
        <f>AI378*(AT$2&lt;=YEAR($K378))+AS378*$AQ378*(AT$2=YEAR($K378)+1)+INDEX([11]核心假设及结论!$E$17:$E$21,MATCH($D378,[11]核心假设及结论!$B$17:$B$21,0))*(AT$2&gt;YEAR($K378)+1)*AS378</f>
        <v>687.28743714730808</v>
      </c>
      <c r="AU378" s="1809">
        <f>AJ378*(AU$2&lt;=YEAR($K378))+AT378*$AQ378*(AU$2=YEAR($K378)+1)+INDEX([11]核心假设及结论!$E$17:$E$21,MATCH($D378,[11]核心假设及结论!$B$17:$B$21,0))*(AU$2&gt;YEAR($K378)+1)*AT378</f>
        <v>705.89539468373505</v>
      </c>
      <c r="AV378" s="1809">
        <f>AK378*(AV$2&lt;=YEAR($K378))+AU378*$AQ378*(AV$2=YEAR($K378)+1)+INDEX([11]核心假设及结论!$E$17:$E$21,MATCH($D378,[11]核心假设及结论!$B$17:$B$21,0))*(AV$2&gt;YEAR($K378)+1)*AU378</f>
        <v>725.00715319914491</v>
      </c>
      <c r="AW378" s="1809">
        <f>AL378*(AW$2&lt;=YEAR($K378))+AV378*$AQ378*(AW$2=YEAR($K378)+1)+INDEX([11]核心假设及结论!$E$17:$E$21,MATCH($D378,[11]核心假设及结论!$B$17:$B$21,0))*(AW$2&gt;YEAR($K378)+1)*AV378</f>
        <v>744.63635284861255</v>
      </c>
      <c r="AX378" s="1809">
        <f>AM378*(AX$2&lt;=YEAR($K378))+AW378*$AQ378*(AX$2=YEAR($K378)+1)+INDEX([11]核心假设及结论!$E$17:$E$21,MATCH($D378,[11]核心假设及结论!$B$17:$B$21,0))*(AX$2&gt;YEAR($K378)+1)*AW378</f>
        <v>764.79700308746885</v>
      </c>
      <c r="AZ378" s="1746">
        <f t="shared" si="146"/>
        <v>45900</v>
      </c>
      <c r="BA378" s="1817">
        <f t="shared" si="147"/>
        <v>45658</v>
      </c>
      <c r="BB378" s="1817">
        <f t="shared" si="148"/>
        <v>45900</v>
      </c>
      <c r="BC378" s="1841">
        <f t="shared" si="149"/>
        <v>46022</v>
      </c>
      <c r="BD378" s="1842">
        <f t="shared" si="150"/>
        <v>243</v>
      </c>
      <c r="BE378" s="1842">
        <f t="shared" si="151"/>
        <v>122</v>
      </c>
      <c r="BG378" s="1843">
        <f t="shared" si="164"/>
        <v>61.028304000000006</v>
      </c>
      <c r="BH378" s="1843">
        <f t="shared" si="165"/>
        <v>61.580583048426874</v>
      </c>
      <c r="BI378" s="1843">
        <f t="shared" si="165"/>
        <v>63.247845990391468</v>
      </c>
      <c r="BJ378" s="1843">
        <f t="shared" si="165"/>
        <v>64.960249227885001</v>
      </c>
      <c r="BK378" s="1843">
        <f t="shared" si="165"/>
        <v>66.719014911432794</v>
      </c>
      <c r="BL378" s="1843">
        <f t="shared" si="165"/>
        <v>68.525398280663623</v>
      </c>
      <c r="BM378" s="1843">
        <f t="shared" si="165"/>
        <v>46.435959626365069</v>
      </c>
      <c r="BO378" s="1739">
        <f t="shared" si="152"/>
        <v>2025</v>
      </c>
      <c r="BP378" s="1742">
        <f>_xlfn.IFNA(INDEX($AR378:$AX378,MATCH(BO378,$AR$2:$AX$2,0))*12/365*[11]核心假设及结论!$C$70*$H378,0)</f>
        <v>50160.249863013691</v>
      </c>
      <c r="BR378" s="1739">
        <f t="shared" si="157"/>
        <v>2030</v>
      </c>
      <c r="BS378" s="1742">
        <f>_xlfn.IFNA(INDEX($AR378:$AX378,MATCH(BR378,$AR$2:$AX$2,0))*12/365*[11]核心假设及结论!$C$70*$H378,0)</f>
        <v>55817.124969693257</v>
      </c>
      <c r="BU378" s="1739">
        <f t="shared" si="158"/>
        <v>2035</v>
      </c>
      <c r="BV378" s="1742">
        <f>_xlfn.IFNA(INDEX($AR378:$AX378,MATCH(BU378,$AR$2:$AX$2,0))*12/365*[11]核心假设及结论!$C$70*$H378,0)</f>
        <v>0</v>
      </c>
      <c r="BX378" s="1739">
        <f t="shared" si="159"/>
        <v>2040</v>
      </c>
      <c r="BY378" s="1742">
        <f>_xlfn.IFNA(INDEX($AR378:$AX378,MATCH(BX378,$AR$2:$AX$2,0))*12/365*[11]核心假设及结论!$C$70*$H378,0)</f>
        <v>0</v>
      </c>
      <c r="CA378" s="1739">
        <f t="shared" si="160"/>
        <v>2045</v>
      </c>
      <c r="CB378" s="1742">
        <f>_xlfn.IFNA(INDEX($AR378:$AX378,MATCH(CA378,$AR$2:$AX$2,0))*12/365*[11]核心假设及结论!$C$70*$H378,0)</f>
        <v>0</v>
      </c>
    </row>
    <row r="379" spans="1:80" ht="30" customHeight="1">
      <c r="A379" s="1763" t="s">
        <v>1687</v>
      </c>
      <c r="B379" s="1757" t="s">
        <v>2454</v>
      </c>
      <c r="C379" s="1834" t="s">
        <v>2455</v>
      </c>
      <c r="D379" s="1764" t="s">
        <v>1698</v>
      </c>
      <c r="E379" s="1764" t="s">
        <v>1698</v>
      </c>
      <c r="F379" s="1765"/>
      <c r="G379" s="1760" t="s">
        <v>1661</v>
      </c>
      <c r="H379" s="1761">
        <v>76</v>
      </c>
      <c r="I379" s="1763" t="s">
        <v>2356</v>
      </c>
      <c r="J379" s="1773">
        <v>45392</v>
      </c>
      <c r="K379" s="1829">
        <v>45543</v>
      </c>
      <c r="L379" s="1764">
        <f t="shared" si="142"/>
        <v>5</v>
      </c>
      <c r="M379" s="1774">
        <f t="shared" si="153"/>
        <v>29547.279999999999</v>
      </c>
      <c r="N379" s="1775">
        <f t="shared" si="154"/>
        <v>281.05</v>
      </c>
      <c r="O379" s="1777">
        <v>21359.8</v>
      </c>
      <c r="P379" s="1763">
        <v>0.16</v>
      </c>
      <c r="Q379" s="1783">
        <f t="shared" si="143"/>
        <v>90</v>
      </c>
      <c r="R379" s="1763">
        <v>6840</v>
      </c>
      <c r="S379" s="1777">
        <f t="shared" si="144"/>
        <v>17.73</v>
      </c>
      <c r="T379" s="1763">
        <v>1347.48</v>
      </c>
      <c r="U379" s="1763"/>
      <c r="V379" s="1785">
        <v>79057.934999999998</v>
      </c>
      <c r="W379" s="1785">
        <f t="shared" si="145"/>
        <v>1040.2359868421051</v>
      </c>
      <c r="X379" s="1786">
        <f>(N379+Q379)*H379/V379</f>
        <v>0.35669790767998177</v>
      </c>
      <c r="Y379" s="1789">
        <f>VLOOKUP(E379,[11]核心假设及结论!$C$25:$E$45,3,0)</f>
        <v>0.2</v>
      </c>
      <c r="Z379" s="1790">
        <f t="shared" si="163"/>
        <v>21359.8</v>
      </c>
      <c r="AA379" s="1790">
        <f t="shared" si="163"/>
        <v>0</v>
      </c>
      <c r="AB379" s="1790">
        <f t="shared" si="163"/>
        <v>0</v>
      </c>
      <c r="AC379" s="1790">
        <f t="shared" si="161"/>
        <v>0</v>
      </c>
      <c r="AD379" s="1790">
        <f t="shared" si="161"/>
        <v>0</v>
      </c>
      <c r="AE379" s="1790">
        <f t="shared" si="161"/>
        <v>0</v>
      </c>
      <c r="AF379" s="1790">
        <f t="shared" si="161"/>
        <v>0</v>
      </c>
      <c r="AG379" s="1794">
        <v>281.05</v>
      </c>
      <c r="AH379" s="1824">
        <v>0</v>
      </c>
      <c r="AI379" s="1824">
        <v>0</v>
      </c>
      <c r="AJ379" s="1824">
        <v>0</v>
      </c>
      <c r="AK379" s="1824">
        <v>0</v>
      </c>
      <c r="AL379" s="1824">
        <v>0</v>
      </c>
      <c r="AM379" s="1824">
        <v>0</v>
      </c>
      <c r="AN379" s="1764"/>
      <c r="AO379" s="1764"/>
      <c r="AP379" s="1808">
        <f t="shared" si="155"/>
        <v>1.7834895383999088</v>
      </c>
      <c r="AQ379" s="1812">
        <f>IF(AP379&gt;[11]核心假设及结论!$B$62,[11]核心假设及结论!$D$62,IF(AP379&lt;=[11]核心假设及结论!$B$61,[11]核心假设及结论!$D$60,[11]核心假设及结论!$D$61))</f>
        <v>1</v>
      </c>
      <c r="AR379" s="1811">
        <f t="shared" si="156"/>
        <v>281.05</v>
      </c>
      <c r="AS379" s="1809">
        <f>AH379*(AS$2&lt;=YEAR($K379))+AR379*$AQ379*(AS$2=YEAR($K379)+1)+INDEX([11]核心假设及结论!$E$17:$E$21,MATCH($D379,[11]核心假设及结论!$B$17:$B$21,0))*(AS$2&gt;YEAR($K379)+1)*AR379</f>
        <v>289.65502177758594</v>
      </c>
      <c r="AT379" s="1809">
        <f>AI379*(AT$2&lt;=YEAR($K379))+AS379*$AQ379*(AT$2=YEAR($K379)+1)+INDEX([11]核心假设及结论!$E$17:$E$21,MATCH($D379,[11]核心假设及结论!$B$17:$B$21,0))*(AT$2&gt;YEAR($K379)+1)*AS379</f>
        <v>298.52350699510328</v>
      </c>
      <c r="AU379" s="1809">
        <f>AJ379*(AU$2&lt;=YEAR($K379))+AT379*$AQ379*(AU$2=YEAR($K379)+1)+INDEX([11]核心假设及结论!$E$17:$E$21,MATCH($D379,[11]核心假设及结论!$B$17:$B$21,0))*(AU$2&gt;YEAR($K379)+1)*AT379</f>
        <v>307.66352221949103</v>
      </c>
      <c r="AV379" s="1809">
        <f>AK379*(AV$2&lt;=YEAR($K379))+AU379*$AQ379*(AV$2=YEAR($K379)+1)+INDEX([11]核心假设及结论!$E$17:$E$21,MATCH($D379,[11]核心假设及结论!$B$17:$B$21,0))*(AV$2&gt;YEAR($K379)+1)*AU379</f>
        <v>317.08338099503811</v>
      </c>
      <c r="AW379" s="1809">
        <f>AL379*(AW$2&lt;=YEAR($K379))+AV379*$AQ379*(AW$2=YEAR($K379)+1)+INDEX([11]核心假设及结论!$E$17:$E$21,MATCH($D379,[11]核心假设及结论!$B$17:$B$21,0))*(AW$2&gt;YEAR($K379)+1)*AV379</f>
        <v>326.79165140518887</v>
      </c>
      <c r="AX379" s="1809">
        <f>AM379*(AX$2&lt;=YEAR($K379))+AW379*$AQ379*(AX$2=YEAR($K379)+1)+INDEX([11]核心假设及结论!$E$17:$E$21,MATCH($D379,[11]核心假设及结论!$B$17:$B$21,0))*(AX$2&gt;YEAR($K379)+1)*AW379</f>
        <v>336.79716386587171</v>
      </c>
      <c r="AZ379" s="1746">
        <f t="shared" si="146"/>
        <v>45543</v>
      </c>
      <c r="BA379" s="1817">
        <f t="shared" si="147"/>
        <v>45658</v>
      </c>
      <c r="BB379" s="1817">
        <f t="shared" si="148"/>
        <v>45908</v>
      </c>
      <c r="BC379" s="1841">
        <f t="shared" si="149"/>
        <v>46022</v>
      </c>
      <c r="BD379" s="1842">
        <f t="shared" si="150"/>
        <v>251</v>
      </c>
      <c r="BE379" s="1842">
        <f t="shared" si="151"/>
        <v>114</v>
      </c>
      <c r="BG379" s="1843">
        <f t="shared" si="164"/>
        <v>25.876868740869053</v>
      </c>
      <c r="BH379" s="1843">
        <f t="shared" si="165"/>
        <v>26.669151320662372</v>
      </c>
      <c r="BI379" s="1843">
        <f t="shared" si="165"/>
        <v>27.48569153736414</v>
      </c>
      <c r="BJ379" s="1843">
        <f t="shared" si="165"/>
        <v>28.327232096876781</v>
      </c>
      <c r="BK379" s="1843">
        <f t="shared" si="165"/>
        <v>29.194538444830368</v>
      </c>
      <c r="BL379" s="1843">
        <f t="shared" si="165"/>
        <v>30.088399462814127</v>
      </c>
      <c r="BM379" s="1843">
        <f t="shared" si="165"/>
        <v>21.122441746538197</v>
      </c>
      <c r="BO379" s="1826">
        <f t="shared" si="152"/>
        <v>2024</v>
      </c>
      <c r="BP379" s="1742">
        <f>_xlfn.IFNA(INDEX($AR379:$AX379,MATCH(BO379,$AR$2:$AX$2,0))*12/365*[11]核心假设及结论!$C$70*$H379,0)</f>
        <v>0</v>
      </c>
      <c r="BR379" s="1739">
        <f>BO379+2</f>
        <v>2026</v>
      </c>
      <c r="BS379" s="1742">
        <f>_xlfn.IFNA(INDEX($AR379:$AX379,MATCH(BR379,$AR$2:$AX$2,0))*12/365*[11]核心假设及结论!$C$70*$H379,0)</f>
        <v>21712.223002286988</v>
      </c>
      <c r="BU379" s="1739">
        <f>BR379+2</f>
        <v>2028</v>
      </c>
      <c r="BV379" s="1742">
        <f>_xlfn.IFNA(INDEX($AR379:$AX379,MATCH(BU379,$AR$2:$AX$2,0))*12/365*[11]核心假设及结论!$C$70*$H379,0)</f>
        <v>23062.120460069247</v>
      </c>
      <c r="BX379" s="1739">
        <f>BU379+2</f>
        <v>2030</v>
      </c>
      <c r="BY379" s="1742">
        <f>_xlfn.IFNA(INDEX($AR379:$AX379,MATCH(BX379,$AR$2:$AX$2,0))*12/365*[11]核心假设及结论!$C$70*$H379,0)</f>
        <v>24495.9440614958</v>
      </c>
      <c r="CA379" s="1739">
        <f>BX379+2</f>
        <v>2032</v>
      </c>
      <c r="CB379" s="1742">
        <f>_xlfn.IFNA(INDEX($AR379:$AX379,MATCH(CA379,$AR$2:$AX$2,0))*12/365*[11]核心假设及结论!$C$70*$H379,0)</f>
        <v>0</v>
      </c>
    </row>
    <row r="380" spans="1:80" ht="30" customHeight="1">
      <c r="A380" s="1763" t="s">
        <v>1662</v>
      </c>
      <c r="B380" s="1757" t="s">
        <v>2456</v>
      </c>
      <c r="C380" s="1764" t="s">
        <v>2457</v>
      </c>
      <c r="D380" s="1764" t="s">
        <v>1685</v>
      </c>
      <c r="E380" s="1764" t="s">
        <v>1838</v>
      </c>
      <c r="F380" s="1765"/>
      <c r="G380" s="1760" t="s">
        <v>1661</v>
      </c>
      <c r="H380" s="1761">
        <v>75</v>
      </c>
      <c r="I380" s="1763" t="s">
        <v>2356</v>
      </c>
      <c r="J380" s="1773">
        <v>45063</v>
      </c>
      <c r="K380" s="1773">
        <v>46523</v>
      </c>
      <c r="L380" s="1764">
        <f t="shared" si="142"/>
        <v>48</v>
      </c>
      <c r="M380" s="1774">
        <f t="shared" si="153"/>
        <v>78591</v>
      </c>
      <c r="N380" s="1775">
        <f t="shared" si="154"/>
        <v>939.88</v>
      </c>
      <c r="O380" s="1777">
        <v>70491</v>
      </c>
      <c r="P380" s="1763">
        <v>0.13</v>
      </c>
      <c r="Q380" s="1783">
        <f t="shared" si="143"/>
        <v>90</v>
      </c>
      <c r="R380" s="1763">
        <v>6750</v>
      </c>
      <c r="S380" s="1777">
        <f t="shared" si="144"/>
        <v>18</v>
      </c>
      <c r="T380" s="1763">
        <v>1350</v>
      </c>
      <c r="U380" s="1763"/>
      <c r="V380" s="1785">
        <v>437885.41666666698</v>
      </c>
      <c r="W380" s="1785">
        <f t="shared" si="145"/>
        <v>5838.4722222222263</v>
      </c>
      <c r="X380" s="1786">
        <f>(N380+Q380)*H380/V380</f>
        <v>0.17639546114137536</v>
      </c>
      <c r="Y380" s="1789">
        <f>VLOOKUP(E380,[11]核心假设及结论!$C$25:$E$45,3,0)</f>
        <v>0.2</v>
      </c>
      <c r="Z380" s="1790">
        <f t="shared" si="163"/>
        <v>71547.999999999971</v>
      </c>
      <c r="AA380" s="1790">
        <f t="shared" si="163"/>
        <v>73692</v>
      </c>
      <c r="AB380" s="1790">
        <f t="shared" si="163"/>
        <v>74779.5</v>
      </c>
      <c r="AC380" s="1790">
        <f t="shared" si="161"/>
        <v>0</v>
      </c>
      <c r="AD380" s="1790">
        <f t="shared" si="161"/>
        <v>0</v>
      </c>
      <c r="AE380" s="1790">
        <f t="shared" si="161"/>
        <v>0</v>
      </c>
      <c r="AF380" s="1790">
        <f t="shared" si="161"/>
        <v>0</v>
      </c>
      <c r="AG380" s="1794">
        <v>953.97333333333302</v>
      </c>
      <c r="AH380" s="1794">
        <v>982.56</v>
      </c>
      <c r="AI380" s="1794">
        <v>997.06</v>
      </c>
      <c r="AJ380" s="1794">
        <v>0</v>
      </c>
      <c r="AK380" s="1794">
        <v>0</v>
      </c>
      <c r="AL380" s="1794">
        <v>0</v>
      </c>
      <c r="AM380" s="1794">
        <v>0</v>
      </c>
      <c r="AN380" s="1764"/>
      <c r="AO380" s="1764"/>
      <c r="AP380" s="1808">
        <f t="shared" si="155"/>
        <v>0.88197730570687671</v>
      </c>
      <c r="AQ380" s="1810">
        <f>IF(AP380&gt;[11]核心假设及结论!$B$59,[11]核心假设及结论!$D$59,IF(AP380&lt;=[11]核心假设及结论!$B$58,[11]核心假设及结论!$D$57,[11]核心假设及结论!$D$58))</f>
        <v>1.0342640124442799</v>
      </c>
      <c r="AR380" s="1809">
        <f t="shared" si="156"/>
        <v>953.97333333333302</v>
      </c>
      <c r="AS380" s="1809">
        <f>AH380*(AS$2&lt;=YEAR($K380))+AR380*$AQ380*(AS$2=YEAR($K380)+1)+INDEX([11]核心假设及结论!$E$17:$E$21,MATCH($D380,[11]核心假设及结论!$B$17:$B$21,0))*(AS$2&gt;YEAR($K380)+1)*AR380</f>
        <v>982.56</v>
      </c>
      <c r="AT380" s="1809">
        <f>AI380*(AT$2&lt;=YEAR($K380))+AS380*$AQ380*(AT$2=YEAR($K380)+1)+INDEX([11]核心假设及结论!$E$17:$E$21,MATCH($D380,[11]核心假设及结论!$B$17:$B$21,0))*(AT$2&gt;YEAR($K380)+1)*AS380</f>
        <v>997.06</v>
      </c>
      <c r="AU380" s="1811">
        <f>AJ380*(AU$2&lt;=YEAR($K380))+AT380*$AQ380*(AU$2=YEAR($K380)+1)+INDEX([11]核心假设及结论!$E$17:$E$21,MATCH($D380,[11]核心假设及结论!$B$17:$B$21,0))*(AU$2&gt;YEAR($K380)+1)*AT380</f>
        <v>1031.2232762476938</v>
      </c>
      <c r="AV380" s="1809">
        <f>AK380*(AV$2&lt;=YEAR($K380))+AU380*$AQ380*(AV$2=YEAR($K380)+1)+INDEX([11]核心假设及结论!$E$17:$E$21,MATCH($D380,[11]核心假设及结论!$B$17:$B$21,0))*(AV$2&gt;YEAR($K380)+1)*AU380</f>
        <v>1059.1431215669083</v>
      </c>
      <c r="AW380" s="1809">
        <f>AL380*(AW$2&lt;=YEAR($K380))+AV380*$AQ380*(AW$2=YEAR($K380)+1)+INDEX([11]核心假设及结论!$E$17:$E$21,MATCH($D380,[11]核心假设及结论!$B$17:$B$21,0))*(AW$2&gt;YEAR($K380)+1)*AV380</f>
        <v>1087.8188824871411</v>
      </c>
      <c r="AX380" s="1809">
        <f>AM380*(AX$2&lt;=YEAR($K380))+AW380*$AQ380*(AX$2=YEAR($K380)+1)+INDEX([11]核心假设及结论!$E$17:$E$21,MATCH($D380,[11]核心假设及结论!$B$17:$B$21,0))*(AX$2&gt;YEAR($K380)+1)*AW380</f>
        <v>1117.2710250385342</v>
      </c>
      <c r="AZ380" s="1746">
        <f t="shared" si="146"/>
        <v>46523</v>
      </c>
      <c r="BA380" s="1817">
        <f t="shared" si="147"/>
        <v>45658</v>
      </c>
      <c r="BB380" s="1817">
        <f t="shared" si="148"/>
        <v>45793</v>
      </c>
      <c r="BC380" s="1841">
        <f t="shared" si="149"/>
        <v>46022</v>
      </c>
      <c r="BD380" s="1842">
        <f t="shared" si="150"/>
        <v>136</v>
      </c>
      <c r="BE380" s="1842">
        <f t="shared" si="151"/>
        <v>229</v>
      </c>
      <c r="BG380" s="1843">
        <f t="shared" si="164"/>
        <v>87.471767671232854</v>
      </c>
      <c r="BH380" s="1843">
        <f t="shared" si="165"/>
        <v>89.249153424657536</v>
      </c>
      <c r="BI380" s="1843">
        <f t="shared" si="165"/>
        <v>91.664455132780731</v>
      </c>
      <c r="BJ380" s="1843">
        <f t="shared" si="165"/>
        <v>94.386609963741776</v>
      </c>
      <c r="BK380" s="1843">
        <f t="shared" si="165"/>
        <v>96.942079386408039</v>
      </c>
      <c r="BL380" s="1843">
        <f t="shared" si="165"/>
        <v>99.566736842977534</v>
      </c>
      <c r="BM380" s="1843">
        <f t="shared" si="165"/>
        <v>37.466842045127841</v>
      </c>
      <c r="BO380" s="1739">
        <f t="shared" si="152"/>
        <v>2027</v>
      </c>
      <c r="BP380" s="1742">
        <f>_xlfn.IFNA(INDEX($AR380:$AX380,MATCH(BO380,$AR$2:$AX$2,0))*12/365*[11]核心假设及结论!$C$70*$H380,0)</f>
        <v>73755.123287671231</v>
      </c>
      <c r="BR380" s="1739">
        <f t="shared" si="157"/>
        <v>2031</v>
      </c>
      <c r="BS380" s="1742">
        <f>_xlfn.IFNA(INDEX($AR380:$AX380,MATCH(BR380,$AR$2:$AX$2,0))*12/365*[11]核心假设及结论!$C$70*$H380,0)</f>
        <v>82647.445687781976</v>
      </c>
      <c r="BU380" s="1739">
        <f t="shared" si="158"/>
        <v>2035</v>
      </c>
      <c r="BV380" s="1742">
        <f>_xlfn.IFNA(INDEX($AR380:$AX380,MATCH(BU380,$AR$2:$AX$2,0))*12/365*[11]核心假设及结论!$C$70*$H380,0)</f>
        <v>0</v>
      </c>
      <c r="BX380" s="1739">
        <f t="shared" si="159"/>
        <v>2039</v>
      </c>
      <c r="BY380" s="1742">
        <f>_xlfn.IFNA(INDEX($AR380:$AX380,MATCH(BX380,$AR$2:$AX$2,0))*12/365*[11]核心假设及结论!$C$70*$H380,0)</f>
        <v>0</v>
      </c>
      <c r="CA380" s="1739">
        <f t="shared" si="160"/>
        <v>2043</v>
      </c>
      <c r="CB380" s="1742">
        <f>_xlfn.IFNA(INDEX($AR380:$AX380,MATCH(CA380,$AR$2:$AX$2,0))*12/365*[11]核心假设及结论!$C$70*$H380,0)</f>
        <v>0</v>
      </c>
    </row>
    <row r="381" spans="1:80" ht="30" customHeight="1">
      <c r="A381" s="1763" t="s">
        <v>1666</v>
      </c>
      <c r="B381" s="1757" t="s">
        <v>2458</v>
      </c>
      <c r="C381" s="1764" t="s">
        <v>2459</v>
      </c>
      <c r="D381" s="1764" t="s">
        <v>1685</v>
      </c>
      <c r="E381" s="1764" t="s">
        <v>1692</v>
      </c>
      <c r="F381" s="1765"/>
      <c r="G381" s="1760" t="s">
        <v>1661</v>
      </c>
      <c r="H381" s="1761">
        <v>73</v>
      </c>
      <c r="I381" s="1763" t="s">
        <v>2356</v>
      </c>
      <c r="J381" s="1773">
        <v>45242</v>
      </c>
      <c r="K381" s="1773">
        <v>46337</v>
      </c>
      <c r="L381" s="1764">
        <f t="shared" si="142"/>
        <v>36</v>
      </c>
      <c r="M381" s="1774">
        <f t="shared" si="153"/>
        <v>60428.67</v>
      </c>
      <c r="N381" s="1775">
        <f t="shared" si="154"/>
        <v>714.79</v>
      </c>
      <c r="O381" s="1777">
        <v>52179.67</v>
      </c>
      <c r="P381" s="1763">
        <v>0.18</v>
      </c>
      <c r="Q381" s="1783">
        <f t="shared" si="143"/>
        <v>95</v>
      </c>
      <c r="R381" s="1763">
        <v>6935</v>
      </c>
      <c r="S381" s="1777">
        <f t="shared" si="144"/>
        <v>18</v>
      </c>
      <c r="T381" s="1763">
        <v>1314</v>
      </c>
      <c r="U381" s="1763"/>
      <c r="V381" s="1785">
        <v>186443.63333333301</v>
      </c>
      <c r="W381" s="1785">
        <f t="shared" si="145"/>
        <v>2554.0223744292193</v>
      </c>
      <c r="X381" s="1786">
        <f>(N381+Q381+S381)*H381/V381</f>
        <v>0.32411227414755794</v>
      </c>
      <c r="Y381" s="1789">
        <f>VLOOKUP(E381,[11]核心假设及结论!$C$25:$E$45,3,0)</f>
        <v>0.2</v>
      </c>
      <c r="Z381" s="1790">
        <f t="shared" si="163"/>
        <v>54266.74</v>
      </c>
      <c r="AA381" s="1790">
        <f t="shared" si="163"/>
        <v>56442.87</v>
      </c>
      <c r="AB381" s="1790">
        <f t="shared" si="163"/>
        <v>0</v>
      </c>
      <c r="AC381" s="1790">
        <f t="shared" si="161"/>
        <v>0</v>
      </c>
      <c r="AD381" s="1790">
        <f t="shared" si="161"/>
        <v>0</v>
      </c>
      <c r="AE381" s="1790">
        <f t="shared" si="161"/>
        <v>0</v>
      </c>
      <c r="AF381" s="1790">
        <f t="shared" si="161"/>
        <v>0</v>
      </c>
      <c r="AG381" s="1794">
        <v>743.38</v>
      </c>
      <c r="AH381" s="1794">
        <v>773.19</v>
      </c>
      <c r="AI381" s="1794">
        <v>0</v>
      </c>
      <c r="AJ381" s="1794">
        <v>0</v>
      </c>
      <c r="AK381" s="1794">
        <v>0</v>
      </c>
      <c r="AL381" s="1794">
        <v>0</v>
      </c>
      <c r="AM381" s="1794">
        <v>0</v>
      </c>
      <c r="AN381" s="1764"/>
      <c r="AO381" s="1764"/>
      <c r="AP381" s="1808">
        <f t="shared" si="155"/>
        <v>1.6205613707377897</v>
      </c>
      <c r="AQ381" s="1810">
        <f>IF(AP381&gt;[11]核心假设及结论!$B$59,[11]核心假设及结论!$D$59,IF(AP381&lt;=[11]核心假设及结论!$B$58,[11]核心假设及结论!$D$57,[11]核心假设及结论!$D$58))</f>
        <v>1</v>
      </c>
      <c r="AR381" s="1809">
        <f t="shared" si="156"/>
        <v>743.38</v>
      </c>
      <c r="AS381" s="1809">
        <f>AH381*(AS$2&lt;=YEAR($K381))+AR381*$AQ381*(AS$2=YEAR($K381)+1)+INDEX([11]核心假设及结论!$E$17:$E$21,MATCH($D381,[11]核心假设及结论!$B$17:$B$21,0))*(AS$2&gt;YEAR($K381)+1)*AR381</f>
        <v>773.19</v>
      </c>
      <c r="AT381" s="1811">
        <f>AI381*(AT$2&lt;=YEAR($K381))+AS381*$AQ381*(AT$2=YEAR($K381)+1)+INDEX([11]核心假设及结论!$E$17:$E$21,MATCH($D381,[11]核心假设及结论!$B$17:$B$21,0))*(AT$2&gt;YEAR($K381)+1)*AS381</f>
        <v>773.19</v>
      </c>
      <c r="AU381" s="1809">
        <f>AJ381*(AU$2&lt;=YEAR($K381))+AT381*$AQ381*(AU$2=YEAR($K381)+1)+INDEX([11]核心假设及结论!$E$17:$E$21,MATCH($D381,[11]核心假设及结论!$B$17:$B$21,0))*(AU$2&gt;YEAR($K381)+1)*AT381</f>
        <v>794.12372570188029</v>
      </c>
      <c r="AV381" s="1809">
        <f>AK381*(AV$2&lt;=YEAR($K381))+AU381*$AQ381*(AV$2=YEAR($K381)+1)+INDEX([11]核心假设及结论!$E$17:$E$21,MATCH($D381,[11]核心假设及结论!$B$17:$B$21,0))*(AV$2&gt;YEAR($K381)+1)*AU381</f>
        <v>815.62422137202384</v>
      </c>
      <c r="AW381" s="1809">
        <f>AL381*(AW$2&lt;=YEAR($K381))+AV381*$AQ381*(AW$2=YEAR($K381)+1)+INDEX([11]核心假设及结论!$E$17:$E$21,MATCH($D381,[11]核心假设及结论!$B$17:$B$21,0))*(AW$2&gt;YEAR($K381)+1)*AV381</f>
        <v>837.70683201883969</v>
      </c>
      <c r="AX381" s="1809">
        <f>AM381*(AX$2&lt;=YEAR($K381))+AW381*$AQ381*(AX$2=YEAR($K381)+1)+INDEX([11]核心假设及结论!$E$17:$E$21,MATCH($D381,[11]核心假设及结论!$B$17:$B$21,0))*(AX$2&gt;YEAR($K381)+1)*AW381</f>
        <v>860.38731810902891</v>
      </c>
      <c r="AZ381" s="1746">
        <f t="shared" si="146"/>
        <v>46337</v>
      </c>
      <c r="BA381" s="1817">
        <f t="shared" si="147"/>
        <v>45658</v>
      </c>
      <c r="BB381" s="1817">
        <f t="shared" si="148"/>
        <v>45972</v>
      </c>
      <c r="BC381" s="1841">
        <f t="shared" si="149"/>
        <v>46022</v>
      </c>
      <c r="BD381" s="1842">
        <f t="shared" si="150"/>
        <v>315</v>
      </c>
      <c r="BE381" s="1842">
        <f t="shared" si="151"/>
        <v>50</v>
      </c>
      <c r="BG381" s="1843">
        <f t="shared" si="164"/>
        <v>65.47780800000001</v>
      </c>
      <c r="BH381" s="1843">
        <f t="shared" si="165"/>
        <v>67.73144400000001</v>
      </c>
      <c r="BI381" s="1843">
        <f t="shared" si="165"/>
        <v>67.982648708422559</v>
      </c>
      <c r="BJ381" s="1843">
        <f t="shared" si="165"/>
        <v>69.823244319526438</v>
      </c>
      <c r="BK381" s="1843">
        <f t="shared" si="165"/>
        <v>71.713673119951082</v>
      </c>
      <c r="BL381" s="1843">
        <f t="shared" si="165"/>
        <v>73.655284317932626</v>
      </c>
      <c r="BM381" s="1843">
        <f t="shared" si="165"/>
        <v>65.045281249042588</v>
      </c>
      <c r="BO381" s="1739">
        <f t="shared" si="152"/>
        <v>2026</v>
      </c>
      <c r="BP381" s="1742">
        <f>_xlfn.IFNA(INDEX($AR381:$AX381,MATCH(BO381,$AR$2:$AX$2,0))*12/365*[11]核心假设及结论!$C$70*$H381,0)</f>
        <v>55669.680000000008</v>
      </c>
      <c r="BR381" s="1739">
        <f t="shared" si="157"/>
        <v>2029</v>
      </c>
      <c r="BS381" s="1742">
        <f>_xlfn.IFNA(INDEX($AR381:$AX381,MATCH(BR381,$AR$2:$AX$2,0))*12/365*[11]核心假设及结论!$C$70*$H381,0)</f>
        <v>58724.943938785713</v>
      </c>
      <c r="BU381" s="1739">
        <f t="shared" si="158"/>
        <v>2032</v>
      </c>
      <c r="BV381" s="1742">
        <f>_xlfn.IFNA(INDEX($AR381:$AX381,MATCH(BU381,$AR$2:$AX$2,0))*12/365*[11]核心假设及结论!$C$70*$H381,0)</f>
        <v>0</v>
      </c>
      <c r="BX381" s="1739">
        <f t="shared" si="159"/>
        <v>2035</v>
      </c>
      <c r="BY381" s="1742">
        <f>_xlfn.IFNA(INDEX($AR381:$AX381,MATCH(BX381,$AR$2:$AX$2,0))*12/365*[11]核心假设及结论!$C$70*$H381,0)</f>
        <v>0</v>
      </c>
      <c r="CA381" s="1739">
        <f t="shared" si="160"/>
        <v>2038</v>
      </c>
      <c r="CB381" s="1742">
        <f>_xlfn.IFNA(INDEX($AR381:$AX381,MATCH(CA381,$AR$2:$AX$2,0))*12/365*[11]核心假设及结论!$C$70*$H381,0)</f>
        <v>0</v>
      </c>
    </row>
    <row r="382" spans="1:80" ht="30" customHeight="1">
      <c r="A382" s="1763" t="s">
        <v>1687</v>
      </c>
      <c r="B382" s="1757" t="s">
        <v>2460</v>
      </c>
      <c r="C382" s="1764" t="s">
        <v>2461</v>
      </c>
      <c r="D382" s="1764" t="s">
        <v>1685</v>
      </c>
      <c r="E382" s="1764" t="s">
        <v>1735</v>
      </c>
      <c r="F382" s="1765"/>
      <c r="G382" s="1760" t="s">
        <v>1661</v>
      </c>
      <c r="H382" s="1761">
        <v>73</v>
      </c>
      <c r="I382" s="1763" t="s">
        <v>2356</v>
      </c>
      <c r="J382" s="1773">
        <v>44971</v>
      </c>
      <c r="K382" s="1773">
        <v>45701</v>
      </c>
      <c r="L382" s="1764">
        <f t="shared" si="142"/>
        <v>24</v>
      </c>
      <c r="M382" s="1774">
        <f t="shared" si="153"/>
        <v>40081.380000000005</v>
      </c>
      <c r="N382" s="1775">
        <f t="shared" si="154"/>
        <v>441.06</v>
      </c>
      <c r="O382" s="1777">
        <v>32197.38</v>
      </c>
      <c r="P382" s="1763">
        <v>0.14000000000000001</v>
      </c>
      <c r="Q382" s="1783">
        <f t="shared" si="143"/>
        <v>90</v>
      </c>
      <c r="R382" s="1763">
        <v>6570</v>
      </c>
      <c r="S382" s="1777">
        <f t="shared" si="144"/>
        <v>18</v>
      </c>
      <c r="T382" s="1763">
        <v>1314</v>
      </c>
      <c r="U382" s="1763"/>
      <c r="V382" s="1785">
        <v>103691.41666666701</v>
      </c>
      <c r="W382" s="1785">
        <f t="shared" si="145"/>
        <v>1420.4303652968083</v>
      </c>
      <c r="X382" s="1786">
        <f>(N382+Q382)*H382/V382</f>
        <v>0.37387260437017727</v>
      </c>
      <c r="Y382" s="1789">
        <f>VLOOKUP(E382,[11]核心假设及结论!$C$25:$E$45,3,0)</f>
        <v>0.2</v>
      </c>
      <c r="Z382" s="1790">
        <f t="shared" si="163"/>
        <v>32197.38</v>
      </c>
      <c r="AA382" s="1790">
        <f t="shared" si="163"/>
        <v>0</v>
      </c>
      <c r="AB382" s="1790">
        <f t="shared" si="163"/>
        <v>0</v>
      </c>
      <c r="AC382" s="1790">
        <f t="shared" si="161"/>
        <v>0</v>
      </c>
      <c r="AD382" s="1790">
        <f t="shared" si="161"/>
        <v>0</v>
      </c>
      <c r="AE382" s="1790">
        <f t="shared" si="161"/>
        <v>0</v>
      </c>
      <c r="AF382" s="1790">
        <f t="shared" si="161"/>
        <v>0</v>
      </c>
      <c r="AG382" s="1794">
        <v>441.06</v>
      </c>
      <c r="AH382" s="1794">
        <v>0</v>
      </c>
      <c r="AI382" s="1794">
        <v>0</v>
      </c>
      <c r="AJ382" s="1794">
        <v>0</v>
      </c>
      <c r="AK382" s="1794">
        <v>0</v>
      </c>
      <c r="AL382" s="1794">
        <v>0</v>
      </c>
      <c r="AM382" s="1794">
        <v>0</v>
      </c>
      <c r="AN382" s="1764"/>
      <c r="AO382" s="1764"/>
      <c r="AP382" s="1808">
        <f t="shared" si="155"/>
        <v>1.8693630218508863</v>
      </c>
      <c r="AQ382" s="1810">
        <f>IF(AP382&gt;[11]核心假设及结论!$B$59,[11]核心假设及结论!$D$59,IF(AP382&lt;=[11]核心假设及结论!$B$58,[11]核心假设及结论!$D$57,[11]核心假设及结论!$D$58))</f>
        <v>1</v>
      </c>
      <c r="AR382" s="1809">
        <f t="shared" si="156"/>
        <v>441.06</v>
      </c>
      <c r="AS382" s="1811">
        <f>AH382*(AS$2&lt;=YEAR($K382))+AR382*$AQ382*(AS$2=YEAR($K382)+1)+INDEX([11]核心假设及结论!$E$17:$E$21,MATCH($D382,[11]核心假设及结论!$B$17:$B$21,0))*(AS$2&gt;YEAR($K382)+1)*AR382</f>
        <v>441.06</v>
      </c>
      <c r="AT382" s="1809">
        <f>AI382*(AT$2&lt;=YEAR($K382))+AS382*$AQ382*(AT$2=YEAR($K382)+1)+INDEX([11]核心假设及结论!$E$17:$E$21,MATCH($D382,[11]核心假设及结论!$B$17:$B$21,0))*(AT$2&gt;YEAR($K382)+1)*AS382</f>
        <v>453.00147500364886</v>
      </c>
      <c r="AU382" s="1809">
        <f>AJ382*(AU$2&lt;=YEAR($K382))+AT382*$AQ382*(AU$2=YEAR($K382)+1)+INDEX([11]核心假设及结论!$E$17:$E$21,MATCH($D382,[11]核心假设及结论!$B$17:$B$21,0))*(AU$2&gt;YEAR($K382)+1)*AT382</f>
        <v>465.26625936489711</v>
      </c>
      <c r="AV382" s="1809">
        <f>AK382*(AV$2&lt;=YEAR($K382))+AU382*$AQ382*(AV$2=YEAR($K382)+1)+INDEX([11]核心假设及结论!$E$17:$E$21,MATCH($D382,[11]核心假设及结论!$B$17:$B$21,0))*(AV$2&gt;YEAR($K382)+1)*AU382</f>
        <v>477.86310652003959</v>
      </c>
      <c r="AW382" s="1809">
        <f>AL382*(AW$2&lt;=YEAR($K382))+AV382*$AQ382*(AW$2=YEAR($K382)+1)+INDEX([11]核心假设及结论!$E$17:$E$21,MATCH($D382,[11]核心假设及结论!$B$17:$B$21,0))*(AW$2&gt;YEAR($K382)+1)*AV382</f>
        <v>490.80100690020339</v>
      </c>
      <c r="AX382" s="1809">
        <f>AM382*(AX$2&lt;=YEAR($K382))+AW382*$AQ382*(AX$2=YEAR($K382)+1)+INDEX([11]核心假设及结论!$E$17:$E$21,MATCH($D382,[11]核心假设及结论!$B$17:$B$21,0))*(AX$2&gt;YEAR($K382)+1)*AW382</f>
        <v>504.08919434786242</v>
      </c>
      <c r="AZ382" s="1746">
        <f t="shared" si="146"/>
        <v>45701</v>
      </c>
      <c r="BA382" s="1817">
        <f t="shared" si="147"/>
        <v>45658</v>
      </c>
      <c r="BB382" s="1817">
        <f t="shared" si="148"/>
        <v>45701</v>
      </c>
      <c r="BC382" s="1841">
        <f t="shared" si="149"/>
        <v>46022</v>
      </c>
      <c r="BD382" s="1842">
        <f t="shared" si="150"/>
        <v>44</v>
      </c>
      <c r="BE382" s="1842">
        <f t="shared" si="151"/>
        <v>321</v>
      </c>
      <c r="BG382" s="1843">
        <f t="shared" si="164"/>
        <v>38.636856000000002</v>
      </c>
      <c r="BH382" s="1843">
        <f t="shared" si="165"/>
        <v>39.556827234281108</v>
      </c>
      <c r="BI382" s="1843">
        <f t="shared" si="165"/>
        <v>40.627808197510205</v>
      </c>
      <c r="BJ382" s="1843">
        <f t="shared" si="165"/>
        <v>41.727785425197162</v>
      </c>
      <c r="BK382" s="1843">
        <f t="shared" si="165"/>
        <v>42.857543976443282</v>
      </c>
      <c r="BL382" s="1843">
        <f t="shared" si="165"/>
        <v>44.017890165425477</v>
      </c>
      <c r="BM382" s="1843">
        <f t="shared" si="165"/>
        <v>5.3231818923134275</v>
      </c>
      <c r="BO382" s="1739">
        <f t="shared" si="152"/>
        <v>2025</v>
      </c>
      <c r="BP382" s="1742">
        <f>_xlfn.IFNA(INDEX($AR382:$AX382,MATCH(BO382,$AR$2:$AX$2,0))*12/365*[11]核心假设及结论!$C$70*$H382,0)</f>
        <v>31756.320000000003</v>
      </c>
      <c r="BR382" s="1739">
        <f t="shared" si="157"/>
        <v>2027</v>
      </c>
      <c r="BS382" s="1742">
        <f>_xlfn.IFNA(INDEX($AR382:$AX382,MATCH(BR382,$AR$2:$AX$2,0))*12/365*[11]核心假设及结论!$C$70*$H382,0)</f>
        <v>32616.106200262715</v>
      </c>
      <c r="BU382" s="1739">
        <f t="shared" si="158"/>
        <v>2029</v>
      </c>
      <c r="BV382" s="1742">
        <f>_xlfn.IFNA(INDEX($AR382:$AX382,MATCH(BU382,$AR$2:$AX$2,0))*12/365*[11]核心假设及结论!$C$70*$H382,0)</f>
        <v>34406.143669442856</v>
      </c>
      <c r="BX382" s="1739">
        <f t="shared" si="159"/>
        <v>2031</v>
      </c>
      <c r="BY382" s="1742">
        <f>_xlfn.IFNA(INDEX($AR382:$AX382,MATCH(BX382,$AR$2:$AX$2,0))*12/365*[11]核心假设及结论!$C$70*$H382,0)</f>
        <v>36294.421993046089</v>
      </c>
      <c r="CA382" s="1739">
        <f t="shared" si="160"/>
        <v>2033</v>
      </c>
      <c r="CB382" s="1742">
        <f>_xlfn.IFNA(INDEX($AR382:$AX382,MATCH(CA382,$AR$2:$AX$2,0))*12/365*[11]核心假设及结论!$C$70*$H382,0)</f>
        <v>0</v>
      </c>
    </row>
    <row r="383" spans="1:80" ht="30" customHeight="1">
      <c r="A383" s="1763" t="s">
        <v>1666</v>
      </c>
      <c r="B383" s="1757" t="s">
        <v>2462</v>
      </c>
      <c r="C383" s="1764" t="s">
        <v>2463</v>
      </c>
      <c r="D383" s="1764" t="s">
        <v>1685</v>
      </c>
      <c r="E383" s="1764" t="s">
        <v>1692</v>
      </c>
      <c r="F383" s="1765"/>
      <c r="G383" s="1760" t="s">
        <v>1661</v>
      </c>
      <c r="H383" s="1761">
        <v>71</v>
      </c>
      <c r="I383" s="1763" t="s">
        <v>2356</v>
      </c>
      <c r="J383" s="1773">
        <v>45500</v>
      </c>
      <c r="K383" s="1773">
        <v>46594</v>
      </c>
      <c r="L383" s="1764">
        <f t="shared" si="142"/>
        <v>36</v>
      </c>
      <c r="M383" s="1774">
        <f t="shared" si="153"/>
        <v>64171.93</v>
      </c>
      <c r="N383" s="1775">
        <f t="shared" si="154"/>
        <v>790.83</v>
      </c>
      <c r="O383" s="1777">
        <v>56148.93</v>
      </c>
      <c r="P383" s="1763">
        <v>0.18</v>
      </c>
      <c r="Q383" s="1783">
        <f t="shared" si="143"/>
        <v>95</v>
      </c>
      <c r="R383" s="1763">
        <v>6745</v>
      </c>
      <c r="S383" s="1777">
        <f t="shared" si="144"/>
        <v>18</v>
      </c>
      <c r="T383" s="1763">
        <v>1278</v>
      </c>
      <c r="U383" s="1763"/>
      <c r="V383" s="1785">
        <v>23734</v>
      </c>
      <c r="W383" s="1785">
        <f t="shared" si="145"/>
        <v>334.28169014084506</v>
      </c>
      <c r="X383" s="1786">
        <f>(N383+Q383)*H383/V383</f>
        <v>2.6499507036319203</v>
      </c>
      <c r="Y383" s="1789">
        <f>VLOOKUP(E383,[11]核心假设及结论!$C$25:$E$45,3,0)</f>
        <v>0.2</v>
      </c>
      <c r="Z383" s="1790">
        <f t="shared" si="163"/>
        <v>56148.93</v>
      </c>
      <c r="AA383" s="1790">
        <f t="shared" si="163"/>
        <v>58308.75</v>
      </c>
      <c r="AB383" s="1790">
        <f t="shared" si="163"/>
        <v>60468.57</v>
      </c>
      <c r="AC383" s="1790">
        <f t="shared" si="161"/>
        <v>0</v>
      </c>
      <c r="AD383" s="1790">
        <f t="shared" si="161"/>
        <v>0</v>
      </c>
      <c r="AE383" s="1790">
        <f t="shared" si="161"/>
        <v>0</v>
      </c>
      <c r="AF383" s="1790">
        <f t="shared" si="161"/>
        <v>0</v>
      </c>
      <c r="AG383" s="1794">
        <v>790.83</v>
      </c>
      <c r="AH383" s="1794">
        <v>821.25</v>
      </c>
      <c r="AI383" s="1794">
        <v>851.67</v>
      </c>
      <c r="AJ383" s="1794">
        <v>0</v>
      </c>
      <c r="AK383" s="1794">
        <v>0</v>
      </c>
      <c r="AL383" s="1794">
        <v>0</v>
      </c>
      <c r="AM383" s="1794">
        <v>0</v>
      </c>
      <c r="AN383" s="1764"/>
      <c r="AO383" s="1764"/>
      <c r="AP383" s="1808">
        <f t="shared" si="155"/>
        <v>13.249753518159601</v>
      </c>
      <c r="AQ383" s="1810">
        <f>IF(AP383&gt;[11]核心假设及结论!$B$59,[11]核心假设及结论!$D$59,IF(AP383&lt;=[11]核心假设及结论!$B$58,[11]核心假设及结论!$D$57,[11]核心假设及结论!$D$58))</f>
        <v>1</v>
      </c>
      <c r="AR383" s="1809">
        <f t="shared" si="156"/>
        <v>790.83</v>
      </c>
      <c r="AS383" s="1809">
        <f>AH383*(AS$2&lt;=YEAR($K383))+AR383*$AQ383*(AS$2=YEAR($K383)+1)+INDEX([11]核心假设及结论!$E$17:$E$21,MATCH($D383,[11]核心假设及结论!$B$17:$B$21,0))*(AS$2&gt;YEAR($K383)+1)*AR383</f>
        <v>821.25</v>
      </c>
      <c r="AT383" s="1809">
        <f>AI383*(AT$2&lt;=YEAR($K383))+AS383*$AQ383*(AT$2=YEAR($K383)+1)+INDEX([11]核心假设及结论!$E$17:$E$21,MATCH($D383,[11]核心假设及结论!$B$17:$B$21,0))*(AT$2&gt;YEAR($K383)+1)*AS383</f>
        <v>851.67</v>
      </c>
      <c r="AU383" s="1811">
        <f>AJ383*(AU$2&lt;=YEAR($K383))+AT383*$AQ383*(AU$2=YEAR($K383)+1)+INDEX([11]核心假设及结论!$E$17:$E$21,MATCH($D383,[11]核心假设及结论!$B$17:$B$21,0))*(AU$2&gt;YEAR($K383)+1)*AT383</f>
        <v>851.67</v>
      </c>
      <c r="AV383" s="1809">
        <f>AK383*(AV$2&lt;=YEAR($K383))+AU383*$AQ383*(AV$2=YEAR($K383)+1)+INDEX([11]核心假设及结论!$E$17:$E$21,MATCH($D383,[11]核心假设及结论!$B$17:$B$21,0))*(AV$2&gt;YEAR($K383)+1)*AU383</f>
        <v>874.72853175612761</v>
      </c>
      <c r="AW383" s="1809">
        <f>AL383*(AW$2&lt;=YEAR($K383))+AV383*$AQ383*(AW$2=YEAR($K383)+1)+INDEX([11]核心假设及结论!$E$17:$E$21,MATCH($D383,[11]核心假设及结论!$B$17:$B$21,0))*(AW$2&gt;YEAR($K383)+1)*AV383</f>
        <v>898.41136152292643</v>
      </c>
      <c r="AX383" s="1809">
        <f>AM383*(AX$2&lt;=YEAR($K383))+AW383*$AQ383*(AX$2=YEAR($K383)+1)+INDEX([11]核心假设及结论!$E$17:$E$21,MATCH($D383,[11]核心假设及结论!$B$17:$B$21,0))*(AX$2&gt;YEAR($K383)+1)*AW383</f>
        <v>922.7353918512722</v>
      </c>
      <c r="AZ383" s="1746">
        <f t="shared" si="146"/>
        <v>46594</v>
      </c>
      <c r="BA383" s="1817">
        <f t="shared" si="147"/>
        <v>45658</v>
      </c>
      <c r="BB383" s="1817">
        <f t="shared" si="148"/>
        <v>45864</v>
      </c>
      <c r="BC383" s="1841">
        <f t="shared" si="149"/>
        <v>46022</v>
      </c>
      <c r="BD383" s="1842">
        <f t="shared" si="150"/>
        <v>207</v>
      </c>
      <c r="BE383" s="1842">
        <f t="shared" si="151"/>
        <v>158</v>
      </c>
      <c r="BG383" s="1843">
        <f t="shared" si="164"/>
        <v>68.500638936986306</v>
      </c>
      <c r="BH383" s="1843">
        <f t="shared" si="165"/>
        <v>71.092422936986296</v>
      </c>
      <c r="BI383" s="1843">
        <f t="shared" si="165"/>
        <v>72.562283999999991</v>
      </c>
      <c r="BJ383" s="1843">
        <f t="shared" si="165"/>
        <v>73.412707920789828</v>
      </c>
      <c r="BK383" s="1843">
        <f t="shared" si="165"/>
        <v>75.400319621207657</v>
      </c>
      <c r="BL383" s="1843">
        <f t="shared" si="165"/>
        <v>77.44174489673432</v>
      </c>
      <c r="BM383" s="1843">
        <f t="shared" si="165"/>
        <v>44.585562917385687</v>
      </c>
      <c r="BO383" s="1739">
        <f t="shared" si="152"/>
        <v>2027</v>
      </c>
      <c r="BP383" s="1742">
        <f>_xlfn.IFNA(INDEX($AR383:$AX383,MATCH(BO383,$AR$2:$AX$2,0))*12/365*[11]核心假设及结论!$C$70*$H383,0)</f>
        <v>59640.233424657526</v>
      </c>
      <c r="BR383" s="1739">
        <f t="shared" si="157"/>
        <v>2030</v>
      </c>
      <c r="BS383" s="1742">
        <f>_xlfn.IFNA(INDEX($AR383:$AX383,MATCH(BR383,$AR$2:$AX$2,0))*12/365*[11]核心假设及结论!$C$70*$H383,0)</f>
        <v>62913.409316509591</v>
      </c>
      <c r="BU383" s="1739">
        <f t="shared" si="158"/>
        <v>2033</v>
      </c>
      <c r="BV383" s="1742">
        <f>_xlfn.IFNA(INDEX($AR383:$AX383,MATCH(BU383,$AR$2:$AX$2,0))*12/365*[11]核心假设及结论!$C$70*$H383,0)</f>
        <v>0</v>
      </c>
      <c r="BX383" s="1739">
        <f t="shared" si="159"/>
        <v>2036</v>
      </c>
      <c r="BY383" s="1742">
        <f>_xlfn.IFNA(INDEX($AR383:$AX383,MATCH(BX383,$AR$2:$AX$2,0))*12/365*[11]核心假设及结论!$C$70*$H383,0)</f>
        <v>0</v>
      </c>
      <c r="CA383" s="1739">
        <f t="shared" si="160"/>
        <v>2039</v>
      </c>
      <c r="CB383" s="1742">
        <f>_xlfn.IFNA(INDEX($AR383:$AX383,MATCH(CA383,$AR$2:$AX$2,0))*12/365*[11]核心假设及结论!$C$70*$H383,0)</f>
        <v>0</v>
      </c>
    </row>
    <row r="384" spans="1:80" ht="30" customHeight="1">
      <c r="A384" s="1763" t="s">
        <v>1687</v>
      </c>
      <c r="B384" s="1757" t="s">
        <v>2464</v>
      </c>
      <c r="C384" s="1764" t="s">
        <v>2465</v>
      </c>
      <c r="D384" s="1764" t="s">
        <v>1685</v>
      </c>
      <c r="E384" s="1764" t="s">
        <v>1920</v>
      </c>
      <c r="F384" s="1765"/>
      <c r="G384" s="1760" t="s">
        <v>1661</v>
      </c>
      <c r="H384" s="1761">
        <v>71</v>
      </c>
      <c r="I384" s="1763" t="s">
        <v>2356</v>
      </c>
      <c r="J384" s="1773">
        <v>45200</v>
      </c>
      <c r="K384" s="1773">
        <v>45929</v>
      </c>
      <c r="L384" s="1764">
        <f t="shared" si="142"/>
        <v>24</v>
      </c>
      <c r="M384" s="1774">
        <f t="shared" si="153"/>
        <v>30743</v>
      </c>
      <c r="N384" s="1775">
        <f t="shared" si="154"/>
        <v>319.38</v>
      </c>
      <c r="O384" s="1777">
        <v>22675.98</v>
      </c>
      <c r="P384" s="1763">
        <v>0.12</v>
      </c>
      <c r="Q384" s="1783">
        <f t="shared" si="143"/>
        <v>95</v>
      </c>
      <c r="R384" s="1763">
        <v>6745</v>
      </c>
      <c r="S384" s="1777">
        <f t="shared" si="144"/>
        <v>18.62</v>
      </c>
      <c r="T384" s="1763">
        <v>1322.02</v>
      </c>
      <c r="U384" s="1763"/>
      <c r="V384" s="1785">
        <v>116297.1</v>
      </c>
      <c r="W384" s="1785">
        <f t="shared" si="145"/>
        <v>1637.987323943662</v>
      </c>
      <c r="X384" s="1786">
        <f>(N384+Q384+S384)*H384/V384</f>
        <v>0.26434881007350997</v>
      </c>
      <c r="Y384" s="1789">
        <f>VLOOKUP(E384,[11]核心假设及结论!$C$25:$E$45,3,0)</f>
        <v>0.25</v>
      </c>
      <c r="Z384" s="1790">
        <f t="shared" si="163"/>
        <v>23764.41</v>
      </c>
      <c r="AA384" s="1790">
        <f t="shared" si="163"/>
        <v>0</v>
      </c>
      <c r="AB384" s="1790">
        <f t="shared" si="163"/>
        <v>0</v>
      </c>
      <c r="AC384" s="1790">
        <f t="shared" si="161"/>
        <v>0</v>
      </c>
      <c r="AD384" s="1790">
        <f t="shared" si="161"/>
        <v>0</v>
      </c>
      <c r="AE384" s="1790">
        <f t="shared" si="161"/>
        <v>0</v>
      </c>
      <c r="AF384" s="1790">
        <f t="shared" si="161"/>
        <v>0</v>
      </c>
      <c r="AG384" s="1794">
        <v>334.71</v>
      </c>
      <c r="AH384" s="1794">
        <v>0</v>
      </c>
      <c r="AI384" s="1794">
        <v>0</v>
      </c>
      <c r="AJ384" s="1794">
        <v>0</v>
      </c>
      <c r="AK384" s="1794">
        <v>0</v>
      </c>
      <c r="AL384" s="1794">
        <v>0</v>
      </c>
      <c r="AM384" s="1794">
        <v>0</v>
      </c>
      <c r="AN384" s="1764"/>
      <c r="AO384" s="1764"/>
      <c r="AP384" s="1808">
        <f t="shared" si="155"/>
        <v>1.0573952402940399</v>
      </c>
      <c r="AQ384" s="1810">
        <f>IF(AP384&gt;[11]核心假设及结论!$B$59,[11]核心假设及结论!$D$59,IF(AP384&lt;=[11]核心假设及结论!$B$58,[11]核心假设及结论!$D$57,[11]核心假设及结论!$D$58))</f>
        <v>1.0069999999999999</v>
      </c>
      <c r="AR384" s="1809">
        <f t="shared" si="156"/>
        <v>334.71</v>
      </c>
      <c r="AS384" s="1811">
        <f>AH384*(AS$2&lt;=YEAR($K384))+AR384*$AQ384*(AS$2=YEAR($K384)+1)+INDEX([11]核心假设及结论!$E$17:$E$21,MATCH($D384,[11]核心假设及结论!$B$17:$B$21,0))*(AS$2&gt;YEAR($K384)+1)*AR384</f>
        <v>337.05296999999996</v>
      </c>
      <c r="AT384" s="1809">
        <f>AI384*(AT$2&lt;=YEAR($K384))+AS384*$AQ384*(AT$2=YEAR($K384)+1)+INDEX([11]核心假设及结论!$E$17:$E$21,MATCH($D384,[11]核心假设及结论!$B$17:$B$21,0))*(AT$2&gt;YEAR($K384)+1)*AS384</f>
        <v>346.17850760522515</v>
      </c>
      <c r="AU384" s="1809">
        <f>AJ384*(AU$2&lt;=YEAR($K384))+AT384*$AQ384*(AU$2=YEAR($K384)+1)+INDEX([11]核心假设及结论!$E$17:$E$21,MATCH($D384,[11]核心假设及结论!$B$17:$B$21,0))*(AU$2&gt;YEAR($K384)+1)*AT384</f>
        <v>355.55111449627913</v>
      </c>
      <c r="AV384" s="1809">
        <f>AK384*(AV$2&lt;=YEAR($K384))+AU384*$AQ384*(AV$2=YEAR($K384)+1)+INDEX([11]核心假设及结论!$E$17:$E$21,MATCH($D384,[11]核心假设及结论!$B$17:$B$21,0))*(AV$2&gt;YEAR($K384)+1)*AU384</f>
        <v>365.17747994831927</v>
      </c>
      <c r="AW384" s="1809">
        <f>AL384*(AW$2&lt;=YEAR($K384))+AV384*$AQ384*(AW$2=YEAR($K384)+1)+INDEX([11]核心假设及结论!$E$17:$E$21,MATCH($D384,[11]核心假设及结论!$B$17:$B$21,0))*(AW$2&gt;YEAR($K384)+1)*AV384</f>
        <v>375.06447434522295</v>
      </c>
      <c r="AX384" s="1809">
        <f>AM384*(AX$2&lt;=YEAR($K384))+AW384*$AQ384*(AX$2=YEAR($K384)+1)+INDEX([11]核心假设及结论!$E$17:$E$21,MATCH($D384,[11]核心假设及结论!$B$17:$B$21,0))*(AX$2&gt;YEAR($K384)+1)*AW384</f>
        <v>385.21915408301413</v>
      </c>
      <c r="AZ384" s="1746">
        <f t="shared" si="146"/>
        <v>45929</v>
      </c>
      <c r="BA384" s="1817">
        <f t="shared" si="147"/>
        <v>45658</v>
      </c>
      <c r="BB384" s="1817">
        <f t="shared" si="148"/>
        <v>45929</v>
      </c>
      <c r="BC384" s="1841">
        <f t="shared" si="149"/>
        <v>46022</v>
      </c>
      <c r="BD384" s="1842">
        <f t="shared" si="150"/>
        <v>272</v>
      </c>
      <c r="BE384" s="1842">
        <f t="shared" si="151"/>
        <v>93</v>
      </c>
      <c r="BG384" s="1843">
        <f t="shared" si="164"/>
        <v>28.568154348197254</v>
      </c>
      <c r="BH384" s="1843">
        <f t="shared" si="165"/>
        <v>28.915014714599341</v>
      </c>
      <c r="BI384" s="1843">
        <f t="shared" si="165"/>
        <v>29.697874020463694</v>
      </c>
      <c r="BJ384" s="1843">
        <f t="shared" si="165"/>
        <v>30.501928843564588</v>
      </c>
      <c r="BK384" s="1843">
        <f t="shared" si="165"/>
        <v>31.327753041742845</v>
      </c>
      <c r="BL384" s="1843">
        <f t="shared" si="165"/>
        <v>32.175936009748234</v>
      </c>
      <c r="BM384" s="1843">
        <f t="shared" si="165"/>
        <v>24.458144559949048</v>
      </c>
      <c r="BO384" s="1739">
        <f t="shared" si="152"/>
        <v>2025</v>
      </c>
      <c r="BP384" s="1742">
        <f>_xlfn.IFNA(INDEX($AR384:$AX384,MATCH(BO384,$AR$2:$AX$2,0))*12/365*[11]核心假设及结论!$C$70*$H384,0)</f>
        <v>23438.870136986301</v>
      </c>
      <c r="BR384" s="1739">
        <f t="shared" si="157"/>
        <v>2027</v>
      </c>
      <c r="BS384" s="1742">
        <f>_xlfn.IFNA(INDEX($AR384:$AX384,MATCH(BR384,$AR$2:$AX$2,0))*12/365*[11]核心假设及结论!$C$70*$H384,0)</f>
        <v>24241.979875039877</v>
      </c>
      <c r="BU384" s="1739">
        <f t="shared" si="158"/>
        <v>2029</v>
      </c>
      <c r="BV384" s="1742">
        <f>_xlfn.IFNA(INDEX($AR384:$AX384,MATCH(BU384,$AR$2:$AX$2,0))*12/365*[11]核心假设及结论!$C$70*$H384,0)</f>
        <v>25572.428458846687</v>
      </c>
      <c r="BX384" s="1739">
        <f t="shared" si="159"/>
        <v>2031</v>
      </c>
      <c r="BY384" s="1742">
        <f>_xlfn.IFNA(INDEX($AR384:$AX384,MATCH(BX384,$AR$2:$AX$2,0))*12/365*[11]核心假设及结论!$C$70*$H384,0)</f>
        <v>26975.894735237925</v>
      </c>
      <c r="CA384" s="1739">
        <f t="shared" si="160"/>
        <v>2033</v>
      </c>
      <c r="CB384" s="1742">
        <f>_xlfn.IFNA(INDEX($AR384:$AX384,MATCH(CA384,$AR$2:$AX$2,0))*12/365*[11]核心假设及结论!$C$70*$H384,0)</f>
        <v>0</v>
      </c>
    </row>
    <row r="385" spans="1:80" ht="30" customHeight="1">
      <c r="A385" s="1763" t="s">
        <v>1666</v>
      </c>
      <c r="B385" s="1757" t="s">
        <v>2466</v>
      </c>
      <c r="C385" s="1764" t="s">
        <v>2467</v>
      </c>
      <c r="D385" s="1764" t="s">
        <v>1698</v>
      </c>
      <c r="E385" s="1764" t="s">
        <v>1698</v>
      </c>
      <c r="F385" s="1765"/>
      <c r="G385" s="1760" t="s">
        <v>1661</v>
      </c>
      <c r="H385" s="1761">
        <v>70</v>
      </c>
      <c r="I385" s="1763" t="s">
        <v>2356</v>
      </c>
      <c r="J385" s="1773">
        <v>45660</v>
      </c>
      <c r="K385" s="1773">
        <v>46709</v>
      </c>
      <c r="L385" s="1764">
        <f t="shared" si="142"/>
        <v>35</v>
      </c>
      <c r="M385" s="1774">
        <f t="shared" si="153"/>
        <v>81372.2</v>
      </c>
      <c r="N385" s="1775">
        <f t="shared" si="154"/>
        <v>1049.46</v>
      </c>
      <c r="O385" s="1777">
        <v>73462.2</v>
      </c>
      <c r="P385" s="1763">
        <v>0.17</v>
      </c>
      <c r="Q385" s="1783">
        <f t="shared" si="143"/>
        <v>95</v>
      </c>
      <c r="R385" s="1763">
        <v>6650</v>
      </c>
      <c r="S385" s="1777">
        <f t="shared" si="144"/>
        <v>18</v>
      </c>
      <c r="T385" s="1763">
        <v>1260</v>
      </c>
      <c r="U385" s="1763"/>
      <c r="V385" s="1785">
        <v>270783.99083333299</v>
      </c>
      <c r="W385" s="1785">
        <f t="shared" si="145"/>
        <v>3868.3427261904712</v>
      </c>
      <c r="X385" s="1786">
        <f>(N385+Q385)*H385/V385</f>
        <v>0.29585279304532036</v>
      </c>
      <c r="Y385" s="1789">
        <f>VLOOKUP(E385,[11]核心假设及结论!$C$25:$E$45,3,0)</f>
        <v>0.2</v>
      </c>
      <c r="Z385" s="1790">
        <f t="shared" si="163"/>
        <v>78779.400000000009</v>
      </c>
      <c r="AA385" s="1790">
        <f t="shared" si="163"/>
        <v>82718.3</v>
      </c>
      <c r="AB385" s="1790">
        <f t="shared" si="163"/>
        <v>86853.9</v>
      </c>
      <c r="AC385" s="1790">
        <f t="shared" si="161"/>
        <v>0</v>
      </c>
      <c r="AD385" s="1790">
        <f t="shared" si="161"/>
        <v>0</v>
      </c>
      <c r="AE385" s="1790">
        <f t="shared" si="161"/>
        <v>0</v>
      </c>
      <c r="AF385" s="1790">
        <f t="shared" si="161"/>
        <v>0</v>
      </c>
      <c r="AG385" s="1794">
        <v>1125.42</v>
      </c>
      <c r="AH385" s="1794">
        <v>1181.69</v>
      </c>
      <c r="AI385" s="1794">
        <v>1240.77</v>
      </c>
      <c r="AJ385" s="1794">
        <v>0</v>
      </c>
      <c r="AK385" s="1794">
        <v>0</v>
      </c>
      <c r="AL385" s="1794">
        <v>0</v>
      </c>
      <c r="AM385" s="1794">
        <v>0</v>
      </c>
      <c r="AN385" s="1764"/>
      <c r="AO385" s="1764"/>
      <c r="AP385" s="1808">
        <f t="shared" si="155"/>
        <v>1.4792639652266018</v>
      </c>
      <c r="AQ385" s="1812">
        <f>IF(AP385&gt;[11]核心假设及结论!$B$62,[11]核心假设及结论!$D$62,IF(AP385&lt;=[11]核心假设及结论!$B$61,[11]核心假设及结论!$D$60,[11]核心假设及结论!$D$61))</f>
        <v>1.0489999999999999</v>
      </c>
      <c r="AR385" s="1809">
        <f t="shared" si="156"/>
        <v>1125.42</v>
      </c>
      <c r="AS385" s="1809">
        <f>AH385*(AS$2&lt;=YEAR($K385))+AR385*$AQ385*(AS$2=YEAR($K385)+1)+INDEX([11]核心假设及结论!$E$17:$E$21,MATCH($D385,[11]核心假设及结论!$B$17:$B$21,0))*(AS$2&gt;YEAR($K385)+1)*AR385</f>
        <v>1181.69</v>
      </c>
      <c r="AT385" s="1809">
        <f>AI385*(AT$2&lt;=YEAR($K385))+AS385*$AQ385*(AT$2=YEAR($K385)+1)+INDEX([11]核心假设及结论!$E$17:$E$21,MATCH($D385,[11]核心假设及结论!$B$17:$B$21,0))*(AT$2&gt;YEAR($K385)+1)*AS385</f>
        <v>1240.77</v>
      </c>
      <c r="AU385" s="1811">
        <f>AJ385*(AU$2&lt;=YEAR($K385))+AT385*$AQ385*(AU$2=YEAR($K385)+1)+INDEX([11]核心假设及结论!$E$17:$E$21,MATCH($D385,[11]核心假设及结论!$B$17:$B$21,0))*(AU$2&gt;YEAR($K385)+1)*AT385</f>
        <v>1301.56773</v>
      </c>
      <c r="AV385" s="1809">
        <f>AK385*(AV$2&lt;=YEAR($K385))+AU385*$AQ385*(AV$2=YEAR($K385)+1)+INDEX([11]核心假设及结论!$E$17:$E$21,MATCH($D385,[11]核心假设及结论!$B$17:$B$21,0))*(AV$2&gt;YEAR($K385)+1)*AU385</f>
        <v>1341.4183567982675</v>
      </c>
      <c r="AW385" s="1809">
        <f>AL385*(AW$2&lt;=YEAR($K385))+AV385*$AQ385*(AW$2=YEAR($K385)+1)+INDEX([11]核心假设及结论!$E$17:$E$21,MATCH($D385,[11]核心假设及结论!$B$17:$B$21,0))*(AW$2&gt;YEAR($K385)+1)*AV385</f>
        <v>1382.4891063912316</v>
      </c>
      <c r="AX385" s="1809">
        <f>AM385*(AX$2&lt;=YEAR($K385))+AW385*$AQ385*(AX$2=YEAR($K385)+1)+INDEX([11]核心假设及结论!$E$17:$E$21,MATCH($D385,[11]核心假设及结论!$B$17:$B$21,0))*(AX$2&gt;YEAR($K385)+1)*AW385</f>
        <v>1424.8173357730918</v>
      </c>
      <c r="AZ385" s="1746">
        <f t="shared" si="146"/>
        <v>46709</v>
      </c>
      <c r="BA385" s="1817">
        <f t="shared" si="147"/>
        <v>45658</v>
      </c>
      <c r="BB385" s="1817">
        <f t="shared" si="148"/>
        <v>45979</v>
      </c>
      <c r="BC385" s="1841">
        <f t="shared" si="149"/>
        <v>46022</v>
      </c>
      <c r="BD385" s="1842">
        <f t="shared" si="150"/>
        <v>322</v>
      </c>
      <c r="BE385" s="1842">
        <f t="shared" si="151"/>
        <v>43</v>
      </c>
      <c r="BG385" s="1843">
        <f t="shared" si="164"/>
        <v>95.092121753424664</v>
      </c>
      <c r="BH385" s="1843">
        <f t="shared" si="165"/>
        <v>99.846609205479453</v>
      </c>
      <c r="BI385" s="1843">
        <f t="shared" si="165"/>
        <v>104.82632767331508</v>
      </c>
      <c r="BJ385" s="1843">
        <f t="shared" si="165"/>
        <v>109.72604675560368</v>
      </c>
      <c r="BK385" s="1843">
        <f t="shared" si="165"/>
        <v>113.08557360812237</v>
      </c>
      <c r="BL385" s="1843">
        <f t="shared" si="165"/>
        <v>116.54796045611631</v>
      </c>
      <c r="BM385" s="1843">
        <f t="shared" si="165"/>
        <v>105.58481999449477</v>
      </c>
      <c r="BO385" s="1739">
        <f t="shared" si="152"/>
        <v>2027</v>
      </c>
      <c r="BP385" s="1742">
        <f>_xlfn.IFNA(INDEX($AR385:$AX385,MATCH(BO385,$AR$2:$AX$2,0))*12/365*[11]核心假设及结论!$C$70*$H385,0)</f>
        <v>85664.120547945189</v>
      </c>
      <c r="BR385" s="1739">
        <f t="shared" si="157"/>
        <v>2030</v>
      </c>
      <c r="BS385" s="1742">
        <f>_xlfn.IFNA(INDEX($AR385:$AX385,MATCH(BR385,$AR$2:$AX$2,0))*12/365*[11]核心假设及结论!$C$70*$H385,0)</f>
        <v>95448.562961805568</v>
      </c>
      <c r="BU385" s="1739">
        <f t="shared" si="158"/>
        <v>2033</v>
      </c>
      <c r="BV385" s="1742">
        <f>_xlfn.IFNA(INDEX($AR385:$AX385,MATCH(BU385,$AR$2:$AX$2,0))*12/365*[11]核心假设及结论!$C$70*$H385,0)</f>
        <v>0</v>
      </c>
      <c r="BX385" s="1739">
        <f t="shared" si="159"/>
        <v>2036</v>
      </c>
      <c r="BY385" s="1742">
        <f>_xlfn.IFNA(INDEX($AR385:$AX385,MATCH(BX385,$AR$2:$AX$2,0))*12/365*[11]核心假设及结论!$C$70*$H385,0)</f>
        <v>0</v>
      </c>
      <c r="CA385" s="1739">
        <f t="shared" si="160"/>
        <v>2039</v>
      </c>
      <c r="CB385" s="1742">
        <f>_xlfn.IFNA(INDEX($AR385:$AX385,MATCH(CA385,$AR$2:$AX$2,0))*12/365*[11]核心假设及结论!$C$70*$H385,0)</f>
        <v>0</v>
      </c>
    </row>
    <row r="386" spans="1:80" ht="30" customHeight="1">
      <c r="A386" s="1763" t="s">
        <v>1662</v>
      </c>
      <c r="B386" s="1757" t="s">
        <v>2468</v>
      </c>
      <c r="C386" s="1764" t="s">
        <v>2469</v>
      </c>
      <c r="D386" s="1764" t="s">
        <v>1698</v>
      </c>
      <c r="E386" s="1764" t="s">
        <v>1698</v>
      </c>
      <c r="F386" s="1765"/>
      <c r="G386" s="1760" t="s">
        <v>1661</v>
      </c>
      <c r="H386" s="1761">
        <v>70</v>
      </c>
      <c r="I386" s="1763" t="s">
        <v>2356</v>
      </c>
      <c r="J386" s="1773">
        <v>45383</v>
      </c>
      <c r="K386" s="1773">
        <v>46477</v>
      </c>
      <c r="L386" s="1764">
        <f t="shared" si="142"/>
        <v>36</v>
      </c>
      <c r="M386" s="1774">
        <f t="shared" si="153"/>
        <v>59010</v>
      </c>
      <c r="N386" s="1775">
        <f t="shared" si="154"/>
        <v>730</v>
      </c>
      <c r="O386" s="1777">
        <v>51100</v>
      </c>
      <c r="P386" s="1763">
        <v>0.1</v>
      </c>
      <c r="Q386" s="1783">
        <f t="shared" si="143"/>
        <v>95</v>
      </c>
      <c r="R386" s="1763">
        <v>6650</v>
      </c>
      <c r="S386" s="1777">
        <f t="shared" si="144"/>
        <v>18</v>
      </c>
      <c r="T386" s="1763">
        <v>1260</v>
      </c>
      <c r="U386" s="1763"/>
      <c r="V386" s="1785">
        <v>466810.32500000001</v>
      </c>
      <c r="W386" s="1785">
        <f t="shared" si="145"/>
        <v>6668.7189285714285</v>
      </c>
      <c r="X386" s="1786">
        <f>(N386+Q386)*H386/V386</f>
        <v>0.12371191661195582</v>
      </c>
      <c r="Y386" s="1789">
        <f>VLOOKUP(E386,[11]核心假设及结论!$C$25:$E$45,3,0)</f>
        <v>0.2</v>
      </c>
      <c r="Z386" s="1790">
        <f t="shared" si="163"/>
        <v>51100</v>
      </c>
      <c r="AA386" s="1790">
        <f t="shared" si="163"/>
        <v>52164.700000000004</v>
      </c>
      <c r="AB386" s="1790">
        <f t="shared" si="163"/>
        <v>53229.399999999994</v>
      </c>
      <c r="AC386" s="1790">
        <f t="shared" si="161"/>
        <v>0</v>
      </c>
      <c r="AD386" s="1790">
        <f t="shared" si="161"/>
        <v>0</v>
      </c>
      <c r="AE386" s="1790">
        <f t="shared" si="161"/>
        <v>0</v>
      </c>
      <c r="AF386" s="1790">
        <f t="shared" si="161"/>
        <v>0</v>
      </c>
      <c r="AG386" s="1794">
        <v>730</v>
      </c>
      <c r="AH386" s="1794">
        <v>745.21</v>
      </c>
      <c r="AI386" s="1794">
        <v>760.42</v>
      </c>
      <c r="AJ386" s="1794">
        <v>0</v>
      </c>
      <c r="AK386" s="1794">
        <v>0</v>
      </c>
      <c r="AL386" s="1794">
        <v>0</v>
      </c>
      <c r="AM386" s="1794">
        <v>0</v>
      </c>
      <c r="AN386" s="1764"/>
      <c r="AO386" s="1764"/>
      <c r="AP386" s="1808">
        <f t="shared" si="155"/>
        <v>0.61855958305977909</v>
      </c>
      <c r="AQ386" s="1812">
        <f>IF(AP386&gt;[11]核心假设及结论!$B$62,[11]核心假设及结论!$D$62,IF(AP386&lt;=[11]核心假设及结论!$B$61,[11]核心假设及结论!$D$60,[11]核心假设及结论!$D$61))</f>
        <v>1.0811176582269599</v>
      </c>
      <c r="AR386" s="1809">
        <f t="shared" si="156"/>
        <v>730</v>
      </c>
      <c r="AS386" s="1809">
        <f>AH386*(AS$2&lt;=YEAR($K386))+AR386*$AQ386*(AS$2=YEAR($K386)+1)+INDEX([11]核心假设及结论!$E$17:$E$21,MATCH($D386,[11]核心假设及结论!$B$17:$B$21,0))*(AS$2&gt;YEAR($K386)+1)*AR386</f>
        <v>745.21</v>
      </c>
      <c r="AT386" s="1809">
        <f>AI386*(AT$2&lt;=YEAR($K386))+AS386*$AQ386*(AT$2=YEAR($K386)+1)+INDEX([11]核心假设及结论!$E$17:$E$21,MATCH($D386,[11]核心假设及结论!$B$17:$B$21,0))*(AT$2&gt;YEAR($K386)+1)*AS386</f>
        <v>760.42</v>
      </c>
      <c r="AU386" s="1811">
        <f>AJ386*(AU$2&lt;=YEAR($K386))+AT386*$AQ386*(AU$2=YEAR($K386)+1)+INDEX([11]核心假设及结论!$E$17:$E$21,MATCH($D386,[11]核心假设及结论!$B$17:$B$21,0))*(AU$2&gt;YEAR($K386)+1)*AT386</f>
        <v>822.1034896689448</v>
      </c>
      <c r="AV386" s="1809">
        <f>AK386*(AV$2&lt;=YEAR($K386))+AU386*$AQ386*(AV$2=YEAR($K386)+1)+INDEX([11]核心假设及结论!$E$17:$E$21,MATCH($D386,[11]核心假设及结论!$B$17:$B$21,0))*(AV$2&gt;YEAR($K386)+1)*AU386</f>
        <v>847.27416546339646</v>
      </c>
      <c r="AW386" s="1809">
        <f>AL386*(AW$2&lt;=YEAR($K386))+AV386*$AQ386*(AW$2=YEAR($K386)+1)+INDEX([11]核心假设及结论!$E$17:$E$21,MATCH($D386,[11]核心假设及结论!$B$17:$B$21,0))*(AW$2&gt;YEAR($K386)+1)*AV386</f>
        <v>873.21550204193568</v>
      </c>
      <c r="AX386" s="1809">
        <f>AM386*(AX$2&lt;=YEAR($K386))+AW386*$AQ386*(AX$2=YEAR($K386)+1)+INDEX([11]核心假设及结论!$E$17:$E$21,MATCH($D386,[11]核心假设及结论!$B$17:$B$21,0))*(AX$2&gt;YEAR($K386)+1)*AW386</f>
        <v>899.95109503818708</v>
      </c>
      <c r="AZ386" s="1746">
        <f t="shared" si="146"/>
        <v>46477</v>
      </c>
      <c r="BA386" s="1817">
        <f t="shared" si="147"/>
        <v>45658</v>
      </c>
      <c r="BB386" s="1817">
        <f t="shared" si="148"/>
        <v>45747</v>
      </c>
      <c r="BC386" s="1841">
        <f t="shared" si="149"/>
        <v>46022</v>
      </c>
      <c r="BD386" s="1842">
        <f t="shared" si="150"/>
        <v>90</v>
      </c>
      <c r="BE386" s="1842">
        <f t="shared" si="151"/>
        <v>275</v>
      </c>
      <c r="BG386" s="1843">
        <f t="shared" si="164"/>
        <v>62.282605479452059</v>
      </c>
      <c r="BH386" s="1843">
        <f t="shared" si="165"/>
        <v>63.560245479452064</v>
      </c>
      <c r="BI386" s="1843">
        <f t="shared" si="165"/>
        <v>67.779084414664723</v>
      </c>
      <c r="BJ386" s="1843">
        <f t="shared" si="165"/>
        <v>70.649686586579946</v>
      </c>
      <c r="BK386" s="1843">
        <f t="shared" si="165"/>
        <v>72.812796679649296</v>
      </c>
      <c r="BL386" s="1843">
        <f t="shared" si="165"/>
        <v>75.042135591285344</v>
      </c>
      <c r="BM386" s="1843">
        <f t="shared" si="165"/>
        <v>18.640082954763546</v>
      </c>
      <c r="BO386" s="1739">
        <f t="shared" si="152"/>
        <v>2027</v>
      </c>
      <c r="BP386" s="1742">
        <f>_xlfn.IFNA(INDEX($AR386:$AX386,MATCH(BO386,$AR$2:$AX$2,0))*12/365*[11]核心假设及结论!$C$70*$H386,0)</f>
        <v>52500.230136986298</v>
      </c>
      <c r="BR386" s="1739">
        <f t="shared" si="157"/>
        <v>2030</v>
      </c>
      <c r="BS386" s="1742">
        <f>_xlfn.IFNA(INDEX($AR386:$AX386,MATCH(BR386,$AR$2:$AX$2,0))*12/365*[11]核心假设及结论!$C$70*$H386,0)</f>
        <v>60287.755209470619</v>
      </c>
      <c r="BU386" s="1739">
        <f t="shared" si="158"/>
        <v>2033</v>
      </c>
      <c r="BV386" s="1742">
        <f>_xlfn.IFNA(INDEX($AR386:$AX386,MATCH(BU386,$AR$2:$AX$2,0))*12/365*[11]核心假设及结论!$C$70*$H386,0)</f>
        <v>0</v>
      </c>
      <c r="BX386" s="1739">
        <f t="shared" si="159"/>
        <v>2036</v>
      </c>
      <c r="BY386" s="1742">
        <f>_xlfn.IFNA(INDEX($AR386:$AX386,MATCH(BX386,$AR$2:$AX$2,0))*12/365*[11]核心假设及结论!$C$70*$H386,0)</f>
        <v>0</v>
      </c>
      <c r="CA386" s="1739">
        <f t="shared" si="160"/>
        <v>2039</v>
      </c>
      <c r="CB386" s="1742">
        <f>_xlfn.IFNA(INDEX($AR386:$AX386,MATCH(CA386,$AR$2:$AX$2,0))*12/365*[11]核心假设及结论!$C$70*$H386,0)</f>
        <v>0</v>
      </c>
    </row>
    <row r="387" spans="1:80" ht="30" customHeight="1">
      <c r="A387" s="1763" t="s">
        <v>1687</v>
      </c>
      <c r="B387" s="1757" t="s">
        <v>2470</v>
      </c>
      <c r="C387" s="1764" t="s">
        <v>2471</v>
      </c>
      <c r="D387" s="1764" t="s">
        <v>1698</v>
      </c>
      <c r="E387" s="1764" t="s">
        <v>1698</v>
      </c>
      <c r="F387" s="1765"/>
      <c r="G387" s="1760" t="s">
        <v>1661</v>
      </c>
      <c r="H387" s="1761">
        <v>70</v>
      </c>
      <c r="I387" s="1763" t="s">
        <v>2356</v>
      </c>
      <c r="J387" s="1773">
        <v>45200</v>
      </c>
      <c r="K387" s="1773">
        <v>46072</v>
      </c>
      <c r="L387" s="1764">
        <f t="shared" si="142"/>
        <v>29</v>
      </c>
      <c r="M387" s="1774">
        <f t="shared" si="153"/>
        <v>24327.1</v>
      </c>
      <c r="N387" s="1775">
        <f t="shared" si="154"/>
        <v>239.52999999999997</v>
      </c>
      <c r="O387" s="1777">
        <v>16767.099999999999</v>
      </c>
      <c r="P387" s="1763">
        <v>0.11</v>
      </c>
      <c r="Q387" s="1783">
        <f t="shared" si="143"/>
        <v>90</v>
      </c>
      <c r="R387" s="1763">
        <v>6300</v>
      </c>
      <c r="S387" s="1777">
        <f t="shared" si="144"/>
        <v>18</v>
      </c>
      <c r="T387" s="1763">
        <v>1260</v>
      </c>
      <c r="U387" s="1763"/>
      <c r="V387" s="1785">
        <v>108147.581666667</v>
      </c>
      <c r="W387" s="1785">
        <f t="shared" si="145"/>
        <v>1544.9654523809572</v>
      </c>
      <c r="X387" s="1786">
        <f>(N387+Q387)*H387/V387</f>
        <v>0.21329279531277479</v>
      </c>
      <c r="Y387" s="1789">
        <f>VLOOKUP(E387,[11]核心假设及结论!$C$25:$E$45,3,0)</f>
        <v>0.2</v>
      </c>
      <c r="Z387" s="1790">
        <f t="shared" si="163"/>
        <v>16767.099999999999</v>
      </c>
      <c r="AA387" s="1790">
        <f t="shared" si="163"/>
        <v>17616.899999999998</v>
      </c>
      <c r="AB387" s="1790">
        <f t="shared" si="163"/>
        <v>0</v>
      </c>
      <c r="AC387" s="1790">
        <f t="shared" si="161"/>
        <v>0</v>
      </c>
      <c r="AD387" s="1790">
        <f t="shared" si="161"/>
        <v>0</v>
      </c>
      <c r="AE387" s="1790">
        <f t="shared" si="161"/>
        <v>0</v>
      </c>
      <c r="AF387" s="1790">
        <f t="shared" si="161"/>
        <v>0</v>
      </c>
      <c r="AG387" s="1794">
        <v>239.53</v>
      </c>
      <c r="AH387" s="1794">
        <v>251.67</v>
      </c>
      <c r="AI387" s="1794">
        <v>0</v>
      </c>
      <c r="AJ387" s="1794">
        <v>0</v>
      </c>
      <c r="AK387" s="1794">
        <v>0</v>
      </c>
      <c r="AL387" s="1794">
        <v>0</v>
      </c>
      <c r="AM387" s="1794">
        <v>0</v>
      </c>
      <c r="AN387" s="1764"/>
      <c r="AO387" s="1764"/>
      <c r="AP387" s="1808">
        <f t="shared" si="155"/>
        <v>1.0664639765638739</v>
      </c>
      <c r="AQ387" s="1812">
        <f>IF(AP387&gt;[11]核心假设及结论!$B$62,[11]核心假设及结论!$D$62,IF(AP387&lt;=[11]核心假设及结论!$B$61,[11]核心假设及结论!$D$60,[11]核心假设及结论!$D$61))</f>
        <v>1.0489999999999999</v>
      </c>
      <c r="AR387" s="1809">
        <f t="shared" si="156"/>
        <v>239.53</v>
      </c>
      <c r="AS387" s="1809">
        <f>AH387*(AS$2&lt;=YEAR($K387))+AR387*$AQ387*(AS$2=YEAR($K387)+1)+INDEX([11]核心假设及结论!$E$17:$E$21,MATCH($D387,[11]核心假设及结论!$B$17:$B$21,0))*(AS$2&gt;YEAR($K387)+1)*AR387</f>
        <v>251.67</v>
      </c>
      <c r="AT387" s="1811">
        <f>AI387*(AT$2&lt;=YEAR($K387))+AS387*$AQ387*(AT$2=YEAR($K387)+1)+INDEX([11]核心假设及结论!$E$17:$E$21,MATCH($D387,[11]核心假设及结论!$B$17:$B$21,0))*(AT$2&gt;YEAR($K387)+1)*AS387</f>
        <v>264.00182999999998</v>
      </c>
      <c r="AU387" s="1809">
        <f>AJ387*(AU$2&lt;=YEAR($K387))+AT387*$AQ387*(AU$2=YEAR($K387)+1)+INDEX([11]核心假设及结论!$E$17:$E$21,MATCH($D387,[11]核心假设及结论!$B$17:$B$21,0))*(AU$2&gt;YEAR($K387)+1)*AT387</f>
        <v>272.08488104597944</v>
      </c>
      <c r="AV387" s="1809">
        <f>AK387*(AV$2&lt;=YEAR($K387))+AU387*$AQ387*(AV$2=YEAR($K387)+1)+INDEX([11]核心假设及结论!$E$17:$E$21,MATCH($D387,[11]核心假设及结论!$B$17:$B$21,0))*(AV$2&gt;YEAR($K387)+1)*AU387</f>
        <v>280.41541414241254</v>
      </c>
      <c r="AW387" s="1809">
        <f>AL387*(AW$2&lt;=YEAR($K387))+AV387*$AQ387*(AW$2=YEAR($K387)+1)+INDEX([11]核心假设及结论!$E$17:$E$21,MATCH($D387,[11]核心假设及结论!$B$17:$B$21,0))*(AW$2&gt;YEAR($K387)+1)*AV387</f>
        <v>289.00100654755835</v>
      </c>
      <c r="AX387" s="1809">
        <f>AM387*(AX$2&lt;=YEAR($K387))+AW387*$AQ387*(AX$2=YEAR($K387)+1)+INDEX([11]核心假设及结论!$E$17:$E$21,MATCH($D387,[11]核心假设及结论!$B$17:$B$21,0))*(AX$2&gt;YEAR($K387)+1)*AW387</f>
        <v>297.8494675156636</v>
      </c>
      <c r="AZ387" s="1746">
        <f t="shared" si="146"/>
        <v>46072</v>
      </c>
      <c r="BA387" s="1817">
        <f t="shared" si="147"/>
        <v>45658</v>
      </c>
      <c r="BB387" s="1817">
        <f t="shared" si="148"/>
        <v>45707</v>
      </c>
      <c r="BC387" s="1841">
        <f t="shared" si="149"/>
        <v>46022</v>
      </c>
      <c r="BD387" s="1842">
        <f t="shared" si="150"/>
        <v>50</v>
      </c>
      <c r="BE387" s="1842">
        <f t="shared" si="151"/>
        <v>315</v>
      </c>
      <c r="BG387" s="1843">
        <f t="shared" si="164"/>
        <v>21.00058684931507</v>
      </c>
      <c r="BH387" s="1843">
        <f t="shared" si="165"/>
        <v>22.034253210410959</v>
      </c>
      <c r="BI387" s="1843">
        <f t="shared" si="165"/>
        <v>22.762119557470175</v>
      </c>
      <c r="BJ387" s="1843">
        <f t="shared" si="165"/>
        <v>23.459036598907808</v>
      </c>
      <c r="BK387" s="1843">
        <f t="shared" si="165"/>
        <v>24.177291431908291</v>
      </c>
      <c r="BL387" s="1843">
        <f t="shared" si="165"/>
        <v>24.917537364285486</v>
      </c>
      <c r="BM387" s="1843">
        <f t="shared" si="165"/>
        <v>3.4273089412761291</v>
      </c>
      <c r="BO387" s="1739">
        <f t="shared" si="152"/>
        <v>2026</v>
      </c>
      <c r="BP387" s="1742">
        <f>_xlfn.IFNA(INDEX($AR387:$AX387,MATCH(BO387,$AR$2:$AX$2,0))*12/365*[11]核心假设及结论!$C$70*$H387,0)</f>
        <v>17375.572602739729</v>
      </c>
      <c r="BR387" s="1739">
        <f t="shared" si="157"/>
        <v>2028</v>
      </c>
      <c r="BS387" s="1742">
        <f>_xlfn.IFNA(INDEX($AR387:$AX387,MATCH(BR387,$AR$2:$AX$2,0))*12/365*[11]核心假设及结论!$C$70*$H387,0)</f>
        <v>18785.038362626525</v>
      </c>
      <c r="BU387" s="1739">
        <f t="shared" si="158"/>
        <v>2030</v>
      </c>
      <c r="BV387" s="1742">
        <f>_xlfn.IFNA(INDEX($AR387:$AX387,MATCH(BU387,$AR$2:$AX$2,0))*12/365*[11]核心假设及结论!$C$70*$H387,0)</f>
        <v>19952.946205475266</v>
      </c>
      <c r="BX387" s="1739">
        <f t="shared" si="159"/>
        <v>2032</v>
      </c>
      <c r="BY387" s="1742">
        <f>_xlfn.IFNA(INDEX($AR387:$AX387,MATCH(BX387,$AR$2:$AX$2,0))*12/365*[11]核心假设及结论!$C$70*$H387,0)</f>
        <v>0</v>
      </c>
      <c r="CA387" s="1739">
        <f t="shared" si="160"/>
        <v>2034</v>
      </c>
      <c r="CB387" s="1742">
        <f>_xlfn.IFNA(INDEX($AR387:$AX387,MATCH(CA387,$AR$2:$AX$2,0))*12/365*[11]核心假设及结论!$C$70*$H387,0)</f>
        <v>0</v>
      </c>
    </row>
    <row r="388" spans="1:80" ht="30" customHeight="1">
      <c r="A388" s="1763" t="s">
        <v>1662</v>
      </c>
      <c r="B388" s="1757" t="s">
        <v>2472</v>
      </c>
      <c r="C388" s="1764" t="s">
        <v>2473</v>
      </c>
      <c r="D388" s="1764" t="s">
        <v>1685</v>
      </c>
      <c r="E388" s="1764" t="s">
        <v>1721</v>
      </c>
      <c r="F388" s="1765"/>
      <c r="G388" s="1760" t="s">
        <v>1661</v>
      </c>
      <c r="H388" s="1761">
        <v>69</v>
      </c>
      <c r="I388" s="1763" t="s">
        <v>2356</v>
      </c>
      <c r="J388" s="1773">
        <v>45139</v>
      </c>
      <c r="K388" s="1773">
        <v>46234</v>
      </c>
      <c r="L388" s="1764">
        <f t="shared" ref="L388:L452" si="168">DATEDIF(J388,K388,"M")+1</f>
        <v>36</v>
      </c>
      <c r="M388" s="1774">
        <f t="shared" si="153"/>
        <v>59920.98</v>
      </c>
      <c r="N388" s="1775">
        <f t="shared" si="154"/>
        <v>760.42000000000007</v>
      </c>
      <c r="O388" s="1777">
        <v>52468.98</v>
      </c>
      <c r="P388" s="1763">
        <v>0.16</v>
      </c>
      <c r="Q388" s="1783">
        <f t="shared" ref="Q388:Q452" si="169">R388/H388</f>
        <v>90</v>
      </c>
      <c r="R388" s="1763">
        <v>6210</v>
      </c>
      <c r="S388" s="1777">
        <f t="shared" ref="S388:S452" si="170">T388/H388</f>
        <v>18</v>
      </c>
      <c r="T388" s="1763">
        <v>1242</v>
      </c>
      <c r="U388" s="1763"/>
      <c r="V388" s="1785">
        <v>179860.435833333</v>
      </c>
      <c r="W388" s="1785">
        <f t="shared" ref="W388:W452" si="171">V388/H388</f>
        <v>2606.6729830917825</v>
      </c>
      <c r="X388" s="1786">
        <f>(N388+Q388+S388)*H388/V388</f>
        <v>0.33315264539626466</v>
      </c>
      <c r="Y388" s="1789">
        <f>VLOOKUP(E388,[11]核心假设及结论!$C$25:$E$45,3,0)</f>
        <v>0.25</v>
      </c>
      <c r="Z388" s="1790">
        <f t="shared" si="163"/>
        <v>55092.36</v>
      </c>
      <c r="AA388" s="1790">
        <f t="shared" si="163"/>
        <v>57846.840000000004</v>
      </c>
      <c r="AB388" s="1790">
        <f t="shared" si="163"/>
        <v>0</v>
      </c>
      <c r="AC388" s="1790">
        <f t="shared" si="161"/>
        <v>0</v>
      </c>
      <c r="AD388" s="1790">
        <f t="shared" si="161"/>
        <v>0</v>
      </c>
      <c r="AE388" s="1790">
        <f t="shared" si="161"/>
        <v>0</v>
      </c>
      <c r="AF388" s="1790">
        <f t="shared" si="161"/>
        <v>0</v>
      </c>
      <c r="AG388" s="1794">
        <v>798.44</v>
      </c>
      <c r="AH388" s="1794">
        <v>838.36</v>
      </c>
      <c r="AI388" s="1794">
        <v>0</v>
      </c>
      <c r="AJ388" s="1794">
        <v>0</v>
      </c>
      <c r="AK388" s="1794">
        <v>0</v>
      </c>
      <c r="AL388" s="1794">
        <v>0</v>
      </c>
      <c r="AM388" s="1794">
        <v>0</v>
      </c>
      <c r="AN388" s="1764"/>
      <c r="AO388" s="1764"/>
      <c r="AP388" s="1808">
        <f t="shared" si="155"/>
        <v>1.3326105815850586</v>
      </c>
      <c r="AQ388" s="1810">
        <f>IF(AP388&gt;[11]核心假设及结论!$B$59,[11]核心假设及结论!$D$59,IF(AP388&lt;=[11]核心假设及结论!$B$58,[11]核心假设及结论!$D$57,[11]核心假设及结论!$D$58))</f>
        <v>1.0069999999999999</v>
      </c>
      <c r="AR388" s="1809">
        <f t="shared" si="156"/>
        <v>798.44</v>
      </c>
      <c r="AS388" s="1809">
        <f>AH388*(AS$2&lt;=YEAR($K388))+AR388*$AQ388*(AS$2=YEAR($K388)+1)+INDEX([11]核心假设及结论!$E$17:$E$21,MATCH($D388,[11]核心假设及结论!$B$17:$B$21,0))*(AS$2&gt;YEAR($K388)+1)*AR388</f>
        <v>838.36</v>
      </c>
      <c r="AT388" s="1811">
        <f>AI388*(AT$2&lt;=YEAR($K388))+AS388*$AQ388*(AT$2=YEAR($K388)+1)+INDEX([11]核心假设及结论!$E$17:$E$21,MATCH($D388,[11]核心假设及结论!$B$17:$B$21,0))*(AT$2&gt;YEAR($K388)+1)*AS388</f>
        <v>844.22851999999989</v>
      </c>
      <c r="AU388" s="1809">
        <f>AJ388*(AU$2&lt;=YEAR($K388))+AT388*$AQ388*(AU$2=YEAR($K388)+1)+INDEX([11]核心假设及结论!$E$17:$E$21,MATCH($D388,[11]核心假设及结论!$B$17:$B$21,0))*(AU$2&gt;YEAR($K388)+1)*AT388</f>
        <v>867.08557747278701</v>
      </c>
      <c r="AV388" s="1809">
        <f>AK388*(AV$2&lt;=YEAR($K388))+AU388*$AQ388*(AV$2=YEAR($K388)+1)+INDEX([11]核心假设及结论!$E$17:$E$21,MATCH($D388,[11]核心假设及结论!$B$17:$B$21,0))*(AV$2&gt;YEAR($K388)+1)*AU388</f>
        <v>890.56147814257281</v>
      </c>
      <c r="AW388" s="1809">
        <f>AL388*(AW$2&lt;=YEAR($K388))+AV388*$AQ388*(AW$2=YEAR($K388)+1)+INDEX([11]核心假设及结论!$E$17:$E$21,MATCH($D388,[11]核心假设及结论!$B$17:$B$21,0))*(AW$2&gt;YEAR($K388)+1)*AV388</f>
        <v>914.67297687392943</v>
      </c>
      <c r="AX388" s="1809">
        <f>AM388*(AX$2&lt;=YEAR($K388))+AW388*$AQ388*(AX$2=YEAR($K388)+1)+INDEX([11]核心假设及结论!$E$17:$E$21,MATCH($D388,[11]核心假设及结论!$B$17:$B$21,0))*(AX$2&gt;YEAR($K388)+1)*AW388</f>
        <v>939.4372821608589</v>
      </c>
      <c r="AZ388" s="1746">
        <f t="shared" ref="AZ388:AZ452" si="172">K388</f>
        <v>46234</v>
      </c>
      <c r="BA388" s="1817">
        <f t="shared" ref="BA388:BA451" si="173">$BA$2</f>
        <v>45658</v>
      </c>
      <c r="BB388" s="1817">
        <f t="shared" ref="BB388:BB452" si="174">DATE(YEAR(BA388),MONTH(AZ388),DAY(AZ388))</f>
        <v>45869</v>
      </c>
      <c r="BC388" s="1841">
        <f t="shared" ref="BC388:BC452" si="175">$BB$2</f>
        <v>46022</v>
      </c>
      <c r="BD388" s="1842">
        <f t="shared" ref="BD388:BD452" si="176">BB388-BA388+1</f>
        <v>212</v>
      </c>
      <c r="BE388" s="1842">
        <f t="shared" ref="BE388:BE452" si="177">365-BD388</f>
        <v>153</v>
      </c>
      <c r="BG388" s="1843">
        <f t="shared" si="164"/>
        <v>67.496373172602731</v>
      </c>
      <c r="BH388" s="1843">
        <f t="shared" si="165"/>
        <v>69.619892270597262</v>
      </c>
      <c r="BI388" s="1843">
        <f t="shared" si="165"/>
        <v>70.695442954323994</v>
      </c>
      <c r="BJ388" s="1843">
        <f t="shared" si="165"/>
        <v>72.609486088842971</v>
      </c>
      <c r="BK388" s="1843">
        <f t="shared" si="165"/>
        <v>74.575350966994932</v>
      </c>
      <c r="BL388" s="1843">
        <f t="shared" si="165"/>
        <v>76.594440636111884</v>
      </c>
      <c r="BM388" s="1843">
        <f t="shared" si="165"/>
        <v>45.179469249695494</v>
      </c>
      <c r="BO388" s="1739">
        <f t="shared" ref="BO388:BO452" si="178">YEAR(K388)</f>
        <v>2026</v>
      </c>
      <c r="BP388" s="1742">
        <f>_xlfn.IFNA(INDEX($AR388:$AX388,MATCH(BO388,$AR$2:$AX$2,0))*12/365*[11]核心假设及结论!$C$70*$H388,0)</f>
        <v>57054.417534246575</v>
      </c>
      <c r="BR388" s="1739">
        <f t="shared" si="157"/>
        <v>2029</v>
      </c>
      <c r="BS388" s="1742">
        <f>_xlfn.IFNA(INDEX($AR388:$AX388,MATCH(BR388,$AR$2:$AX$2,0))*12/365*[11]核心假设及结论!$C$70*$H388,0)</f>
        <v>60606.978402908237</v>
      </c>
      <c r="BU388" s="1739">
        <f t="shared" si="158"/>
        <v>2032</v>
      </c>
      <c r="BV388" s="1742">
        <f>_xlfn.IFNA(INDEX($AR388:$AX388,MATCH(BU388,$AR$2:$AX$2,0))*12/365*[11]核心假设及结论!$C$70*$H388,0)</f>
        <v>0</v>
      </c>
      <c r="BX388" s="1739">
        <f t="shared" si="159"/>
        <v>2035</v>
      </c>
      <c r="BY388" s="1742">
        <f>_xlfn.IFNA(INDEX($AR388:$AX388,MATCH(BX388,$AR$2:$AX$2,0))*12/365*[11]核心假设及结论!$C$70*$H388,0)</f>
        <v>0</v>
      </c>
      <c r="CA388" s="1739">
        <f t="shared" si="160"/>
        <v>2038</v>
      </c>
      <c r="CB388" s="1742">
        <f>_xlfn.IFNA(INDEX($AR388:$AX388,MATCH(CA388,$AR$2:$AX$2,0))*12/365*[11]核心假设及结论!$C$70*$H388,0)</f>
        <v>0</v>
      </c>
    </row>
    <row r="389" spans="1:80" ht="30" customHeight="1">
      <c r="A389" s="1763" t="s">
        <v>1687</v>
      </c>
      <c r="B389" s="1757" t="s">
        <v>2474</v>
      </c>
      <c r="C389" s="1764" t="s">
        <v>2475</v>
      </c>
      <c r="D389" s="1764" t="s">
        <v>1676</v>
      </c>
      <c r="E389" s="1764" t="s">
        <v>1677</v>
      </c>
      <c r="F389" s="1765"/>
      <c r="G389" s="1760" t="s">
        <v>1661</v>
      </c>
      <c r="H389" s="1761">
        <v>69</v>
      </c>
      <c r="I389" s="1763" t="s">
        <v>2356</v>
      </c>
      <c r="J389" s="1773">
        <v>45422</v>
      </c>
      <c r="K389" s="1773">
        <v>46516</v>
      </c>
      <c r="L389" s="1764">
        <f t="shared" si="168"/>
        <v>36</v>
      </c>
      <c r="M389" s="1774">
        <f t="shared" ref="M389:M453" si="179">O389+R389+T389</f>
        <v>17365.23</v>
      </c>
      <c r="N389" s="1775">
        <f t="shared" ref="N389:N453" si="180">O389/H389</f>
        <v>158.16999999999999</v>
      </c>
      <c r="O389" s="1777">
        <v>10913.73</v>
      </c>
      <c r="P389" s="1763">
        <v>0.1</v>
      </c>
      <c r="Q389" s="1783">
        <f t="shared" si="169"/>
        <v>90</v>
      </c>
      <c r="R389" s="1763">
        <v>6210</v>
      </c>
      <c r="S389" s="1777">
        <f t="shared" si="170"/>
        <v>3.5</v>
      </c>
      <c r="T389" s="1763">
        <v>241.5</v>
      </c>
      <c r="U389" s="1763"/>
      <c r="V389" s="1785">
        <v>49944.3</v>
      </c>
      <c r="W389" s="1785">
        <f t="shared" si="171"/>
        <v>723.83043478260879</v>
      </c>
      <c r="X389" s="1786">
        <f>(N389+Q389)*H389/V389</f>
        <v>0.34285654218799738</v>
      </c>
      <c r="Y389" s="1789">
        <f>VLOOKUP(E389,[11]核心假设及结论!$C$25:$E$45,3,0)</f>
        <v>0.25</v>
      </c>
      <c r="Z389" s="1790">
        <f t="shared" si="163"/>
        <v>10913.73</v>
      </c>
      <c r="AA389" s="1790">
        <f t="shared" si="163"/>
        <v>11459.52</v>
      </c>
      <c r="AB389" s="1790">
        <f t="shared" si="163"/>
        <v>12026.01</v>
      </c>
      <c r="AC389" s="1790">
        <f t="shared" si="161"/>
        <v>0</v>
      </c>
      <c r="AD389" s="1790">
        <f t="shared" si="161"/>
        <v>0</v>
      </c>
      <c r="AE389" s="1790">
        <f t="shared" si="161"/>
        <v>0</v>
      </c>
      <c r="AF389" s="1790">
        <f t="shared" si="161"/>
        <v>0</v>
      </c>
      <c r="AG389" s="1794">
        <v>158.16999999999999</v>
      </c>
      <c r="AH389" s="1794">
        <v>166.08</v>
      </c>
      <c r="AI389" s="1794">
        <v>174.29</v>
      </c>
      <c r="AJ389" s="1794">
        <v>0</v>
      </c>
      <c r="AK389" s="1794">
        <v>0</v>
      </c>
      <c r="AL389" s="1794">
        <v>0</v>
      </c>
      <c r="AM389" s="1794">
        <v>0</v>
      </c>
      <c r="AN389" s="1764"/>
      <c r="AO389" s="1764"/>
      <c r="AP389" s="1808">
        <f t="shared" ref="AP389:AP452" si="181">IFERROR(X389/Y389,1.25)</f>
        <v>1.3714261687519895</v>
      </c>
      <c r="AQ389" s="1808">
        <f>IF(AP389&gt;[11]核心假设及结论!$B$65,[11]核心假设及结论!$D$65,IF(AP389&lt;=[11]核心假设及结论!$B$64,[11]核心假设及结论!$D$63,[11]核心假设及结论!$D$64))</f>
        <v>0.754</v>
      </c>
      <c r="AR389" s="1809">
        <f t="shared" ref="AR389:AR452" si="182">IF(K389&lt;=BA389,AQ389*AG389,AG389)</f>
        <v>158.16999999999999</v>
      </c>
      <c r="AS389" s="1809">
        <f>AH389*(AS$2&lt;=YEAR($K389))+AR389*$AQ389*(AS$2=YEAR($K389)+1)+INDEX([11]核心假设及结论!$E$17:$E$21,MATCH($D389,[11]核心假设及结论!$B$17:$B$21,0))*(AS$2&gt;YEAR($K389)+1)*AR389</f>
        <v>166.08</v>
      </c>
      <c r="AT389" s="1809">
        <f>AI389*(AT$2&lt;=YEAR($K389))+AS389*$AQ389*(AT$2=YEAR($K389)+1)+INDEX([11]核心假设及结论!$E$17:$E$21,MATCH($D389,[11]核心假设及结论!$B$17:$B$21,0))*(AT$2&gt;YEAR($K389)+1)*AS389</f>
        <v>174.29</v>
      </c>
      <c r="AU389" s="1811">
        <f>AJ389*(AU$2&lt;=YEAR($K389))+AT389*$AQ389*(AU$2=YEAR($K389)+1)+INDEX([11]核心假设及结论!$E$17:$E$21,MATCH($D389,[11]核心假设及结论!$B$17:$B$21,0))*(AU$2&gt;YEAR($K389)+1)*AT389</f>
        <v>131.41466</v>
      </c>
      <c r="AV389" s="1809">
        <f>AK389*(AV$2&lt;=YEAR($K389))+AU389*$AQ389*(AV$2=YEAR($K389)+1)+INDEX([11]核心假设及结论!$E$17:$E$21,MATCH($D389,[11]核心假设及结论!$B$17:$B$21,0))*(AV$2&gt;YEAR($K389)+1)*AU389</f>
        <v>135.9583333679542</v>
      </c>
      <c r="AW389" s="1809">
        <f>AL389*(AW$2&lt;=YEAR($K389))+AV389*$AQ389*(AW$2=YEAR($K389)+1)+INDEX([11]核心假设及结论!$E$17:$E$21,MATCH($D389,[11]核心假设及结论!$B$17:$B$21,0))*(AW$2&gt;YEAR($K389)+1)*AV389</f>
        <v>140.65910464016548</v>
      </c>
      <c r="AX389" s="1809">
        <f>AM389*(AX$2&lt;=YEAR($K389))+AW389*$AQ389*(AX$2=YEAR($K389)+1)+INDEX([11]核心假设及结论!$E$17:$E$21,MATCH($D389,[11]核心假设及结论!$B$17:$B$21,0))*(AX$2&gt;YEAR($K389)+1)*AW389</f>
        <v>145.5224054904192</v>
      </c>
      <c r="AZ389" s="1746">
        <f t="shared" si="172"/>
        <v>46516</v>
      </c>
      <c r="BA389" s="1817">
        <f t="shared" si="173"/>
        <v>45658</v>
      </c>
      <c r="BB389" s="1817">
        <f t="shared" si="174"/>
        <v>45786</v>
      </c>
      <c r="BC389" s="1841">
        <f t="shared" si="175"/>
        <v>46022</v>
      </c>
      <c r="BD389" s="1842">
        <f t="shared" si="176"/>
        <v>129</v>
      </c>
      <c r="BE389" s="1842">
        <f t="shared" si="177"/>
        <v>236</v>
      </c>
      <c r="BG389" s="1843">
        <f t="shared" si="164"/>
        <v>13.519949227397261</v>
      </c>
      <c r="BH389" s="1843">
        <f t="shared" si="165"/>
        <v>14.19095815890411</v>
      </c>
      <c r="BI389" s="1843">
        <f t="shared" si="165"/>
        <v>12.135819003090411</v>
      </c>
      <c r="BJ389" s="1843">
        <f t="shared" si="165"/>
        <v>11.124385937174026</v>
      </c>
      <c r="BK389" s="1843">
        <f t="shared" si="165"/>
        <v>11.509012554307773</v>
      </c>
      <c r="BL389" s="1843">
        <f t="shared" si="165"/>
        <v>11.906937670382794</v>
      </c>
      <c r="BM389" s="1843">
        <f t="shared" si="165"/>
        <v>4.2585038836281246</v>
      </c>
      <c r="BO389" s="1739">
        <f t="shared" si="178"/>
        <v>2027</v>
      </c>
      <c r="BP389" s="1742">
        <f>_xlfn.IFNA(INDEX($AR389:$AX389,MATCH(BO389,$AR$2:$AX$2,0))*12/365*[11]核心假设及结论!$C$70*$H389,0)</f>
        <v>11861.270136986301</v>
      </c>
      <c r="BR389" s="1739">
        <f t="shared" ref="BR389:BR452" si="183">BO389+ROUND($L389/12,0)</f>
        <v>2030</v>
      </c>
      <c r="BS389" s="1742">
        <f>_xlfn.IFNA(INDEX($AR389:$AX389,MATCH(BR389,$AR$2:$AX$2,0))*12/365*[11]核心假设及结论!$C$70*$H389,0)</f>
        <v>9572.5264637307137</v>
      </c>
      <c r="BU389" s="1739">
        <f t="shared" ref="BU389:BU452" si="184">BR389+ROUND($L389/12,0)</f>
        <v>2033</v>
      </c>
      <c r="BV389" s="1742">
        <f>_xlfn.IFNA(INDEX($AR389:$AX389,MATCH(BU389,$AR$2:$AX$2,0))*12/365*[11]核心假设及结论!$C$70*$H389,0)</f>
        <v>0</v>
      </c>
      <c r="BX389" s="1739">
        <f t="shared" ref="BX389:BX452" si="185">BU389+ROUND($L389/12,0)</f>
        <v>2036</v>
      </c>
      <c r="BY389" s="1742">
        <f>_xlfn.IFNA(INDEX($AR389:$AX389,MATCH(BX389,$AR$2:$AX$2,0))*12/365*[11]核心假设及结论!$C$70*$H389,0)</f>
        <v>0</v>
      </c>
      <c r="CA389" s="1739">
        <f t="shared" ref="CA389:CA452" si="186">BX389+ROUND($L389/12,0)</f>
        <v>2039</v>
      </c>
      <c r="CB389" s="1742">
        <f>_xlfn.IFNA(INDEX($AR389:$AX389,MATCH(CA389,$AR$2:$AX$2,0))*12/365*[11]核心假设及结论!$C$70*$H389,0)</f>
        <v>0</v>
      </c>
    </row>
    <row r="390" spans="1:80" ht="30" customHeight="1">
      <c r="A390" s="1763" t="s">
        <v>1662</v>
      </c>
      <c r="B390" s="1757" t="s">
        <v>2476</v>
      </c>
      <c r="C390" s="1764" t="s">
        <v>2477</v>
      </c>
      <c r="D390" s="1764" t="s">
        <v>1685</v>
      </c>
      <c r="E390" s="1764" t="s">
        <v>1721</v>
      </c>
      <c r="F390" s="1765"/>
      <c r="G390" s="1760" t="s">
        <v>1661</v>
      </c>
      <c r="H390" s="1761">
        <v>68</v>
      </c>
      <c r="I390" s="1763" t="s">
        <v>2356</v>
      </c>
      <c r="J390" s="1773">
        <v>44849</v>
      </c>
      <c r="K390" s="1773">
        <v>45944</v>
      </c>
      <c r="L390" s="1764">
        <f t="shared" si="168"/>
        <v>36</v>
      </c>
      <c r="M390" s="1774">
        <f t="shared" si="179"/>
        <v>58154.280000000006</v>
      </c>
      <c r="N390" s="1775">
        <f t="shared" si="180"/>
        <v>741.59</v>
      </c>
      <c r="O390" s="1777">
        <v>50428.12</v>
      </c>
      <c r="P390" s="1763">
        <v>0.17</v>
      </c>
      <c r="Q390" s="1783">
        <f t="shared" si="169"/>
        <v>95</v>
      </c>
      <c r="R390" s="1763">
        <v>6460</v>
      </c>
      <c r="S390" s="1777">
        <f t="shared" si="170"/>
        <v>18.62</v>
      </c>
      <c r="T390" s="1763">
        <v>1266.1600000000001</v>
      </c>
      <c r="U390" s="1763"/>
      <c r="V390" s="1785">
        <v>307295.5</v>
      </c>
      <c r="W390" s="1785">
        <f t="shared" si="171"/>
        <v>4519.0514705882351</v>
      </c>
      <c r="X390" s="1786">
        <f>(N390+Q390)*H390/V390</f>
        <v>0.1851251319983534</v>
      </c>
      <c r="Y390" s="1789">
        <f>VLOOKUP(E390,[11]核心假设及结论!$C$25:$E$45,3,0)</f>
        <v>0.25</v>
      </c>
      <c r="Z390" s="1790">
        <f t="shared" si="163"/>
        <v>53446.64</v>
      </c>
      <c r="AA390" s="1790">
        <f t="shared" si="163"/>
        <v>0</v>
      </c>
      <c r="AB390" s="1790">
        <f t="shared" si="163"/>
        <v>0</v>
      </c>
      <c r="AC390" s="1790">
        <f t="shared" si="161"/>
        <v>0</v>
      </c>
      <c r="AD390" s="1790">
        <f t="shared" si="161"/>
        <v>0</v>
      </c>
      <c r="AE390" s="1790">
        <f t="shared" si="161"/>
        <v>0</v>
      </c>
      <c r="AF390" s="1790">
        <f t="shared" si="161"/>
        <v>0</v>
      </c>
      <c r="AG390" s="1794">
        <v>785.98</v>
      </c>
      <c r="AH390" s="1794">
        <v>0</v>
      </c>
      <c r="AI390" s="1794">
        <v>0</v>
      </c>
      <c r="AJ390" s="1794">
        <v>0</v>
      </c>
      <c r="AK390" s="1794">
        <v>0</v>
      </c>
      <c r="AL390" s="1794">
        <v>0</v>
      </c>
      <c r="AM390" s="1794">
        <v>0</v>
      </c>
      <c r="AN390" s="1764"/>
      <c r="AO390" s="1764"/>
      <c r="AP390" s="1808">
        <f t="shared" si="181"/>
        <v>0.74050052799341359</v>
      </c>
      <c r="AQ390" s="1810">
        <f>IF(AP390&gt;[11]核心假设及结论!$B$59,[11]核心假设及结论!$D$59,IF(AP390&lt;=[11]核心假设及结论!$B$58,[11]核心假设及结论!$D$57,[11]核心假设及结论!$D$58))</f>
        <v>1.0342640124442799</v>
      </c>
      <c r="AR390" s="1809">
        <f t="shared" si="182"/>
        <v>785.98</v>
      </c>
      <c r="AS390" s="1811">
        <f>AH390*(AS$2&lt;=YEAR($K390))+AR390*$AQ390*(AS$2=YEAR($K390)+1)+INDEX([11]核心假设及结论!$E$17:$E$21,MATCH($D390,[11]核心假设及结论!$B$17:$B$21,0))*(AS$2&gt;YEAR($K390)+1)*AR390</f>
        <v>812.91082850095518</v>
      </c>
      <c r="AT390" s="1809">
        <f>AI390*(AT$2&lt;=YEAR($K390))+AS390*$AQ390*(AT$2=YEAR($K390)+1)+INDEX([11]核心假设及结论!$E$17:$E$21,MATCH($D390,[11]核心假设及结论!$B$17:$B$21,0))*(AT$2&gt;YEAR($K390)+1)*AS390</f>
        <v>834.9199754168842</v>
      </c>
      <c r="AU390" s="1809">
        <f>AJ390*(AU$2&lt;=YEAR($K390))+AT390*$AQ390*(AU$2=YEAR($K390)+1)+INDEX([11]核心假设及结论!$E$17:$E$21,MATCH($D390,[11]核心假设及结论!$B$17:$B$21,0))*(AU$2&gt;YEAR($K390)+1)*AT390</f>
        <v>857.52500878306535</v>
      </c>
      <c r="AV390" s="1809">
        <f>AK390*(AV$2&lt;=YEAR($K390))+AU390*$AQ390*(AV$2=YEAR($K390)+1)+INDEX([11]核心假设及结论!$E$17:$E$21,MATCH($D390,[11]核心假设及结论!$B$17:$B$21,0))*(AV$2&gt;YEAR($K390)+1)*AU390</f>
        <v>880.74206192183726</v>
      </c>
      <c r="AW390" s="1809">
        <f>AL390*(AW$2&lt;=YEAR($K390))+AV390*$AQ390*(AW$2=YEAR($K390)+1)+INDEX([11]核心假设及结论!$E$17:$E$21,MATCH($D390,[11]核心假设及结论!$B$17:$B$21,0))*(AW$2&gt;YEAR($K390)+1)*AV390</f>
        <v>904.58770495702925</v>
      </c>
      <c r="AX390" s="1809">
        <f>AM390*(AX$2&lt;=YEAR($K390))+AW390*$AQ390*(AX$2=YEAR($K390)+1)+INDEX([11]核心假设及结论!$E$17:$E$21,MATCH($D390,[11]核心假设及结论!$B$17:$B$21,0))*(AX$2&gt;YEAR($K390)+1)*AW390</f>
        <v>929.07895664013915</v>
      </c>
      <c r="AZ390" s="1746">
        <f t="shared" si="172"/>
        <v>45944</v>
      </c>
      <c r="BA390" s="1817">
        <f t="shared" si="173"/>
        <v>45658</v>
      </c>
      <c r="BB390" s="1817">
        <f t="shared" si="174"/>
        <v>45944</v>
      </c>
      <c r="BC390" s="1841">
        <f t="shared" si="175"/>
        <v>46022</v>
      </c>
      <c r="BD390" s="1842">
        <f t="shared" si="176"/>
        <v>287</v>
      </c>
      <c r="BE390" s="1842">
        <f t="shared" si="177"/>
        <v>78</v>
      </c>
      <c r="BG390" s="1843">
        <f t="shared" si="164"/>
        <v>64.605582622583228</v>
      </c>
      <c r="BH390" s="1843">
        <f t="shared" si="165"/>
        <v>66.717314888665626</v>
      </c>
      <c r="BI390" s="1843">
        <f t="shared" si="165"/>
        <v>68.52365223064534</v>
      </c>
      <c r="BJ390" s="1843">
        <f t="shared" si="165"/>
        <v>70.378895236746516</v>
      </c>
      <c r="BK390" s="1843">
        <f t="shared" si="165"/>
        <v>72.284368002932581</v>
      </c>
      <c r="BL390" s="1843">
        <f t="shared" si="165"/>
        <v>74.241430474391279</v>
      </c>
      <c r="BM390" s="1843">
        <f t="shared" si="165"/>
        <v>59.611742195470548</v>
      </c>
      <c r="BO390" s="1739">
        <f t="shared" si="178"/>
        <v>2025</v>
      </c>
      <c r="BP390" s="1742">
        <f>_xlfn.IFNA(INDEX($AR390:$AX390,MATCH(BO390,$AR$2:$AX$2,0))*12/365*[11]核心假设及结论!$C$70*$H390,0)</f>
        <v>52714.494246575341</v>
      </c>
      <c r="BR390" s="1739">
        <f t="shared" si="183"/>
        <v>2028</v>
      </c>
      <c r="BS390" s="1742">
        <f>_xlfn.IFNA(INDEX($AR390:$AX390,MATCH(BR390,$AR$2:$AX$2,0))*12/365*[11]核心假设及结论!$C$70*$H390,0)</f>
        <v>57512.910178108054</v>
      </c>
      <c r="BU390" s="1739">
        <f t="shared" si="184"/>
        <v>2031</v>
      </c>
      <c r="BV390" s="1742">
        <f>_xlfn.IFNA(INDEX($AR390:$AX390,MATCH(BU390,$AR$2:$AX$2,0))*12/365*[11]核心假设及结论!$C$70*$H390,0)</f>
        <v>62311.925639864676</v>
      </c>
      <c r="BX390" s="1739">
        <f t="shared" si="185"/>
        <v>2034</v>
      </c>
      <c r="BY390" s="1742">
        <f>_xlfn.IFNA(INDEX($AR390:$AX390,MATCH(BX390,$AR$2:$AX$2,0))*12/365*[11]核心假设及结论!$C$70*$H390,0)</f>
        <v>0</v>
      </c>
      <c r="CA390" s="1739">
        <f t="shared" si="186"/>
        <v>2037</v>
      </c>
      <c r="CB390" s="1742">
        <f>_xlfn.IFNA(INDEX($AR390:$AX390,MATCH(CA390,$AR$2:$AX$2,0))*12/365*[11]核心假设及结论!$C$70*$H390,0)</f>
        <v>0</v>
      </c>
    </row>
    <row r="391" spans="1:80" ht="30" customHeight="1">
      <c r="A391" s="1763" t="s">
        <v>1662</v>
      </c>
      <c r="B391" s="1757" t="s">
        <v>2478</v>
      </c>
      <c r="C391" s="1764" t="s">
        <v>2479</v>
      </c>
      <c r="D391" s="1764" t="s">
        <v>1685</v>
      </c>
      <c r="E391" s="1764" t="s">
        <v>1838</v>
      </c>
      <c r="F391" s="1765"/>
      <c r="G391" s="1760" t="s">
        <v>1661</v>
      </c>
      <c r="H391" s="1761">
        <v>68</v>
      </c>
      <c r="I391" s="1763" t="s">
        <v>2356</v>
      </c>
      <c r="J391" s="1773">
        <v>44286</v>
      </c>
      <c r="K391" s="1773">
        <v>46111</v>
      </c>
      <c r="L391" s="1764">
        <f t="shared" si="168"/>
        <v>60</v>
      </c>
      <c r="M391" s="1774">
        <f t="shared" si="179"/>
        <v>52196.160000000003</v>
      </c>
      <c r="N391" s="1775">
        <f t="shared" si="180"/>
        <v>653.97058823529414</v>
      </c>
      <c r="O391" s="1777">
        <v>44470</v>
      </c>
      <c r="P391" s="1763">
        <v>0.1</v>
      </c>
      <c r="Q391" s="1783">
        <f t="shared" si="169"/>
        <v>95</v>
      </c>
      <c r="R391" s="1763">
        <v>6460</v>
      </c>
      <c r="S391" s="1777">
        <f t="shared" si="170"/>
        <v>18.62</v>
      </c>
      <c r="T391" s="1763">
        <v>1266.1600000000001</v>
      </c>
      <c r="U391" s="1763"/>
      <c r="V391" s="1785">
        <v>26974.083333333299</v>
      </c>
      <c r="W391" s="1785">
        <f t="shared" si="171"/>
        <v>396.67769607843087</v>
      </c>
      <c r="X391" s="1786">
        <f>(N391+Q391)*H391/V391</f>
        <v>1.8881086474980637</v>
      </c>
      <c r="Y391" s="1789">
        <f>VLOOKUP(E391,[11]核心假设及结论!$C$25:$E$45,3,0)</f>
        <v>0.2</v>
      </c>
      <c r="Z391" s="1790">
        <f t="shared" si="163"/>
        <v>44469.999999999993</v>
      </c>
      <c r="AA391" s="1790">
        <f t="shared" si="163"/>
        <v>45503.56</v>
      </c>
      <c r="AB391" s="1790">
        <f t="shared" si="163"/>
        <v>0</v>
      </c>
      <c r="AC391" s="1790">
        <f t="shared" si="161"/>
        <v>0</v>
      </c>
      <c r="AD391" s="1790">
        <f t="shared" si="161"/>
        <v>0</v>
      </c>
      <c r="AE391" s="1790">
        <f t="shared" si="161"/>
        <v>0</v>
      </c>
      <c r="AF391" s="1790">
        <f t="shared" si="161"/>
        <v>0</v>
      </c>
      <c r="AG391" s="1794">
        <v>653.97058823529403</v>
      </c>
      <c r="AH391" s="1794">
        <v>669.17</v>
      </c>
      <c r="AI391" s="1794">
        <v>0</v>
      </c>
      <c r="AJ391" s="1794">
        <v>0</v>
      </c>
      <c r="AK391" s="1794">
        <v>0</v>
      </c>
      <c r="AL391" s="1794">
        <v>0</v>
      </c>
      <c r="AM391" s="1794">
        <v>0</v>
      </c>
      <c r="AN391" s="1764"/>
      <c r="AO391" s="1764"/>
      <c r="AP391" s="1808">
        <f t="shared" si="181"/>
        <v>9.4405432374903189</v>
      </c>
      <c r="AQ391" s="1810">
        <f>IF(AP391&gt;[11]核心假设及结论!$B$59,[11]核心假设及结论!$D$59,IF(AP391&lt;=[11]核心假设及结论!$B$58,[11]核心假设及结论!$D$57,[11]核心假设及结论!$D$58))</f>
        <v>1</v>
      </c>
      <c r="AR391" s="1809">
        <f t="shared" si="182"/>
        <v>653.97058823529403</v>
      </c>
      <c r="AS391" s="1809">
        <f>AH391*(AS$2&lt;=YEAR($K391))+AR391*$AQ391*(AS$2=YEAR($K391)+1)+INDEX([11]核心假设及结论!$E$17:$E$21,MATCH($D391,[11]核心假设及结论!$B$17:$B$21,0))*(AS$2&gt;YEAR($K391)+1)*AR391</f>
        <v>669.17</v>
      </c>
      <c r="AT391" s="1811">
        <f>AI391*(AT$2&lt;=YEAR($K391))+AS391*$AQ391*(AT$2=YEAR($K391)+1)+INDEX([11]核心假设及结论!$E$17:$E$21,MATCH($D391,[11]核心假设及结论!$B$17:$B$21,0))*(AT$2&gt;YEAR($K391)+1)*AS391</f>
        <v>669.17</v>
      </c>
      <c r="AU391" s="1809">
        <f>AJ391*(AU$2&lt;=YEAR($K391))+AT391*$AQ391*(AU$2=YEAR($K391)+1)+INDEX([11]核心假设及结论!$E$17:$E$21,MATCH($D391,[11]核心假设及结论!$B$17:$B$21,0))*(AU$2&gt;YEAR($K391)+1)*AT391</f>
        <v>687.28743714730808</v>
      </c>
      <c r="AV391" s="1809">
        <f>AK391*(AV$2&lt;=YEAR($K391))+AU391*$AQ391*(AV$2=YEAR($K391)+1)+INDEX([11]核心假设及结论!$E$17:$E$21,MATCH($D391,[11]核心假设及结论!$B$17:$B$21,0))*(AV$2&gt;YEAR($K391)+1)*AU391</f>
        <v>705.89539468373505</v>
      </c>
      <c r="AW391" s="1809">
        <f>AL391*(AW$2&lt;=YEAR($K391))+AV391*$AQ391*(AW$2=YEAR($K391)+1)+INDEX([11]核心假设及结论!$E$17:$E$21,MATCH($D391,[11]核心假设及结论!$B$17:$B$21,0))*(AW$2&gt;YEAR($K391)+1)*AV391</f>
        <v>725.00715319914491</v>
      </c>
      <c r="AX391" s="1809">
        <f>AM391*(AX$2&lt;=YEAR($K391))+AW391*$AQ391*(AX$2=YEAR($K391)+1)+INDEX([11]核心假设及结论!$E$17:$E$21,MATCH($D391,[11]核心假设及结论!$B$17:$B$21,0))*(AX$2&gt;YEAR($K391)+1)*AW391</f>
        <v>744.63635284861255</v>
      </c>
      <c r="AZ391" s="1746">
        <f t="shared" si="172"/>
        <v>46111</v>
      </c>
      <c r="BA391" s="1817">
        <f t="shared" si="173"/>
        <v>45658</v>
      </c>
      <c r="BB391" s="1817">
        <f t="shared" si="174"/>
        <v>45746</v>
      </c>
      <c r="BC391" s="1841">
        <f t="shared" si="175"/>
        <v>46022</v>
      </c>
      <c r="BD391" s="1842">
        <f t="shared" si="176"/>
        <v>89</v>
      </c>
      <c r="BE391" s="1842">
        <f t="shared" si="177"/>
        <v>276</v>
      </c>
      <c r="BG391" s="1843">
        <f t="shared" si="164"/>
        <v>54.301849512328758</v>
      </c>
      <c r="BH391" s="1843">
        <f t="shared" si="165"/>
        <v>54.604271999999995</v>
      </c>
      <c r="BI391" s="1843">
        <f t="shared" si="165"/>
        <v>55.722172472484424</v>
      </c>
      <c r="BJ391" s="1843">
        <f t="shared" si="165"/>
        <v>57.230821929994029</v>
      </c>
      <c r="BK391" s="1843">
        <f t="shared" si="165"/>
        <v>58.780317303674025</v>
      </c>
      <c r="BL391" s="1843">
        <f t="shared" si="165"/>
        <v>60.37176447591446</v>
      </c>
      <c r="BM391" s="1843">
        <f t="shared" si="165"/>
        <v>14.816019312130857</v>
      </c>
      <c r="BO391" s="1739">
        <f t="shared" si="178"/>
        <v>2026</v>
      </c>
      <c r="BP391" s="1742">
        <f>_xlfn.IFNA(INDEX($AR391:$AX391,MATCH(BO391,$AR$2:$AX$2,0))*12/365*[11]核心假设及结论!$C$70*$H391,0)</f>
        <v>44880.223561643827</v>
      </c>
      <c r="BR391" s="1739">
        <f t="shared" si="183"/>
        <v>2031</v>
      </c>
      <c r="BS391" s="1742">
        <f>_xlfn.IFNA(INDEX($AR391:$AX391,MATCH(BR391,$AR$2:$AX$2,0))*12/365*[11]核心假设及结论!$C$70*$H391,0)</f>
        <v>49941.638130778178</v>
      </c>
      <c r="BU391" s="1739">
        <f t="shared" si="184"/>
        <v>2036</v>
      </c>
      <c r="BV391" s="1742">
        <f>_xlfn.IFNA(INDEX($AR391:$AX391,MATCH(BU391,$AR$2:$AX$2,0))*12/365*[11]核心假设及结论!$C$70*$H391,0)</f>
        <v>0</v>
      </c>
      <c r="BX391" s="1739">
        <f t="shared" si="185"/>
        <v>2041</v>
      </c>
      <c r="BY391" s="1742">
        <f>_xlfn.IFNA(INDEX($AR391:$AX391,MATCH(BX391,$AR$2:$AX$2,0))*12/365*[11]核心假设及结论!$C$70*$H391,0)</f>
        <v>0</v>
      </c>
      <c r="CA391" s="1739">
        <f t="shared" si="186"/>
        <v>2046</v>
      </c>
      <c r="CB391" s="1742">
        <f>_xlfn.IFNA(INDEX($AR391:$AX391,MATCH(CA391,$AR$2:$AX$2,0))*12/365*[11]核心假设及结论!$C$70*$H391,0)</f>
        <v>0</v>
      </c>
    </row>
    <row r="392" spans="1:80" ht="30" customHeight="1">
      <c r="A392" s="1763" t="s">
        <v>1687</v>
      </c>
      <c r="B392" s="1757" t="s">
        <v>2480</v>
      </c>
      <c r="C392" s="1764" t="s">
        <v>2481</v>
      </c>
      <c r="D392" s="1764" t="s">
        <v>1685</v>
      </c>
      <c r="E392" s="1764" t="s">
        <v>1871</v>
      </c>
      <c r="F392" s="1765"/>
      <c r="G392" s="1760" t="s">
        <v>1661</v>
      </c>
      <c r="H392" s="1761">
        <v>66</v>
      </c>
      <c r="I392" s="1763" t="s">
        <v>2356</v>
      </c>
      <c r="J392" s="1773">
        <v>44819</v>
      </c>
      <c r="K392" s="1773">
        <v>46279</v>
      </c>
      <c r="L392" s="1764">
        <f t="shared" si="168"/>
        <v>48</v>
      </c>
      <c r="M392" s="1774">
        <f t="shared" si="179"/>
        <v>73708.800000000003</v>
      </c>
      <c r="N392" s="1775">
        <f t="shared" si="180"/>
        <v>1003.8000000000001</v>
      </c>
      <c r="O392" s="1777">
        <v>66250.8</v>
      </c>
      <c r="P392" s="1763">
        <v>0.18</v>
      </c>
      <c r="Q392" s="1783">
        <f t="shared" si="169"/>
        <v>95</v>
      </c>
      <c r="R392" s="1763">
        <v>6270</v>
      </c>
      <c r="S392" s="1777">
        <f t="shared" si="170"/>
        <v>18</v>
      </c>
      <c r="T392" s="1763">
        <v>1188</v>
      </c>
      <c r="U392" s="1763"/>
      <c r="V392" s="1785">
        <v>228922.16666666701</v>
      </c>
      <c r="W392" s="1785">
        <f t="shared" si="171"/>
        <v>3468.5176767676821</v>
      </c>
      <c r="X392" s="1786">
        <f>(N392+Q392+S392)*H392/V392</f>
        <v>0.32198192544336351</v>
      </c>
      <c r="Y392" s="1789">
        <f>VLOOKUP(E392,[11]核心假设及结论!$C$25:$E$45,3,0)</f>
        <v>0.2</v>
      </c>
      <c r="Z392" s="1790">
        <f t="shared" si="163"/>
        <v>70262.28</v>
      </c>
      <c r="AA392" s="1790">
        <f t="shared" si="163"/>
        <v>71266.14</v>
      </c>
      <c r="AB392" s="1790">
        <f t="shared" si="163"/>
        <v>0</v>
      </c>
      <c r="AC392" s="1790">
        <f t="shared" si="161"/>
        <v>0</v>
      </c>
      <c r="AD392" s="1790">
        <f t="shared" si="161"/>
        <v>0</v>
      </c>
      <c r="AE392" s="1790">
        <f t="shared" si="161"/>
        <v>0</v>
      </c>
      <c r="AF392" s="1790">
        <f t="shared" si="161"/>
        <v>0</v>
      </c>
      <c r="AG392" s="1794">
        <v>1064.58</v>
      </c>
      <c r="AH392" s="1794">
        <v>1079.79</v>
      </c>
      <c r="AI392" s="1794">
        <v>0</v>
      </c>
      <c r="AJ392" s="1794">
        <v>0</v>
      </c>
      <c r="AK392" s="1794">
        <v>0</v>
      </c>
      <c r="AL392" s="1794">
        <v>0</v>
      </c>
      <c r="AM392" s="1794">
        <v>0</v>
      </c>
      <c r="AN392" s="1764"/>
      <c r="AO392" s="1764"/>
      <c r="AP392" s="1808">
        <f t="shared" si="181"/>
        <v>1.6099096272168174</v>
      </c>
      <c r="AQ392" s="1810">
        <f>IF(AP392&gt;[11]核心假设及结论!$B$59,[11]核心假设及结论!$D$59,IF(AP392&lt;=[11]核心假设及结论!$B$58,[11]核心假设及结论!$D$57,[11]核心假设及结论!$D$58))</f>
        <v>1</v>
      </c>
      <c r="AR392" s="1809">
        <f t="shared" si="182"/>
        <v>1064.58</v>
      </c>
      <c r="AS392" s="1809">
        <f>AH392*(AS$2&lt;=YEAR($K392))+AR392*$AQ392*(AS$2=YEAR($K392)+1)+INDEX([11]核心假设及结论!$E$17:$E$21,MATCH($D392,[11]核心假设及结论!$B$17:$B$21,0))*(AS$2&gt;YEAR($K392)+1)*AR392</f>
        <v>1079.79</v>
      </c>
      <c r="AT392" s="1811">
        <f>AI392*(AT$2&lt;=YEAR($K392))+AS392*$AQ392*(AT$2=YEAR($K392)+1)+INDEX([11]核心假设及结论!$E$17:$E$21,MATCH($D392,[11]核心假设及结论!$B$17:$B$21,0))*(AT$2&gt;YEAR($K392)+1)*AS392</f>
        <v>1079.79</v>
      </c>
      <c r="AU392" s="1809">
        <f>AJ392*(AU$2&lt;=YEAR($K392))+AT392*$AQ392*(AU$2=YEAR($K392)+1)+INDEX([11]核心假设及结论!$E$17:$E$21,MATCH($D392,[11]核心假设及结论!$B$17:$B$21,0))*(AU$2&gt;YEAR($K392)+1)*AT392</f>
        <v>1109.0247646446969</v>
      </c>
      <c r="AV392" s="1809">
        <f>AK392*(AV$2&lt;=YEAR($K392))+AU392*$AQ392*(AV$2=YEAR($K392)+1)+INDEX([11]核心假设及结论!$E$17:$E$21,MATCH($D392,[11]核心假设及结论!$B$17:$B$21,0))*(AV$2&gt;YEAR($K392)+1)*AU392</f>
        <v>1139.0510456618651</v>
      </c>
      <c r="AW392" s="1809">
        <f>AL392*(AW$2&lt;=YEAR($K392))+AV392*$AQ392*(AW$2=YEAR($K392)+1)+INDEX([11]核心假设及结论!$E$17:$E$21,MATCH($D392,[11]核心假设及结论!$B$17:$B$21,0))*(AW$2&gt;YEAR($K392)+1)*AV392</f>
        <v>1169.8902729544134</v>
      </c>
      <c r="AX392" s="1809">
        <f>AM392*(AX$2&lt;=YEAR($K392))+AW392*$AQ392*(AX$2=YEAR($K392)+1)+INDEX([11]核心假设及结论!$E$17:$E$21,MATCH($D392,[11]核心假设及结论!$B$17:$B$21,0))*(AX$2&gt;YEAR($K392)+1)*AW392</f>
        <v>1201.5644566289636</v>
      </c>
      <c r="AZ392" s="1746">
        <f t="shared" si="172"/>
        <v>46279</v>
      </c>
      <c r="BA392" s="1817">
        <f t="shared" si="173"/>
        <v>45658</v>
      </c>
      <c r="BB392" s="1817">
        <f t="shared" si="174"/>
        <v>45914</v>
      </c>
      <c r="BC392" s="1841">
        <f t="shared" si="175"/>
        <v>46022</v>
      </c>
      <c r="BD392" s="1842">
        <f t="shared" si="176"/>
        <v>257</v>
      </c>
      <c r="BE392" s="1842">
        <f t="shared" si="177"/>
        <v>108</v>
      </c>
      <c r="BG392" s="1843">
        <f t="shared" si="164"/>
        <v>84.671175057534242</v>
      </c>
      <c r="BH392" s="1843">
        <f t="shared" si="165"/>
        <v>85.519368</v>
      </c>
      <c r="BI392" s="1843">
        <f t="shared" si="165"/>
        <v>86.20447069278049</v>
      </c>
      <c r="BJ392" s="1843">
        <f t="shared" si="165"/>
        <v>88.53841285933521</v>
      </c>
      <c r="BK392" s="1843">
        <f t="shared" si="165"/>
        <v>90.935545322089695</v>
      </c>
      <c r="BL392" s="1843">
        <f t="shared" si="165"/>
        <v>93.397578926150175</v>
      </c>
      <c r="BM392" s="1843">
        <f t="shared" si="165"/>
        <v>67.005818016461859</v>
      </c>
      <c r="BO392" s="1739">
        <f t="shared" si="178"/>
        <v>2026</v>
      </c>
      <c r="BP392" s="1742">
        <f>_xlfn.IFNA(INDEX($AR392:$AX392,MATCH(BO392,$AR$2:$AX$2,0))*12/365*[11]核心假设及结论!$C$70*$H392,0)</f>
        <v>70289.891506849308</v>
      </c>
      <c r="BR392" s="1739">
        <f t="shared" si="183"/>
        <v>2030</v>
      </c>
      <c r="BS392" s="1742">
        <f>_xlfn.IFNA(INDEX($AR392:$AX392,MATCH(BR392,$AR$2:$AX$2,0))*12/365*[11]核心假设及结论!$C$70*$H392,0)</f>
        <v>76155.049001087304</v>
      </c>
      <c r="BU392" s="1739">
        <f t="shared" si="184"/>
        <v>2034</v>
      </c>
      <c r="BV392" s="1742">
        <f>_xlfn.IFNA(INDEX($AR392:$AX392,MATCH(BU392,$AR$2:$AX$2,0))*12/365*[11]核心假设及结论!$C$70*$H392,0)</f>
        <v>0</v>
      </c>
      <c r="BX392" s="1739">
        <f t="shared" si="185"/>
        <v>2038</v>
      </c>
      <c r="BY392" s="1742">
        <f>_xlfn.IFNA(INDEX($AR392:$AX392,MATCH(BX392,$AR$2:$AX$2,0))*12/365*[11]核心假设及结论!$C$70*$H392,0)</f>
        <v>0</v>
      </c>
      <c r="CA392" s="1739">
        <f t="shared" si="186"/>
        <v>2042</v>
      </c>
      <c r="CB392" s="1742">
        <f>_xlfn.IFNA(INDEX($AR392:$AX392,MATCH(CA392,$AR$2:$AX$2,0))*12/365*[11]核心假设及结论!$C$70*$H392,0)</f>
        <v>0</v>
      </c>
    </row>
    <row r="393" spans="1:80" ht="30" customHeight="1">
      <c r="A393" s="1763" t="s">
        <v>1662</v>
      </c>
      <c r="B393" s="1757" t="s">
        <v>2482</v>
      </c>
      <c r="C393" s="1764" t="s">
        <v>2483</v>
      </c>
      <c r="D393" s="1764" t="s">
        <v>1676</v>
      </c>
      <c r="E393" s="1764" t="s">
        <v>1758</v>
      </c>
      <c r="F393" s="1765"/>
      <c r="G393" s="1760" t="s">
        <v>1661</v>
      </c>
      <c r="H393" s="1761">
        <v>37</v>
      </c>
      <c r="I393" s="1763" t="s">
        <v>2356</v>
      </c>
      <c r="J393" s="1773">
        <v>45542</v>
      </c>
      <c r="K393" s="1773">
        <v>46636</v>
      </c>
      <c r="L393" s="1764">
        <f t="shared" si="168"/>
        <v>36</v>
      </c>
      <c r="M393" s="1774">
        <f t="shared" si="179"/>
        <v>27814.75</v>
      </c>
      <c r="N393" s="1775">
        <f t="shared" si="180"/>
        <v>638.75</v>
      </c>
      <c r="O393" s="1777">
        <v>23633.75</v>
      </c>
      <c r="P393" s="1763">
        <v>0.18</v>
      </c>
      <c r="Q393" s="1783">
        <f t="shared" si="169"/>
        <v>95</v>
      </c>
      <c r="R393" s="1763">
        <v>3515</v>
      </c>
      <c r="S393" s="1777">
        <f t="shared" si="170"/>
        <v>18</v>
      </c>
      <c r="T393" s="1763">
        <v>666</v>
      </c>
      <c r="U393" s="1763"/>
      <c r="V393" s="1785">
        <v>95693.794166666703</v>
      </c>
      <c r="W393" s="1785">
        <f t="shared" si="171"/>
        <v>2586.3187612612624</v>
      </c>
      <c r="X393" s="1786">
        <f>(N393+Q393)*H393/V393</f>
        <v>0.28370439521622398</v>
      </c>
      <c r="Y393" s="1789">
        <f>VLOOKUP(E393,[11]核心假设及结论!$C$25:$E$45,3,0)</f>
        <v>0.2</v>
      </c>
      <c r="Z393" s="1790">
        <f t="shared" si="163"/>
        <v>23633.75</v>
      </c>
      <c r="AA393" s="1790">
        <f t="shared" si="163"/>
        <v>24759.289999999997</v>
      </c>
      <c r="AB393" s="1790">
        <f t="shared" si="163"/>
        <v>25884.460000000003</v>
      </c>
      <c r="AC393" s="1790">
        <f t="shared" si="161"/>
        <v>0</v>
      </c>
      <c r="AD393" s="1790">
        <f t="shared" si="161"/>
        <v>0</v>
      </c>
      <c r="AE393" s="1790">
        <f t="shared" si="161"/>
        <v>0</v>
      </c>
      <c r="AF393" s="1790">
        <f t="shared" si="161"/>
        <v>0</v>
      </c>
      <c r="AG393" s="1794">
        <v>638.75</v>
      </c>
      <c r="AH393" s="1794">
        <v>669.17</v>
      </c>
      <c r="AI393" s="1794">
        <v>699.58</v>
      </c>
      <c r="AJ393" s="1794">
        <v>0</v>
      </c>
      <c r="AK393" s="1794">
        <v>0</v>
      </c>
      <c r="AL393" s="1794">
        <v>0</v>
      </c>
      <c r="AM393" s="1794">
        <v>0</v>
      </c>
      <c r="AN393" s="1764"/>
      <c r="AO393" s="1764"/>
      <c r="AP393" s="1808">
        <f t="shared" si="181"/>
        <v>1.4185219760811199</v>
      </c>
      <c r="AQ393" s="1808">
        <f>IF(AP393&gt;[11]核心假设及结论!$B$65,[11]核心假设及结论!$D$65,IF(AP393&lt;=[11]核心假设及结论!$B$64,[11]核心假设及结论!$D$63,[11]核心假设及结论!$D$64))</f>
        <v>0.754</v>
      </c>
      <c r="AR393" s="1809">
        <f t="shared" si="182"/>
        <v>638.75</v>
      </c>
      <c r="AS393" s="1809">
        <f>AH393*(AS$2&lt;=YEAR($K393))+AR393*$AQ393*(AS$2=YEAR($K393)+1)+INDEX([11]核心假设及结论!$E$17:$E$21,MATCH($D393,[11]核心假设及结论!$B$17:$B$21,0))*(AS$2&gt;YEAR($K393)+1)*AR393</f>
        <v>669.17</v>
      </c>
      <c r="AT393" s="1809">
        <f>AI393*(AT$2&lt;=YEAR($K393))+AS393*$AQ393*(AT$2=YEAR($K393)+1)+INDEX([11]核心假设及结论!$E$17:$E$21,MATCH($D393,[11]核心假设及结论!$B$17:$B$21,0))*(AT$2&gt;YEAR($K393)+1)*AS393</f>
        <v>699.58</v>
      </c>
      <c r="AU393" s="1811">
        <f>AJ393*(AU$2&lt;=YEAR($K393))+AT393*$AQ393*(AU$2=YEAR($K393)+1)+INDEX([11]核心假设及结论!$E$17:$E$21,MATCH($D393,[11]核心假设及结论!$B$17:$B$21,0))*(AU$2&gt;YEAR($K393)+1)*AT393</f>
        <v>527.48332000000005</v>
      </c>
      <c r="AV393" s="1809">
        <f>AK393*(AV$2&lt;=YEAR($K393))+AU393*$AQ393*(AV$2=YEAR($K393)+1)+INDEX([11]核心假设及结论!$E$17:$E$21,MATCH($D393,[11]核心假设及结论!$B$17:$B$21,0))*(AV$2&gt;YEAR($K393)+1)*AU393</f>
        <v>545.72110194247182</v>
      </c>
      <c r="AW393" s="1809">
        <f>AL393*(AW$2&lt;=YEAR($K393))+AV393*$AQ393*(AW$2=YEAR($K393)+1)+INDEX([11]核心假设及结论!$E$17:$E$21,MATCH($D393,[11]核心假设及结论!$B$17:$B$21,0))*(AW$2&gt;YEAR($K393)+1)*AV393</f>
        <v>564.58945679136491</v>
      </c>
      <c r="AX393" s="1809">
        <f>AM393*(AX$2&lt;=YEAR($K393))+AW393*$AQ393*(AX$2=YEAR($K393)+1)+INDEX([11]核心假设及结论!$E$17:$E$21,MATCH($D393,[11]核心假设及结论!$B$17:$B$21,0))*(AX$2&gt;YEAR($K393)+1)*AW393</f>
        <v>584.11018666009227</v>
      </c>
      <c r="AZ393" s="1746">
        <f t="shared" si="172"/>
        <v>46636</v>
      </c>
      <c r="BA393" s="1817">
        <f t="shared" si="173"/>
        <v>45658</v>
      </c>
      <c r="BB393" s="1817">
        <f t="shared" si="174"/>
        <v>45906</v>
      </c>
      <c r="BC393" s="1841">
        <f t="shared" si="175"/>
        <v>46022</v>
      </c>
      <c r="BD393" s="1842">
        <f t="shared" si="176"/>
        <v>249</v>
      </c>
      <c r="BE393" s="1842">
        <f t="shared" si="177"/>
        <v>116</v>
      </c>
      <c r="BG393" s="1843">
        <f t="shared" si="164"/>
        <v>28.78974703561644</v>
      </c>
      <c r="BH393" s="1843">
        <f t="shared" si="165"/>
        <v>30.140253928767123</v>
      </c>
      <c r="BI393" s="1843">
        <f t="shared" si="165"/>
        <v>28.632949970761647</v>
      </c>
      <c r="BJ393" s="1843">
        <f t="shared" si="165"/>
        <v>23.67760700283975</v>
      </c>
      <c r="BK393" s="1843">
        <f t="shared" si="165"/>
        <v>24.49626233669435</v>
      </c>
      <c r="BL393" s="1843">
        <f t="shared" si="165"/>
        <v>25.343222750347266</v>
      </c>
      <c r="BM393" s="1843">
        <f t="shared" si="165"/>
        <v>17.692297478463878</v>
      </c>
      <c r="BO393" s="1739">
        <f t="shared" si="178"/>
        <v>2027</v>
      </c>
      <c r="BP393" s="1742">
        <f>_xlfn.IFNA(INDEX($AR393:$AX393,MATCH(BO393,$AR$2:$AX$2,0))*12/365*[11]核心假设及结论!$C$70*$H393,0)</f>
        <v>25529.878356164387</v>
      </c>
      <c r="BR393" s="1739">
        <f t="shared" si="183"/>
        <v>2030</v>
      </c>
      <c r="BS393" s="1742">
        <f>_xlfn.IFNA(INDEX($AR393:$AX393,MATCH(BR393,$AR$2:$AX$2,0))*12/365*[11]核心假设及结论!$C$70*$H393,0)</f>
        <v>20603.648121810907</v>
      </c>
      <c r="BU393" s="1739">
        <f t="shared" si="184"/>
        <v>2033</v>
      </c>
      <c r="BV393" s="1742">
        <f>_xlfn.IFNA(INDEX($AR393:$AX393,MATCH(BU393,$AR$2:$AX$2,0))*12/365*[11]核心假设及结论!$C$70*$H393,0)</f>
        <v>0</v>
      </c>
      <c r="BX393" s="1739">
        <f t="shared" si="185"/>
        <v>2036</v>
      </c>
      <c r="BY393" s="1742">
        <f>_xlfn.IFNA(INDEX($AR393:$AX393,MATCH(BX393,$AR$2:$AX$2,0))*12/365*[11]核心假设及结论!$C$70*$H393,0)</f>
        <v>0</v>
      </c>
      <c r="CA393" s="1739">
        <f t="shared" si="186"/>
        <v>2039</v>
      </c>
      <c r="CB393" s="1742">
        <f>_xlfn.IFNA(INDEX($AR393:$AX393,MATCH(CA393,$AR$2:$AX$2,0))*12/365*[11]核心假设及结论!$C$70*$H393,0)</f>
        <v>0</v>
      </c>
    </row>
    <row r="394" spans="1:80" ht="30" customHeight="1">
      <c r="A394" s="1763" t="s">
        <v>1662</v>
      </c>
      <c r="B394" s="1757" t="s">
        <v>2484</v>
      </c>
      <c r="C394" s="1764" t="s">
        <v>2485</v>
      </c>
      <c r="D394" s="1764" t="s">
        <v>1676</v>
      </c>
      <c r="E394" s="1764" t="s">
        <v>1758</v>
      </c>
      <c r="F394" s="1765"/>
      <c r="G394" s="1760" t="s">
        <v>1661</v>
      </c>
      <c r="H394" s="1761">
        <v>29</v>
      </c>
      <c r="I394" s="1763" t="s">
        <v>2356</v>
      </c>
      <c r="J394" s="1773">
        <v>45658</v>
      </c>
      <c r="K394" s="1773">
        <v>46636</v>
      </c>
      <c r="L394" s="1764">
        <f t="shared" si="168"/>
        <v>33</v>
      </c>
      <c r="M394" s="1774">
        <f t="shared" si="179"/>
        <v>18272.32</v>
      </c>
      <c r="N394" s="1775">
        <f t="shared" si="180"/>
        <v>517.08000000000004</v>
      </c>
      <c r="O394" s="1777">
        <v>14995.32</v>
      </c>
      <c r="P394" s="1763">
        <v>0.18</v>
      </c>
      <c r="Q394" s="1783">
        <f t="shared" si="169"/>
        <v>95</v>
      </c>
      <c r="R394" s="1763">
        <v>2755</v>
      </c>
      <c r="S394" s="1777">
        <f t="shared" si="170"/>
        <v>18</v>
      </c>
      <c r="T394" s="1763">
        <v>522</v>
      </c>
      <c r="U394" s="1763"/>
      <c r="V394" s="1785">
        <v>95693.794166666703</v>
      </c>
      <c r="W394" s="1785">
        <f t="shared" si="171"/>
        <v>3299.7860057471275</v>
      </c>
      <c r="X394" s="1786">
        <f>(N394+Q394)*H394/V394</f>
        <v>0.1854908163541395</v>
      </c>
      <c r="Y394" s="1789">
        <f>VLOOKUP(E394,[11]核心假设及结论!$C$25:$E$45,3,0)</f>
        <v>0.2</v>
      </c>
      <c r="Z394" s="1790">
        <f t="shared" si="163"/>
        <v>15138</v>
      </c>
      <c r="AA394" s="1790">
        <f t="shared" si="163"/>
        <v>15138</v>
      </c>
      <c r="AB394" s="1790">
        <f t="shared" si="163"/>
        <v>15138</v>
      </c>
      <c r="AC394" s="1790">
        <f t="shared" si="163"/>
        <v>0</v>
      </c>
      <c r="AD394" s="1790">
        <f t="shared" si="163"/>
        <v>0</v>
      </c>
      <c r="AE394" s="1790">
        <f t="shared" si="163"/>
        <v>0</v>
      </c>
      <c r="AF394" s="1790">
        <f t="shared" si="163"/>
        <v>0</v>
      </c>
      <c r="AG394" s="1794">
        <v>522</v>
      </c>
      <c r="AH394" s="1794">
        <v>522</v>
      </c>
      <c r="AI394" s="1794">
        <v>522</v>
      </c>
      <c r="AJ394" s="1794">
        <v>0</v>
      </c>
      <c r="AK394" s="1794">
        <v>0</v>
      </c>
      <c r="AL394" s="1794">
        <v>0</v>
      </c>
      <c r="AM394" s="1794">
        <v>0</v>
      </c>
      <c r="AN394" s="1764"/>
      <c r="AO394" s="1764"/>
      <c r="AP394" s="1808">
        <f t="shared" si="181"/>
        <v>0.92745408177069744</v>
      </c>
      <c r="AQ394" s="1808">
        <f>IF(AP394&gt;[11]核心假设及结论!$B$65,[11]核心假设及结论!$D$65,IF(AP394&lt;=[11]核心假设及结论!$B$64,[11]核心假设及结论!$D$63,[11]核心假设及结论!$D$64))</f>
        <v>1</v>
      </c>
      <c r="AR394" s="1809">
        <f t="shared" si="182"/>
        <v>522</v>
      </c>
      <c r="AS394" s="1809">
        <f>AH394*(AS$2&lt;=YEAR($K394))+AR394*$AQ394*(AS$2=YEAR($K394)+1)+INDEX([11]核心假设及结论!$E$17:$E$21,MATCH($D394,[11]核心假设及结论!$B$17:$B$21,0))*(AS$2&gt;YEAR($K394)+1)*AR394</f>
        <v>522</v>
      </c>
      <c r="AT394" s="1809">
        <f>AI394*(AT$2&lt;=YEAR($K394))+AS394*$AQ394*(AT$2=YEAR($K394)+1)+INDEX([11]核心假设及结论!$E$17:$E$21,MATCH($D394,[11]核心假设及结论!$B$17:$B$21,0))*(AT$2&gt;YEAR($K394)+1)*AS394</f>
        <v>522</v>
      </c>
      <c r="AU394" s="1811">
        <f>AJ394*(AU$2&lt;=YEAR($K394))+AT394*$AQ394*(AU$2=YEAR($K394)+1)+INDEX([11]核心假设及结论!$E$17:$E$21,MATCH($D394,[11]核心假设及结论!$B$17:$B$21,0))*(AU$2&gt;YEAR($K394)+1)*AT394</f>
        <v>522</v>
      </c>
      <c r="AV394" s="1809">
        <f>AK394*(AV$2&lt;=YEAR($K394))+AU394*$AQ394*(AV$2=YEAR($K394)+1)+INDEX([11]核心假设及结论!$E$17:$E$21,MATCH($D394,[11]核心假设及结论!$B$17:$B$21,0))*(AV$2&gt;YEAR($K394)+1)*AU394</f>
        <v>540.04819567369498</v>
      </c>
      <c r="AW394" s="1809">
        <f>AL394*(AW$2&lt;=YEAR($K394))+AV394*$AQ394*(AW$2=YEAR($K394)+1)+INDEX([11]核心假设及结论!$E$17:$E$21,MATCH($D394,[11]核心假设及结论!$B$17:$B$21,0))*(AW$2&gt;YEAR($K394)+1)*AV394</f>
        <v>558.72040929197999</v>
      </c>
      <c r="AX394" s="1809">
        <f>AM394*(AX$2&lt;=YEAR($K394))+AW394*$AQ394*(AX$2=YEAR($K394)+1)+INDEX([11]核心假设及结论!$E$17:$E$21,MATCH($D394,[11]核心假设及结论!$B$17:$B$21,0))*(AX$2&gt;YEAR($K394)+1)*AW394</f>
        <v>578.03821632988922</v>
      </c>
      <c r="AZ394" s="1746">
        <f t="shared" si="172"/>
        <v>46636</v>
      </c>
      <c r="BA394" s="1817">
        <f t="shared" si="173"/>
        <v>45658</v>
      </c>
      <c r="BB394" s="1817">
        <f t="shared" si="174"/>
        <v>45906</v>
      </c>
      <c r="BC394" s="1841">
        <f t="shared" si="175"/>
        <v>46022</v>
      </c>
      <c r="BD394" s="1842">
        <f t="shared" si="176"/>
        <v>249</v>
      </c>
      <c r="BE394" s="1842">
        <f t="shared" si="177"/>
        <v>116</v>
      </c>
      <c r="BG394" s="1843">
        <f t="shared" si="164"/>
        <v>18.165600000000001</v>
      </c>
      <c r="BH394" s="1843">
        <f t="shared" si="165"/>
        <v>18.165600000000001</v>
      </c>
      <c r="BI394" s="1843">
        <f t="shared" si="165"/>
        <v>18.165600000000001</v>
      </c>
      <c r="BJ394" s="1843">
        <f t="shared" si="165"/>
        <v>18.365208099439922</v>
      </c>
      <c r="BK394" s="1843">
        <f t="shared" si="165"/>
        <v>19.000186776387853</v>
      </c>
      <c r="BL394" s="1843">
        <f t="shared" si="165"/>
        <v>19.657119896650308</v>
      </c>
      <c r="BM394" s="1843">
        <f t="shared" si="165"/>
        <v>13.72278562230618</v>
      </c>
      <c r="BO394" s="1739">
        <f t="shared" si="178"/>
        <v>2027</v>
      </c>
      <c r="BP394" s="1742">
        <f>_xlfn.IFNA(INDEX($AR394:$AX394,MATCH(BO394,$AR$2:$AX$2,0))*12/365*[11]核心假设及结论!$C$70*$H394,0)</f>
        <v>14930.630136986303</v>
      </c>
      <c r="BR394" s="1739">
        <f t="shared" si="183"/>
        <v>2030</v>
      </c>
      <c r="BS394" s="1742">
        <f>_xlfn.IFNA(INDEX($AR394:$AX394,MATCH(BR394,$AR$2:$AX$2,0))*12/365*[11]核心假设及结论!$C$70*$H394,0)</f>
        <v>15980.934446598001</v>
      </c>
      <c r="BU394" s="1739">
        <f t="shared" si="184"/>
        <v>2033</v>
      </c>
      <c r="BV394" s="1742">
        <f>_xlfn.IFNA(INDEX($AR394:$AX394,MATCH(BU394,$AR$2:$AX$2,0))*12/365*[11]核心假设及结论!$C$70*$H394,0)</f>
        <v>0</v>
      </c>
      <c r="BX394" s="1739">
        <f t="shared" si="185"/>
        <v>2036</v>
      </c>
      <c r="BY394" s="1742">
        <f>_xlfn.IFNA(INDEX($AR394:$AX394,MATCH(BX394,$AR$2:$AX$2,0))*12/365*[11]核心假设及结论!$C$70*$H394,0)</f>
        <v>0</v>
      </c>
      <c r="CA394" s="1739">
        <f t="shared" si="186"/>
        <v>2039</v>
      </c>
      <c r="CB394" s="1742">
        <f>_xlfn.IFNA(INDEX($AR394:$AX394,MATCH(CA394,$AR$2:$AX$2,0))*12/365*[11]核心假设及结论!$C$70*$H394,0)</f>
        <v>0</v>
      </c>
    </row>
    <row r="395" spans="1:80" ht="30" customHeight="1">
      <c r="A395" s="1763" t="s">
        <v>1687</v>
      </c>
      <c r="B395" s="1757" t="s">
        <v>2486</v>
      </c>
      <c r="C395" s="1764" t="s">
        <v>2487</v>
      </c>
      <c r="D395" s="1764" t="s">
        <v>1676</v>
      </c>
      <c r="E395" s="1764" t="s">
        <v>1758</v>
      </c>
      <c r="F395" s="1765"/>
      <c r="G395" s="1760" t="s">
        <v>1661</v>
      </c>
      <c r="H395" s="1761">
        <v>66</v>
      </c>
      <c r="I395" s="1763" t="s">
        <v>2356</v>
      </c>
      <c r="J395" s="1773">
        <v>45522</v>
      </c>
      <c r="K395" s="1773">
        <v>46616</v>
      </c>
      <c r="L395" s="1764">
        <f t="shared" si="168"/>
        <v>36</v>
      </c>
      <c r="M395" s="1774">
        <f t="shared" si="179"/>
        <v>37570.5</v>
      </c>
      <c r="N395" s="1775">
        <f t="shared" si="180"/>
        <v>456.25</v>
      </c>
      <c r="O395" s="1777">
        <v>30112.5</v>
      </c>
      <c r="P395" s="1763">
        <v>0.15</v>
      </c>
      <c r="Q395" s="1783">
        <f t="shared" si="169"/>
        <v>95</v>
      </c>
      <c r="R395" s="1763">
        <v>6270</v>
      </c>
      <c r="S395" s="1777">
        <f t="shared" si="170"/>
        <v>18</v>
      </c>
      <c r="T395" s="1763">
        <v>1188</v>
      </c>
      <c r="U395" s="1763"/>
      <c r="V395" s="1785"/>
      <c r="W395" s="1785">
        <f t="shared" si="171"/>
        <v>0</v>
      </c>
      <c r="X395" s="1786" t="e">
        <f>(N395+Q395)*H395/V395</f>
        <v>#DIV/0!</v>
      </c>
      <c r="Y395" s="1789">
        <f>VLOOKUP(E395,[11]核心假设及结论!$C$25:$E$45,3,0)</f>
        <v>0.2</v>
      </c>
      <c r="Z395" s="1790">
        <f t="shared" si="163"/>
        <v>30112.5</v>
      </c>
      <c r="AA395" s="1790">
        <f t="shared" si="163"/>
        <v>31116.359999999997</v>
      </c>
      <c r="AB395" s="1790">
        <f t="shared" si="163"/>
        <v>33124.080000000002</v>
      </c>
      <c r="AC395" s="1790">
        <f t="shared" si="161"/>
        <v>0</v>
      </c>
      <c r="AD395" s="1790">
        <f t="shared" si="161"/>
        <v>0</v>
      </c>
      <c r="AE395" s="1790">
        <f t="shared" si="161"/>
        <v>0</v>
      </c>
      <c r="AF395" s="1790">
        <f t="shared" si="161"/>
        <v>0</v>
      </c>
      <c r="AG395" s="1794">
        <v>456.25</v>
      </c>
      <c r="AH395" s="1794">
        <v>471.46</v>
      </c>
      <c r="AI395" s="1794">
        <v>501.88</v>
      </c>
      <c r="AJ395" s="1794">
        <v>0</v>
      </c>
      <c r="AK395" s="1794">
        <v>0</v>
      </c>
      <c r="AL395" s="1794">
        <v>0</v>
      </c>
      <c r="AM395" s="1794">
        <v>0</v>
      </c>
      <c r="AN395" s="1764"/>
      <c r="AO395" s="1764"/>
      <c r="AP395" s="1808">
        <f t="shared" si="181"/>
        <v>1.25</v>
      </c>
      <c r="AQ395" s="1808">
        <f>IF(AP395&gt;[11]核心假设及结论!$B$65,[11]核心假设及结论!$D$65,IF(AP395&lt;=[11]核心假设及结论!$B$64,[11]核心假设及结论!$D$63,[11]核心假设及结论!$D$64))</f>
        <v>0.754</v>
      </c>
      <c r="AR395" s="1809">
        <f t="shared" si="182"/>
        <v>456.25</v>
      </c>
      <c r="AS395" s="1809">
        <f>AH395*(AS$2&lt;=YEAR($K395))+AR395*$AQ395*(AS$2=YEAR($K395)+1)+INDEX([11]核心假设及结论!$E$17:$E$21,MATCH($D395,[11]核心假设及结论!$B$17:$B$21,0))*(AS$2&gt;YEAR($K395)+1)*AR395</f>
        <v>471.46</v>
      </c>
      <c r="AT395" s="1809">
        <f>AI395*(AT$2&lt;=YEAR($K395))+AS395*$AQ395*(AT$2=YEAR($K395)+1)+INDEX([11]核心假设及结论!$E$17:$E$21,MATCH($D395,[11]核心假设及结论!$B$17:$B$21,0))*(AT$2&gt;YEAR($K395)+1)*AS395</f>
        <v>501.88</v>
      </c>
      <c r="AU395" s="1811">
        <f>AJ395*(AU$2&lt;=YEAR($K395))+AT395*$AQ395*(AU$2=YEAR($K395)+1)+INDEX([11]核心假设及结论!$E$17:$E$21,MATCH($D395,[11]核心假设及结论!$B$17:$B$21,0))*(AU$2&gt;YEAR($K395)+1)*AT395</f>
        <v>378.41752000000002</v>
      </c>
      <c r="AV395" s="1809">
        <f>AK395*(AV$2&lt;=YEAR($K395))+AU395*$AQ395*(AV$2=YEAR($K395)+1)+INDEX([11]核心假设及结论!$E$17:$E$21,MATCH($D395,[11]核心假设及结论!$B$17:$B$21,0))*(AV$2&gt;YEAR($K395)+1)*AU395</f>
        <v>391.50133886458696</v>
      </c>
      <c r="AW395" s="1809">
        <f>AL395*(AW$2&lt;=YEAR($K395))+AV395*$AQ395*(AW$2=YEAR($K395)+1)+INDEX([11]核心假设及结论!$E$17:$E$21,MATCH($D395,[11]核心假设及结论!$B$17:$B$21,0))*(AW$2&gt;YEAR($K395)+1)*AV395</f>
        <v>405.03753191121842</v>
      </c>
      <c r="AX395" s="1809">
        <f>AM395*(AX$2&lt;=YEAR($K395))+AW395*$AQ395*(AX$2=YEAR($K395)+1)+INDEX([11]核心假设及结论!$E$17:$E$21,MATCH($D395,[11]核心假设及结论!$B$17:$B$21,0))*(AX$2&gt;YEAR($K395)+1)*AW395</f>
        <v>419.0417400168202</v>
      </c>
      <c r="AZ395" s="1746">
        <f t="shared" si="172"/>
        <v>46616</v>
      </c>
      <c r="BA395" s="1817">
        <f t="shared" si="173"/>
        <v>45658</v>
      </c>
      <c r="BB395" s="1817">
        <f t="shared" si="174"/>
        <v>45886</v>
      </c>
      <c r="BC395" s="1841">
        <f t="shared" si="175"/>
        <v>46022</v>
      </c>
      <c r="BD395" s="1842">
        <f t="shared" si="176"/>
        <v>229</v>
      </c>
      <c r="BE395" s="1842">
        <f t="shared" si="177"/>
        <v>136</v>
      </c>
      <c r="BG395" s="1843">
        <f t="shared" si="164"/>
        <v>36.58384918356164</v>
      </c>
      <c r="BH395" s="1843">
        <f t="shared" si="165"/>
        <v>38.237330367123292</v>
      </c>
      <c r="BI395" s="1843">
        <f t="shared" si="165"/>
        <v>36.105501302531508</v>
      </c>
      <c r="BJ395" s="1843">
        <f t="shared" si="165"/>
        <v>30.356772870997915</v>
      </c>
      <c r="BK395" s="1843">
        <f t="shared" si="165"/>
        <v>31.406360949154397</v>
      </c>
      <c r="BL395" s="1843">
        <f t="shared" si="165"/>
        <v>32.492238626949479</v>
      </c>
      <c r="BM395" s="1843">
        <f t="shared" si="165"/>
        <v>20.822126658457709</v>
      </c>
      <c r="BO395" s="1739">
        <f t="shared" si="178"/>
        <v>2027</v>
      </c>
      <c r="BP395" s="1742">
        <f>_xlfn.IFNA(INDEX($AR395:$AX395,MATCH(BO395,$AR$2:$AX$2,0))*12/365*[11]核心假设及结论!$C$70*$H395,0)</f>
        <v>32670.325479452054</v>
      </c>
      <c r="BR395" s="1739">
        <f t="shared" si="183"/>
        <v>2030</v>
      </c>
      <c r="BS395" s="1742">
        <f>_xlfn.IFNA(INDEX($AR395:$AX395,MATCH(BR395,$AR$2:$AX$2,0))*12/365*[11]核心假设及结论!$C$70*$H395,0)</f>
        <v>26366.278789617947</v>
      </c>
      <c r="BU395" s="1739">
        <f t="shared" si="184"/>
        <v>2033</v>
      </c>
      <c r="BV395" s="1742">
        <f>_xlfn.IFNA(INDEX($AR395:$AX395,MATCH(BU395,$AR$2:$AX$2,0))*12/365*[11]核心假设及结论!$C$70*$H395,0)</f>
        <v>0</v>
      </c>
      <c r="BX395" s="1739">
        <f t="shared" si="185"/>
        <v>2036</v>
      </c>
      <c r="BY395" s="1742">
        <f>_xlfn.IFNA(INDEX($AR395:$AX395,MATCH(BX395,$AR$2:$AX$2,0))*12/365*[11]核心假设及结论!$C$70*$H395,0)</f>
        <v>0</v>
      </c>
      <c r="CA395" s="1739">
        <f t="shared" si="186"/>
        <v>2039</v>
      </c>
      <c r="CB395" s="1742">
        <f>_xlfn.IFNA(INDEX($AR395:$AX395,MATCH(CA395,$AR$2:$AX$2,0))*12/365*[11]核心假设及结论!$C$70*$H395,0)</f>
        <v>0</v>
      </c>
    </row>
    <row r="396" spans="1:80" ht="30" customHeight="1">
      <c r="A396" s="1763" t="s">
        <v>1662</v>
      </c>
      <c r="B396" s="1757" t="s">
        <v>2488</v>
      </c>
      <c r="C396" s="1764" t="s">
        <v>2489</v>
      </c>
      <c r="D396" s="1764" t="s">
        <v>1698</v>
      </c>
      <c r="E396" s="1764" t="s">
        <v>1698</v>
      </c>
      <c r="F396" s="1765"/>
      <c r="G396" s="1760" t="s">
        <v>1661</v>
      </c>
      <c r="H396" s="1761">
        <v>64</v>
      </c>
      <c r="I396" s="1763" t="s">
        <v>2356</v>
      </c>
      <c r="J396" s="1773">
        <v>45392</v>
      </c>
      <c r="K396" s="1773">
        <v>45755</v>
      </c>
      <c r="L396" s="1764">
        <f t="shared" si="168"/>
        <v>12</v>
      </c>
      <c r="M396" s="1774">
        <f t="shared" si="179"/>
        <v>52005.120000000003</v>
      </c>
      <c r="N396" s="1775">
        <f t="shared" si="180"/>
        <v>699.58</v>
      </c>
      <c r="O396" s="1777">
        <v>44773.120000000003</v>
      </c>
      <c r="P396" s="1763">
        <v>0.22</v>
      </c>
      <c r="Q396" s="1783">
        <f t="shared" si="169"/>
        <v>95</v>
      </c>
      <c r="R396" s="1763">
        <v>6080</v>
      </c>
      <c r="S396" s="1777">
        <f t="shared" si="170"/>
        <v>18</v>
      </c>
      <c r="T396" s="1763">
        <v>1152</v>
      </c>
      <c r="U396" s="1763"/>
      <c r="V396" s="1785">
        <v>171300.98250000001</v>
      </c>
      <c r="W396" s="1785">
        <f t="shared" si="171"/>
        <v>2676.5778515625002</v>
      </c>
      <c r="X396" s="1786">
        <f>(N396+Q396)*H396/V396</f>
        <v>0.2968641467073897</v>
      </c>
      <c r="Y396" s="1789">
        <f>VLOOKUP(E396,[11]核心假设及结论!$C$25:$E$45,3,0)</f>
        <v>0.2</v>
      </c>
      <c r="Z396" s="1790">
        <f t="shared" si="163"/>
        <v>44773.120000000003</v>
      </c>
      <c r="AA396" s="1790">
        <f t="shared" si="163"/>
        <v>0</v>
      </c>
      <c r="AB396" s="1790">
        <f t="shared" si="163"/>
        <v>0</v>
      </c>
      <c r="AC396" s="1790">
        <f t="shared" si="161"/>
        <v>0</v>
      </c>
      <c r="AD396" s="1790">
        <f t="shared" si="161"/>
        <v>0</v>
      </c>
      <c r="AE396" s="1790">
        <f t="shared" si="161"/>
        <v>0</v>
      </c>
      <c r="AF396" s="1790">
        <f t="shared" si="161"/>
        <v>0</v>
      </c>
      <c r="AG396" s="1794">
        <v>699.58</v>
      </c>
      <c r="AH396" s="1794">
        <v>0</v>
      </c>
      <c r="AI396" s="1794">
        <v>0</v>
      </c>
      <c r="AJ396" s="1794">
        <v>0</v>
      </c>
      <c r="AK396" s="1794">
        <v>0</v>
      </c>
      <c r="AL396" s="1794">
        <v>0</v>
      </c>
      <c r="AM396" s="1794">
        <v>0</v>
      </c>
      <c r="AN396" s="1764"/>
      <c r="AO396" s="1764"/>
      <c r="AP396" s="1808">
        <f t="shared" si="181"/>
        <v>1.4843207335369484</v>
      </c>
      <c r="AQ396" s="1812">
        <f>IF(AP396&gt;[11]核心假设及结论!$B$62,[11]核心假设及结论!$D$62,IF(AP396&lt;=[11]核心假设及结论!$B$61,[11]核心假设及结论!$D$60,[11]核心假设及结论!$D$61))</f>
        <v>1.0489999999999999</v>
      </c>
      <c r="AR396" s="1809">
        <f t="shared" si="182"/>
        <v>699.58</v>
      </c>
      <c r="AS396" s="1811">
        <f>AH396*(AS$2&lt;=YEAR($K396))+AR396*$AQ396*(AS$2=YEAR($K396)+1)+INDEX([11]核心假设及结论!$E$17:$E$21,MATCH($D396,[11]核心假设及结论!$B$17:$B$21,0))*(AS$2&gt;YEAR($K396)+1)*AR396</f>
        <v>733.85942</v>
      </c>
      <c r="AT396" s="1809">
        <f>AI396*(AT$2&lt;=YEAR($K396))+AS396*$AQ396*(AT$2=YEAR($K396)+1)+INDEX([11]核心假设及结论!$E$17:$E$21,MATCH($D396,[11]核心假设及结论!$B$17:$B$21,0))*(AT$2&gt;YEAR($K396)+1)*AS396</f>
        <v>756.32829134241797</v>
      </c>
      <c r="AU396" s="1809">
        <f>AJ396*(AU$2&lt;=YEAR($K396))+AT396*$AQ396*(AU$2=YEAR($K396)+1)+INDEX([11]核心假设及结论!$E$17:$E$21,MATCH($D396,[11]核心假设及结论!$B$17:$B$21,0))*(AU$2&gt;YEAR($K396)+1)*AT396</f>
        <v>779.48510122680102</v>
      </c>
      <c r="AV396" s="1809">
        <f>AK396*(AV$2&lt;=YEAR($K396))+AU396*$AQ396*(AV$2=YEAR($K396)+1)+INDEX([11]核心假设及结论!$E$17:$E$21,MATCH($D396,[11]核心假设及结论!$B$17:$B$21,0))*(AV$2&gt;YEAR($K396)+1)*AU396</f>
        <v>803.35091254635404</v>
      </c>
      <c r="AW396" s="1809">
        <f>AL396*(AW$2&lt;=YEAR($K396))+AV396*$AQ396*(AW$2=YEAR($K396)+1)+INDEX([11]核心假设及结论!$E$17:$E$21,MATCH($D396,[11]核心假设及结论!$B$17:$B$21,0))*(AW$2&gt;YEAR($K396)+1)*AV396</f>
        <v>827.94743308542138</v>
      </c>
      <c r="AX396" s="1809">
        <f>AM396*(AX$2&lt;=YEAR($K396))+AW396*$AQ396*(AX$2=YEAR($K396)+1)+INDEX([11]核心假设及结论!$E$17:$E$21,MATCH($D396,[11]核心假设及结论!$B$17:$B$21,0))*(AX$2&gt;YEAR($K396)+1)*AW396</f>
        <v>853.29703526438027</v>
      </c>
      <c r="AZ396" s="1746">
        <f t="shared" si="172"/>
        <v>45755</v>
      </c>
      <c r="BA396" s="1817">
        <f t="shared" si="173"/>
        <v>45658</v>
      </c>
      <c r="BB396" s="1817">
        <f t="shared" si="174"/>
        <v>45755</v>
      </c>
      <c r="BC396" s="1841">
        <f t="shared" si="175"/>
        <v>46022</v>
      </c>
      <c r="BD396" s="1842">
        <f t="shared" si="176"/>
        <v>98</v>
      </c>
      <c r="BE396" s="1842">
        <f t="shared" si="177"/>
        <v>267</v>
      </c>
      <c r="BG396" s="1843">
        <f t="shared" si="164"/>
        <v>55.653552423978084</v>
      </c>
      <c r="BH396" s="1843">
        <f t="shared" si="165"/>
        <v>57.622698492161881</v>
      </c>
      <c r="BI396" s="1843">
        <f t="shared" si="165"/>
        <v>59.386956010070861</v>
      </c>
      <c r="BJ396" s="1843">
        <f t="shared" si="165"/>
        <v>61.205230515572367</v>
      </c>
      <c r="BK396" s="1843">
        <f t="shared" si="165"/>
        <v>63.079175868672039</v>
      </c>
      <c r="BL396" s="1843">
        <f t="shared" si="165"/>
        <v>65.010496566277794</v>
      </c>
      <c r="BM396" s="1843">
        <f t="shared" si="165"/>
        <v>17.595218647161182</v>
      </c>
      <c r="BO396" s="1739">
        <f t="shared" si="178"/>
        <v>2025</v>
      </c>
      <c r="BP396" s="1742">
        <f>_xlfn.IFNA(INDEX($AR396:$AX396,MATCH(BO396,$AR$2:$AX$2,0))*12/365*[11]核心假设及结论!$C$70*$H396,0)</f>
        <v>44159.789589041102</v>
      </c>
      <c r="BR396" s="1739">
        <f t="shared" si="183"/>
        <v>2026</v>
      </c>
      <c r="BS396" s="1742">
        <f>_xlfn.IFNA(INDEX($AR396:$AX396,MATCH(BR396,$AR$2:$AX$2,0))*12/365*[11]核心假设及结论!$C$70*$H396,0)</f>
        <v>46323.619278904116</v>
      </c>
      <c r="BU396" s="1739">
        <f t="shared" si="184"/>
        <v>2027</v>
      </c>
      <c r="BV396" s="1742">
        <f>_xlfn.IFNA(INDEX($AR396:$AX396,MATCH(BU396,$AR$2:$AX$2,0))*12/365*[11]核心假设及结论!$C$70*$H396,0)</f>
        <v>47741.928308299473</v>
      </c>
      <c r="BX396" s="1739">
        <f t="shared" si="185"/>
        <v>2028</v>
      </c>
      <c r="BY396" s="1742">
        <f>_xlfn.IFNA(INDEX($AR396:$AX396,MATCH(BX396,$AR$2:$AX$2,0))*12/365*[11]核心假设及结论!$C$70*$H396,0)</f>
        <v>49203.662280179444</v>
      </c>
      <c r="CA396" s="1739">
        <f t="shared" si="186"/>
        <v>2029</v>
      </c>
      <c r="CB396" s="1742">
        <f>_xlfn.IFNA(INDEX($AR396:$AX396,MATCH(CA396,$AR$2:$AX$2,0))*12/365*[11]核心假设及结论!$C$70*$H396,0)</f>
        <v>50710.150753610949</v>
      </c>
    </row>
    <row r="397" spans="1:80" ht="30" customHeight="1">
      <c r="A397" s="1763" t="s">
        <v>1662</v>
      </c>
      <c r="B397" s="1757" t="s">
        <v>2490</v>
      </c>
      <c r="C397" s="1764" t="s">
        <v>2491</v>
      </c>
      <c r="D397" s="1764" t="s">
        <v>1685</v>
      </c>
      <c r="E397" s="1764" t="s">
        <v>1709</v>
      </c>
      <c r="F397" s="1765"/>
      <c r="G397" s="1760" t="s">
        <v>1661</v>
      </c>
      <c r="H397" s="1761">
        <v>63</v>
      </c>
      <c r="I397" s="1763" t="s">
        <v>2356</v>
      </c>
      <c r="J397" s="1773">
        <v>45026</v>
      </c>
      <c r="K397" s="1773">
        <v>46121</v>
      </c>
      <c r="L397" s="1764">
        <f t="shared" si="168"/>
        <v>36</v>
      </c>
      <c r="M397" s="1774">
        <f t="shared" si="179"/>
        <v>67520.25</v>
      </c>
      <c r="N397" s="1775">
        <f t="shared" si="180"/>
        <v>958.13</v>
      </c>
      <c r="O397" s="1777">
        <v>60362.19</v>
      </c>
      <c r="P397" s="1763">
        <v>0.14000000000000001</v>
      </c>
      <c r="Q397" s="1783">
        <f t="shared" si="169"/>
        <v>95</v>
      </c>
      <c r="R397" s="1763">
        <v>5985</v>
      </c>
      <c r="S397" s="1777">
        <f t="shared" si="170"/>
        <v>18.619999999999997</v>
      </c>
      <c r="T397" s="1763">
        <v>1173.06</v>
      </c>
      <c r="U397" s="1763"/>
      <c r="V397" s="1785">
        <v>365676.125</v>
      </c>
      <c r="W397" s="1785">
        <f t="shared" si="171"/>
        <v>5804.3829365079364</v>
      </c>
      <c r="X397" s="1786">
        <f>(N397+Q397+S397)*H397/V397</f>
        <v>0.18464495050093852</v>
      </c>
      <c r="Y397" s="1789">
        <f>VLOOKUP(E397,[11]核心假设及结论!$C$25:$E$45,3,0)</f>
        <v>0.2</v>
      </c>
      <c r="Z397" s="1790">
        <f t="shared" si="163"/>
        <v>61319.79</v>
      </c>
      <c r="AA397" s="1790">
        <f t="shared" si="163"/>
        <v>62278.02</v>
      </c>
      <c r="AB397" s="1790">
        <f t="shared" si="163"/>
        <v>0</v>
      </c>
      <c r="AC397" s="1790">
        <f t="shared" si="161"/>
        <v>0</v>
      </c>
      <c r="AD397" s="1790">
        <f t="shared" si="161"/>
        <v>0</v>
      </c>
      <c r="AE397" s="1790">
        <f t="shared" si="161"/>
        <v>0</v>
      </c>
      <c r="AF397" s="1790">
        <f t="shared" si="161"/>
        <v>0</v>
      </c>
      <c r="AG397" s="1794">
        <v>973.33</v>
      </c>
      <c r="AH397" s="1794">
        <v>988.54</v>
      </c>
      <c r="AI397" s="1794">
        <v>0</v>
      </c>
      <c r="AJ397" s="1794">
        <v>0</v>
      </c>
      <c r="AK397" s="1794">
        <v>0</v>
      </c>
      <c r="AL397" s="1794">
        <v>0</v>
      </c>
      <c r="AM397" s="1794">
        <v>0</v>
      </c>
      <c r="AN397" s="1764"/>
      <c r="AO397" s="1764"/>
      <c r="AP397" s="1808">
        <f t="shared" si="181"/>
        <v>0.92322475250469249</v>
      </c>
      <c r="AQ397" s="1810">
        <f>IF(AP397&gt;[11]核心假设及结论!$B$59,[11]核心假设及结论!$D$59,IF(AP397&lt;=[11]核心假设及结论!$B$58,[11]核心假设及结论!$D$57,[11]核心假设及结论!$D$58))</f>
        <v>1.0342640124442799</v>
      </c>
      <c r="AR397" s="1809">
        <f t="shared" si="182"/>
        <v>973.33</v>
      </c>
      <c r="AS397" s="1809">
        <f>AH397*(AS$2&lt;=YEAR($K397))+AR397*$AQ397*(AS$2=YEAR($K397)+1)+INDEX([11]核心假设及结论!$E$17:$E$21,MATCH($D397,[11]核心假设及结论!$B$17:$B$21,0))*(AS$2&gt;YEAR($K397)+1)*AR397</f>
        <v>988.54</v>
      </c>
      <c r="AT397" s="1811">
        <f>AI397*(AT$2&lt;=YEAR($K397))+AS397*$AQ397*(AT$2=YEAR($K397)+1)+INDEX([11]核心假设及结论!$E$17:$E$21,MATCH($D397,[11]核心假设及结论!$B$17:$B$21,0))*(AT$2&gt;YEAR($K397)+1)*AS397</f>
        <v>1022.4113468616684</v>
      </c>
      <c r="AU397" s="1809">
        <f>AJ397*(AU$2&lt;=YEAR($K397))+AT397*$AQ397*(AU$2=YEAR($K397)+1)+INDEX([11]核心假设及结论!$E$17:$E$21,MATCH($D397,[11]核心假设及结论!$B$17:$B$21,0))*(AU$2&gt;YEAR($K397)+1)*AT397</f>
        <v>1050.0926136779647</v>
      </c>
      <c r="AV397" s="1809">
        <f>AK397*(AV$2&lt;=YEAR($K397))+AU397*$AQ397*(AV$2=YEAR($K397)+1)+INDEX([11]核心假设及结论!$E$17:$E$21,MATCH($D397,[11]核心假设及结论!$B$17:$B$21,0))*(AV$2&gt;YEAR($K397)+1)*AU397</f>
        <v>1078.5233367037474</v>
      </c>
      <c r="AW397" s="1809">
        <f>AL397*(AW$2&lt;=YEAR($K397))+AV397*$AQ397*(AW$2=YEAR($K397)+1)+INDEX([11]核心假设及结论!$E$17:$E$21,MATCH($D397,[11]核心假设及结论!$B$17:$B$21,0))*(AW$2&gt;YEAR($K397)+1)*AV397</f>
        <v>1107.7238070844207</v>
      </c>
      <c r="AX397" s="1809">
        <f>AM397*(AX$2&lt;=YEAR($K397))+AW397*$AQ397*(AX$2=YEAR($K397)+1)+INDEX([11]核心假设及结论!$E$17:$E$21,MATCH($D397,[11]核心假设及结论!$B$17:$B$21,0))*(AX$2&gt;YEAR($K397)+1)*AW397</f>
        <v>1137.7148653378224</v>
      </c>
      <c r="AZ397" s="1746">
        <f t="shared" si="172"/>
        <v>46121</v>
      </c>
      <c r="BA397" s="1817">
        <f t="shared" si="173"/>
        <v>45658</v>
      </c>
      <c r="BB397" s="1817">
        <f t="shared" si="174"/>
        <v>45756</v>
      </c>
      <c r="BC397" s="1841">
        <f t="shared" si="175"/>
        <v>46022</v>
      </c>
      <c r="BD397" s="1842">
        <f t="shared" si="176"/>
        <v>99</v>
      </c>
      <c r="BE397" s="1842">
        <f t="shared" si="177"/>
        <v>266</v>
      </c>
      <c r="BG397" s="1843">
        <f t="shared" si="164"/>
        <v>74.421739824657536</v>
      </c>
      <c r="BH397" s="1843">
        <f t="shared" si="165"/>
        <v>76.599758895477819</v>
      </c>
      <c r="BI397" s="1843">
        <f t="shared" si="165"/>
        <v>78.819391530054446</v>
      </c>
      <c r="BJ397" s="1843">
        <f t="shared" si="165"/>
        <v>80.95338643723025</v>
      </c>
      <c r="BK397" s="1843">
        <f t="shared" ref="BK397:BM461" si="187">(AV397*$BD397*$H397*12/365+$BE397*AW397*$H397*12/365)/10000</f>
        <v>83.14515817032985</v>
      </c>
      <c r="BL397" s="1843">
        <f t="shared" si="187"/>
        <v>85.396271007507167</v>
      </c>
      <c r="BM397" s="1843">
        <f t="shared" si="187"/>
        <v>23.329077090779172</v>
      </c>
      <c r="BO397" s="1739">
        <f t="shared" si="178"/>
        <v>2026</v>
      </c>
      <c r="BP397" s="1742">
        <f>_xlfn.IFNA(INDEX($AR397:$AX397,MATCH(BO397,$AR$2:$AX$2,0))*12/365*[11]核心假设及结论!$C$70*$H397,0)</f>
        <v>61424.896438356162</v>
      </c>
      <c r="BR397" s="1739">
        <f t="shared" si="183"/>
        <v>2029</v>
      </c>
      <c r="BS397" s="1742">
        <f>_xlfn.IFNA(INDEX($AR397:$AX397,MATCH(BR397,$AR$2:$AX$2,0))*12/365*[11]核心假设及结论!$C$70*$H397,0)</f>
        <v>67016.189798468477</v>
      </c>
      <c r="BU397" s="1739">
        <f t="shared" si="184"/>
        <v>2032</v>
      </c>
      <c r="BV397" s="1742">
        <f>_xlfn.IFNA(INDEX($AR397:$AX397,MATCH(BU397,$AR$2:$AX$2,0))*12/365*[11]核心假设及结论!$C$70*$H397,0)</f>
        <v>0</v>
      </c>
      <c r="BX397" s="1739">
        <f t="shared" si="185"/>
        <v>2035</v>
      </c>
      <c r="BY397" s="1742">
        <f>_xlfn.IFNA(INDEX($AR397:$AX397,MATCH(BX397,$AR$2:$AX$2,0))*12/365*[11]核心假设及结论!$C$70*$H397,0)</f>
        <v>0</v>
      </c>
      <c r="CA397" s="1739">
        <f t="shared" si="186"/>
        <v>2038</v>
      </c>
      <c r="CB397" s="1742">
        <f>_xlfn.IFNA(INDEX($AR397:$AX397,MATCH(CA397,$AR$2:$AX$2,0))*12/365*[11]核心假设及结论!$C$70*$H397,0)</f>
        <v>0</v>
      </c>
    </row>
    <row r="398" spans="1:80" ht="30" customHeight="1">
      <c r="A398" s="1763" t="s">
        <v>1687</v>
      </c>
      <c r="B398" s="1757" t="s">
        <v>2492</v>
      </c>
      <c r="C398" s="1764" t="s">
        <v>2493</v>
      </c>
      <c r="D398" s="1764" t="s">
        <v>1685</v>
      </c>
      <c r="E398" s="1764" t="s">
        <v>1888</v>
      </c>
      <c r="F398" s="1765"/>
      <c r="G398" s="1760" t="s">
        <v>1661</v>
      </c>
      <c r="H398" s="1761">
        <v>63</v>
      </c>
      <c r="I398" s="1763" t="s">
        <v>2356</v>
      </c>
      <c r="J398" s="1773">
        <v>45190</v>
      </c>
      <c r="K398" s="1773">
        <v>46285</v>
      </c>
      <c r="L398" s="1764">
        <f t="shared" si="168"/>
        <v>36</v>
      </c>
      <c r="M398" s="1774">
        <f t="shared" si="179"/>
        <v>64589.49</v>
      </c>
      <c r="N398" s="1775">
        <f t="shared" si="180"/>
        <v>912.5</v>
      </c>
      <c r="O398" s="1777">
        <v>57487.5</v>
      </c>
      <c r="P398" s="1763">
        <v>0.18</v>
      </c>
      <c r="Q398" s="1783">
        <f t="shared" si="169"/>
        <v>95</v>
      </c>
      <c r="R398" s="1763">
        <v>5985</v>
      </c>
      <c r="S398" s="1777">
        <f t="shared" si="170"/>
        <v>17.73</v>
      </c>
      <c r="T398" s="1763">
        <v>1116.99</v>
      </c>
      <c r="U398" s="1763"/>
      <c r="V398" s="1785">
        <v>123772.454545455</v>
      </c>
      <c r="W398" s="1785">
        <f t="shared" si="171"/>
        <v>1964.6421356421429</v>
      </c>
      <c r="X398" s="1786">
        <f>(N398+Q398+S398)*H398/V398</f>
        <v>0.52184058429801705</v>
      </c>
      <c r="Y398" s="1789">
        <f>VLOOKUP(E398,[11]核心假设及结论!$C$25:$E$45,3,0)</f>
        <v>0.3</v>
      </c>
      <c r="Z398" s="1790">
        <f t="shared" si="163"/>
        <v>58445.73</v>
      </c>
      <c r="AA398" s="1790">
        <f t="shared" si="163"/>
        <v>59403.96</v>
      </c>
      <c r="AB398" s="1790">
        <f t="shared" si="163"/>
        <v>0</v>
      </c>
      <c r="AC398" s="1790">
        <f t="shared" si="161"/>
        <v>0</v>
      </c>
      <c r="AD398" s="1790">
        <f t="shared" si="161"/>
        <v>0</v>
      </c>
      <c r="AE398" s="1790">
        <f t="shared" si="161"/>
        <v>0</v>
      </c>
      <c r="AF398" s="1790">
        <f t="shared" si="161"/>
        <v>0</v>
      </c>
      <c r="AG398" s="1794">
        <v>927.71</v>
      </c>
      <c r="AH398" s="1794">
        <v>942.92</v>
      </c>
      <c r="AI398" s="1794">
        <v>0</v>
      </c>
      <c r="AJ398" s="1794">
        <v>0</v>
      </c>
      <c r="AK398" s="1794">
        <v>0</v>
      </c>
      <c r="AL398" s="1794">
        <v>0</v>
      </c>
      <c r="AM398" s="1794">
        <v>0</v>
      </c>
      <c r="AN398" s="1764"/>
      <c r="AO398" s="1764"/>
      <c r="AP398" s="1808">
        <f t="shared" si="181"/>
        <v>1.7394686143267235</v>
      </c>
      <c r="AQ398" s="1810">
        <f>IF(AP398&gt;[11]核心假设及结论!$B$59,[11]核心假设及结论!$D$59,IF(AP398&lt;=[11]核心假设及结论!$B$58,[11]核心假设及结论!$D$57,[11]核心假设及结论!$D$58))</f>
        <v>1</v>
      </c>
      <c r="AR398" s="1809">
        <f t="shared" si="182"/>
        <v>927.71</v>
      </c>
      <c r="AS398" s="1809">
        <f>AH398*(AS$2&lt;=YEAR($K398))+AR398*$AQ398*(AS$2=YEAR($K398)+1)+INDEX([11]核心假设及结论!$E$17:$E$21,MATCH($D398,[11]核心假设及结论!$B$17:$B$21,0))*(AS$2&gt;YEAR($K398)+1)*AR398</f>
        <v>942.92</v>
      </c>
      <c r="AT398" s="1811">
        <f>AI398*(AT$2&lt;=YEAR($K398))+AS398*$AQ398*(AT$2=YEAR($K398)+1)+INDEX([11]核心假设及结论!$E$17:$E$21,MATCH($D398,[11]核心假设及结论!$B$17:$B$21,0))*(AT$2&gt;YEAR($K398)+1)*AS398</f>
        <v>942.92</v>
      </c>
      <c r="AU398" s="1809">
        <f>AJ398*(AU$2&lt;=YEAR($K398))+AT398*$AQ398*(AU$2=YEAR($K398)+1)+INDEX([11]核心假设及结论!$E$17:$E$21,MATCH($D398,[11]核心假设及结论!$B$17:$B$21,0))*(AU$2&gt;YEAR($K398)+1)*AT398</f>
        <v>968.44907906053731</v>
      </c>
      <c r="AV398" s="1809">
        <f>AK398*(AV$2&lt;=YEAR($K398))+AU398*$AQ398*(AV$2=YEAR($K398)+1)+INDEX([11]核心假设及结论!$E$17:$E$21,MATCH($D398,[11]核心假设及结论!$B$17:$B$21,0))*(AV$2&gt;YEAR($K398)+1)*AU398</f>
        <v>994.669344942522</v>
      </c>
      <c r="AW398" s="1809">
        <f>AL398*(AW$2&lt;=YEAR($K398))+AV398*$AQ398*(AW$2=YEAR($K398)+1)+INDEX([11]核心假设及结论!$E$17:$E$21,MATCH($D398,[11]核心假设及结论!$B$17:$B$21,0))*(AW$2&gt;YEAR($K398)+1)*AV398</f>
        <v>1021.5995111773357</v>
      </c>
      <c r="AX398" s="1809">
        <f>AM398*(AX$2&lt;=YEAR($K398))+AW398*$AQ398*(AX$2=YEAR($K398)+1)+INDEX([11]核心假设及结论!$E$17:$E$21,MATCH($D398,[11]核心假设及结论!$B$17:$B$21,0))*(AX$2&gt;YEAR($K398)+1)*AW398</f>
        <v>1049.258797955697</v>
      </c>
      <c r="AZ398" s="1746">
        <f t="shared" si="172"/>
        <v>46285</v>
      </c>
      <c r="BA398" s="1817">
        <f t="shared" si="173"/>
        <v>45658</v>
      </c>
      <c r="BB398" s="1817">
        <f t="shared" si="174"/>
        <v>45920</v>
      </c>
      <c r="BC398" s="1841">
        <f t="shared" si="175"/>
        <v>46022</v>
      </c>
      <c r="BD398" s="1842">
        <f t="shared" si="176"/>
        <v>263</v>
      </c>
      <c r="BE398" s="1842">
        <f t="shared" si="177"/>
        <v>102</v>
      </c>
      <c r="BG398" s="1843">
        <f t="shared" si="164"/>
        <v>70.456211210958898</v>
      </c>
      <c r="BH398" s="1843">
        <f t="shared" ref="BH398:BM462" si="188">(AS398*$BD398*$H398*12/365+$BE398*AT398*$H398*12/365)/10000</f>
        <v>71.284751999999997</v>
      </c>
      <c r="BI398" s="1843">
        <f t="shared" si="188"/>
        <v>71.824094012196198</v>
      </c>
      <c r="BJ398" s="1843">
        <f t="shared" si="188"/>
        <v>73.768694799631859</v>
      </c>
      <c r="BK398" s="1843">
        <f t="shared" si="187"/>
        <v>75.765944663599583</v>
      </c>
      <c r="BL398" s="1843">
        <f t="shared" si="187"/>
        <v>77.817269051048498</v>
      </c>
      <c r="BM398" s="1843">
        <f t="shared" si="187"/>
        <v>57.156720076694604</v>
      </c>
      <c r="BO398" s="1739">
        <f t="shared" si="178"/>
        <v>2026</v>
      </c>
      <c r="BP398" s="1742">
        <f>_xlfn.IFNA(INDEX($AR398:$AX398,MATCH(BO398,$AR$2:$AX$2,0))*12/365*[11]核心假设及结论!$C$70*$H398,0)</f>
        <v>58590.207123287662</v>
      </c>
      <c r="BR398" s="1739">
        <f t="shared" si="183"/>
        <v>2029</v>
      </c>
      <c r="BS398" s="1742">
        <f>_xlfn.IFNA(INDEX($AR398:$AX398,MATCH(BR398,$AR$2:$AX$2,0))*12/365*[11]核心假设及结论!$C$70*$H398,0)</f>
        <v>61805.755461086024</v>
      </c>
      <c r="BU398" s="1739">
        <f t="shared" si="184"/>
        <v>2032</v>
      </c>
      <c r="BV398" s="1742">
        <f>_xlfn.IFNA(INDEX($AR398:$AX398,MATCH(BU398,$AR$2:$AX$2,0))*12/365*[11]核心假设及结论!$C$70*$H398,0)</f>
        <v>0</v>
      </c>
      <c r="BX398" s="1739">
        <f t="shared" si="185"/>
        <v>2035</v>
      </c>
      <c r="BY398" s="1742">
        <f>_xlfn.IFNA(INDEX($AR398:$AX398,MATCH(BX398,$AR$2:$AX$2,0))*12/365*[11]核心假设及结论!$C$70*$H398,0)</f>
        <v>0</v>
      </c>
      <c r="CA398" s="1739">
        <f t="shared" si="186"/>
        <v>2038</v>
      </c>
      <c r="CB398" s="1742">
        <f>_xlfn.IFNA(INDEX($AR398:$AX398,MATCH(CA398,$AR$2:$AX$2,0))*12/365*[11]核心假设及结论!$C$70*$H398,0)</f>
        <v>0</v>
      </c>
    </row>
    <row r="399" spans="1:80" ht="30" customHeight="1">
      <c r="A399" s="1763" t="s">
        <v>1666</v>
      </c>
      <c r="B399" s="1757" t="s">
        <v>2494</v>
      </c>
      <c r="C399" s="1764" t="s">
        <v>2495</v>
      </c>
      <c r="D399" s="1764" t="s">
        <v>1698</v>
      </c>
      <c r="E399" s="1764" t="s">
        <v>1698</v>
      </c>
      <c r="F399" s="1765"/>
      <c r="G399" s="1760" t="s">
        <v>1661</v>
      </c>
      <c r="H399" s="1761">
        <v>62</v>
      </c>
      <c r="I399" s="1763" t="s">
        <v>2356</v>
      </c>
      <c r="J399" s="1773">
        <v>45139</v>
      </c>
      <c r="K399" s="1773">
        <v>46490</v>
      </c>
      <c r="L399" s="1764">
        <f t="shared" si="168"/>
        <v>45</v>
      </c>
      <c r="M399" s="1774">
        <f t="shared" si="179"/>
        <v>68295.48000000001</v>
      </c>
      <c r="N399" s="1775">
        <f t="shared" si="180"/>
        <v>988.54000000000008</v>
      </c>
      <c r="O399" s="1777">
        <v>61289.48</v>
      </c>
      <c r="P399" s="1763">
        <v>0.13</v>
      </c>
      <c r="Q399" s="1783">
        <f t="shared" si="169"/>
        <v>95</v>
      </c>
      <c r="R399" s="1763">
        <v>5890</v>
      </c>
      <c r="S399" s="1777">
        <f t="shared" si="170"/>
        <v>18</v>
      </c>
      <c r="T399" s="1763">
        <v>1116</v>
      </c>
      <c r="U399" s="1763"/>
      <c r="V399" s="1785">
        <v>209350.23333333299</v>
      </c>
      <c r="W399" s="1785">
        <f t="shared" si="171"/>
        <v>3376.6166666666609</v>
      </c>
      <c r="X399" s="1786">
        <f t="shared" ref="X399:X405" si="189">(N399+Q399)*H399/V399</f>
        <v>0.32089517613785051</v>
      </c>
      <c r="Y399" s="1789">
        <f>VLOOKUP(E399,[11]核心假设及结论!$C$25:$E$45,3,0)</f>
        <v>0.2</v>
      </c>
      <c r="Z399" s="1790">
        <f t="shared" si="163"/>
        <v>56575</v>
      </c>
      <c r="AA399" s="1790">
        <f t="shared" si="163"/>
        <v>58272.56</v>
      </c>
      <c r="AB399" s="1790">
        <f t="shared" si="163"/>
        <v>60025.919999999998</v>
      </c>
      <c r="AC399" s="1790">
        <f t="shared" si="161"/>
        <v>0</v>
      </c>
      <c r="AD399" s="1790">
        <f t="shared" si="161"/>
        <v>0</v>
      </c>
      <c r="AE399" s="1790">
        <f t="shared" si="161"/>
        <v>0</v>
      </c>
      <c r="AF399" s="1790">
        <f t="shared" si="161"/>
        <v>0</v>
      </c>
      <c r="AG399" s="1794">
        <v>912.5</v>
      </c>
      <c r="AH399" s="1794">
        <v>939.88</v>
      </c>
      <c r="AI399" s="1794">
        <v>968.16</v>
      </c>
      <c r="AJ399" s="1794">
        <v>0</v>
      </c>
      <c r="AK399" s="1794">
        <v>0</v>
      </c>
      <c r="AL399" s="1794">
        <v>0</v>
      </c>
      <c r="AM399" s="1794">
        <v>0</v>
      </c>
      <c r="AN399" s="1764"/>
      <c r="AO399" s="1764"/>
      <c r="AP399" s="1808">
        <f t="shared" si="181"/>
        <v>1.6044758806892525</v>
      </c>
      <c r="AQ399" s="1812">
        <f>IF(AP399&gt;[11]核心假设及结论!$B$62,[11]核心假设及结论!$D$62,IF(AP399&lt;=[11]核心假设及结论!$B$61,[11]核心假设及结论!$D$60,[11]核心假设及结论!$D$61))</f>
        <v>1</v>
      </c>
      <c r="AR399" s="1809">
        <f t="shared" si="182"/>
        <v>912.5</v>
      </c>
      <c r="AS399" s="1809">
        <f>AH399*(AS$2&lt;=YEAR($K399))+AR399*$AQ399*(AS$2=YEAR($K399)+1)+INDEX([11]核心假设及结论!$E$17:$E$21,MATCH($D399,[11]核心假设及结论!$B$17:$B$21,0))*(AS$2&gt;YEAR($K399)+1)*AR399</f>
        <v>939.88</v>
      </c>
      <c r="AT399" s="1809">
        <f>AI399*(AT$2&lt;=YEAR($K399))+AS399*$AQ399*(AT$2=YEAR($K399)+1)+INDEX([11]核心假设及结论!$E$17:$E$21,MATCH($D399,[11]核心假设及结论!$B$17:$B$21,0))*(AT$2&gt;YEAR($K399)+1)*AS399</f>
        <v>968.16</v>
      </c>
      <c r="AU399" s="1811">
        <f>AJ399*(AU$2&lt;=YEAR($K399))+AT399*$AQ399*(AU$2=YEAR($K399)+1)+INDEX([11]核心假设及结论!$E$17:$E$21,MATCH($D399,[11]核心假设及结论!$B$17:$B$21,0))*(AU$2&gt;YEAR($K399)+1)*AT399</f>
        <v>968.16</v>
      </c>
      <c r="AV399" s="1809">
        <f>AK399*(AV$2&lt;=YEAR($K399))+AU399*$AQ399*(AV$2=YEAR($K399)+1)+INDEX([11]核心假设及结论!$E$17:$E$21,MATCH($D399,[11]核心假设及结论!$B$17:$B$21,0))*(AV$2&gt;YEAR($K399)+1)*AU399</f>
        <v>997.80254717732635</v>
      </c>
      <c r="AW399" s="1809">
        <f>AL399*(AW$2&lt;=YEAR($K399))+AV399*$AQ399*(AW$2=YEAR($K399)+1)+INDEX([11]核心假设及结论!$E$17:$E$21,MATCH($D399,[11]核心假设及结论!$B$17:$B$21,0))*(AW$2&gt;YEAR($K399)+1)*AV399</f>
        <v>1028.3526722376059</v>
      </c>
      <c r="AX399" s="1809">
        <f>AM399*(AX$2&lt;=YEAR($K399))+AW399*$AQ399*(AX$2=YEAR($K399)+1)+INDEX([11]核心假设及结论!$E$17:$E$21,MATCH($D399,[11]核心假设及结论!$B$17:$B$21,0))*(AX$2&gt;YEAR($K399)+1)*AW399</f>
        <v>1059.8381628607806</v>
      </c>
      <c r="AZ399" s="1746">
        <f t="shared" si="172"/>
        <v>46490</v>
      </c>
      <c r="BA399" s="1817">
        <f t="shared" si="173"/>
        <v>45658</v>
      </c>
      <c r="BB399" s="1817">
        <f t="shared" si="174"/>
        <v>45760</v>
      </c>
      <c r="BC399" s="1841">
        <f t="shared" si="175"/>
        <v>46022</v>
      </c>
      <c r="BD399" s="1842">
        <f t="shared" si="176"/>
        <v>103</v>
      </c>
      <c r="BE399" s="1842">
        <f t="shared" si="177"/>
        <v>262</v>
      </c>
      <c r="BG399" s="1843">
        <f t="shared" si="164"/>
        <v>69.352227024657537</v>
      </c>
      <c r="BH399" s="1843">
        <f t="shared" si="188"/>
        <v>71.437363463013682</v>
      </c>
      <c r="BI399" s="1843">
        <f t="shared" si="188"/>
        <v>72.031103999999999</v>
      </c>
      <c r="BJ399" s="1843">
        <f t="shared" si="188"/>
        <v>73.614162201693659</v>
      </c>
      <c r="BK399" s="1843">
        <f t="shared" si="187"/>
        <v>75.868036846362997</v>
      </c>
      <c r="BL399" s="1843">
        <f t="shared" si="187"/>
        <v>78.19091928466807</v>
      </c>
      <c r="BM399" s="1843">
        <f t="shared" si="187"/>
        <v>22.251374820917075</v>
      </c>
      <c r="BO399" s="1739">
        <f t="shared" si="178"/>
        <v>2027</v>
      </c>
      <c r="BP399" s="1742">
        <f>_xlfn.IFNA(INDEX($AR399:$AX399,MATCH(BO399,$AR$2:$AX$2,0))*12/365*[11]核心假设及结论!$C$70*$H399,0)</f>
        <v>59203.647123287672</v>
      </c>
      <c r="BR399" s="1739">
        <f t="shared" si="183"/>
        <v>2031</v>
      </c>
      <c r="BS399" s="1742">
        <f>_xlfn.IFNA(INDEX($AR399:$AX399,MATCH(BR399,$AR$2:$AX$2,0))*12/365*[11]核心假设及结论!$C$70*$H399,0)</f>
        <v>64809.829575486641</v>
      </c>
      <c r="BU399" s="1739">
        <f t="shared" si="184"/>
        <v>2035</v>
      </c>
      <c r="BV399" s="1742">
        <f>_xlfn.IFNA(INDEX($AR399:$AX399,MATCH(BU399,$AR$2:$AX$2,0))*12/365*[11]核心假设及结论!$C$70*$H399,0)</f>
        <v>0</v>
      </c>
      <c r="BX399" s="1739">
        <f t="shared" si="185"/>
        <v>2039</v>
      </c>
      <c r="BY399" s="1742">
        <f>_xlfn.IFNA(INDEX($AR399:$AX399,MATCH(BX399,$AR$2:$AX$2,0))*12/365*[11]核心假设及结论!$C$70*$H399,0)</f>
        <v>0</v>
      </c>
      <c r="CA399" s="1739">
        <f t="shared" si="186"/>
        <v>2043</v>
      </c>
      <c r="CB399" s="1742">
        <f>_xlfn.IFNA(INDEX($AR399:$AX399,MATCH(CA399,$AR$2:$AX$2,0))*12/365*[11]核心假设及结论!$C$70*$H399,0)</f>
        <v>0</v>
      </c>
    </row>
    <row r="400" spans="1:80" ht="30" customHeight="1">
      <c r="A400" s="1763" t="s">
        <v>1687</v>
      </c>
      <c r="B400" s="1757" t="s">
        <v>2496</v>
      </c>
      <c r="C400" s="1764" t="s">
        <v>2497</v>
      </c>
      <c r="D400" s="1764" t="s">
        <v>1676</v>
      </c>
      <c r="E400" s="1764" t="s">
        <v>1677</v>
      </c>
      <c r="F400" s="1765"/>
      <c r="G400" s="1760" t="s">
        <v>1661</v>
      </c>
      <c r="H400" s="1761">
        <v>61</v>
      </c>
      <c r="I400" s="1763" t="s">
        <v>2356</v>
      </c>
      <c r="J400" s="1773">
        <v>45326</v>
      </c>
      <c r="K400" s="1773">
        <v>46056</v>
      </c>
      <c r="L400" s="1764">
        <f t="shared" si="168"/>
        <v>24</v>
      </c>
      <c r="M400" s="1774">
        <f t="shared" si="179"/>
        <v>28853</v>
      </c>
      <c r="N400" s="1775">
        <f t="shared" si="180"/>
        <v>365</v>
      </c>
      <c r="O400" s="1777">
        <v>22265</v>
      </c>
      <c r="P400" s="1763">
        <v>0.14000000000000001</v>
      </c>
      <c r="Q400" s="1783">
        <f t="shared" si="169"/>
        <v>90</v>
      </c>
      <c r="R400" s="1763">
        <v>5490</v>
      </c>
      <c r="S400" s="1777">
        <f t="shared" si="170"/>
        <v>18</v>
      </c>
      <c r="T400" s="1763">
        <v>1098</v>
      </c>
      <c r="U400" s="1763"/>
      <c r="V400" s="1785">
        <v>59378.153333333299</v>
      </c>
      <c r="W400" s="1785">
        <f t="shared" si="171"/>
        <v>973.41234972677535</v>
      </c>
      <c r="X400" s="1786">
        <f t="shared" si="189"/>
        <v>0.4674278070621487</v>
      </c>
      <c r="Y400" s="1789">
        <f>VLOOKUP(E400,[11]核心假设及结论!$C$25:$E$45,3,0)</f>
        <v>0.25</v>
      </c>
      <c r="Z400" s="1790">
        <f t="shared" si="163"/>
        <v>22265</v>
      </c>
      <c r="AA400" s="1790">
        <f t="shared" si="163"/>
        <v>23378.25</v>
      </c>
      <c r="AB400" s="1790">
        <f t="shared" si="163"/>
        <v>0</v>
      </c>
      <c r="AC400" s="1790">
        <f t="shared" si="161"/>
        <v>0</v>
      </c>
      <c r="AD400" s="1790">
        <f t="shared" si="161"/>
        <v>0</v>
      </c>
      <c r="AE400" s="1790">
        <f t="shared" si="161"/>
        <v>0</v>
      </c>
      <c r="AF400" s="1790">
        <f t="shared" si="161"/>
        <v>0</v>
      </c>
      <c r="AG400" s="1794">
        <v>365</v>
      </c>
      <c r="AH400" s="1794">
        <v>383.25</v>
      </c>
      <c r="AI400" s="1794">
        <v>0</v>
      </c>
      <c r="AJ400" s="1794">
        <v>0</v>
      </c>
      <c r="AK400" s="1794">
        <v>0</v>
      </c>
      <c r="AL400" s="1794">
        <v>0</v>
      </c>
      <c r="AM400" s="1794">
        <v>0</v>
      </c>
      <c r="AN400" s="1764"/>
      <c r="AO400" s="1764"/>
      <c r="AP400" s="1808">
        <f t="shared" si="181"/>
        <v>1.8697112282485948</v>
      </c>
      <c r="AQ400" s="1808">
        <f>IF(AP400&gt;[11]核心假设及结论!$B$65,[11]核心假设及结论!$D$65,IF(AP400&lt;=[11]核心假设及结论!$B$64,[11]核心假设及结论!$D$63,[11]核心假设及结论!$D$64))</f>
        <v>0.72793038402688603</v>
      </c>
      <c r="AR400" s="1809">
        <f t="shared" si="182"/>
        <v>365</v>
      </c>
      <c r="AS400" s="1809">
        <f>AH400*(AS$2&lt;=YEAR($K400))+AR400*$AQ400*(AS$2=YEAR($K400)+1)+INDEX([11]核心假设及结论!$E$17:$E$21,MATCH($D400,[11]核心假设及结论!$B$17:$B$21,0))*(AS$2&gt;YEAR($K400)+1)*AR400</f>
        <v>383.25</v>
      </c>
      <c r="AT400" s="1811">
        <f>AI400*(AT$2&lt;=YEAR($K400))+AS400*$AQ400*(AT$2=YEAR($K400)+1)+INDEX([11]核心假设及结论!$E$17:$E$21,MATCH($D400,[11]核心假设及结论!$B$17:$B$21,0))*(AT$2&gt;YEAR($K400)+1)*AS400</f>
        <v>278.97931967830408</v>
      </c>
      <c r="AU400" s="1809">
        <f>AJ400*(AU$2&lt;=YEAR($K400))+AT400*$AQ400*(AU$2=YEAR($K400)+1)+INDEX([11]核心假设及结论!$E$17:$E$21,MATCH($D400,[11]核心假设及结论!$B$17:$B$21,0))*(AU$2&gt;YEAR($K400)+1)*AT400</f>
        <v>288.62505406617447</v>
      </c>
      <c r="AV400" s="1809">
        <f>AK400*(AV$2&lt;=YEAR($K400))+AU400*$AQ400*(AV$2=YEAR($K400)+1)+INDEX([11]核心假设及结论!$E$17:$E$21,MATCH($D400,[11]核心假设及结论!$B$17:$B$21,0))*(AV$2&gt;YEAR($K400)+1)*AU400</f>
        <v>298.60429056448311</v>
      </c>
      <c r="AW400" s="1809">
        <f>AL400*(AW$2&lt;=YEAR($K400))+AV400*$AQ400*(AW$2=YEAR($K400)+1)+INDEX([11]核心假设及结论!$E$17:$E$21,MATCH($D400,[11]核心假设及结论!$B$17:$B$21,0))*(AW$2&gt;YEAR($K400)+1)*AV400</f>
        <v>308.92856003787898</v>
      </c>
      <c r="AX400" s="1809">
        <f>AM400*(AX$2&lt;=YEAR($K400))+AW400*$AQ400*(AX$2=YEAR($K400)+1)+INDEX([11]核心假设及结论!$E$17:$E$21,MATCH($D400,[11]核心假设及结论!$B$17:$B$21,0))*(AX$2&gt;YEAR($K400)+1)*AW400</f>
        <v>319.60979203166534</v>
      </c>
      <c r="AZ400" s="1746">
        <f t="shared" si="172"/>
        <v>46056</v>
      </c>
      <c r="BA400" s="1817">
        <f t="shared" si="173"/>
        <v>45658</v>
      </c>
      <c r="BB400" s="1817">
        <f t="shared" si="174"/>
        <v>45691</v>
      </c>
      <c r="BC400" s="1841">
        <f t="shared" si="175"/>
        <v>46022</v>
      </c>
      <c r="BD400" s="1842">
        <f t="shared" si="176"/>
        <v>34</v>
      </c>
      <c r="BE400" s="1842">
        <f t="shared" si="177"/>
        <v>331</v>
      </c>
      <c r="BG400" s="1843">
        <f t="shared" si="164"/>
        <v>27.929459999999999</v>
      </c>
      <c r="BH400" s="1843">
        <f t="shared" si="188"/>
        <v>21.132269403697435</v>
      </c>
      <c r="BI400" s="1843">
        <f t="shared" si="188"/>
        <v>21.061583262453471</v>
      </c>
      <c r="BJ400" s="1843">
        <f t="shared" si="188"/>
        <v>21.789789346588684</v>
      </c>
      <c r="BK400" s="1843">
        <f t="shared" si="187"/>
        <v>22.543173219799076</v>
      </c>
      <c r="BL400" s="1843">
        <f t="shared" si="187"/>
        <v>23.32260540634493</v>
      </c>
      <c r="BM400" s="1843">
        <f t="shared" si="187"/>
        <v>2.1793009600230375</v>
      </c>
      <c r="BO400" s="1739">
        <f t="shared" si="178"/>
        <v>2026</v>
      </c>
      <c r="BP400" s="1742">
        <f>_xlfn.IFNA(INDEX($AR400:$AX400,MATCH(BO400,$AR$2:$AX$2,0))*12/365*[11]核心假设及结论!$C$70*$H400,0)</f>
        <v>23058</v>
      </c>
      <c r="BR400" s="1739">
        <f t="shared" si="183"/>
        <v>2028</v>
      </c>
      <c r="BS400" s="1742">
        <f>_xlfn.IFNA(INDEX($AR400:$AX400,MATCH(BR400,$AR$2:$AX$2,0))*12/365*[11]核心假设及结论!$C$70*$H400,0)</f>
        <v>17364.948458337512</v>
      </c>
      <c r="BU400" s="1739">
        <f t="shared" si="184"/>
        <v>2030</v>
      </c>
      <c r="BV400" s="1742">
        <f>_xlfn.IFNA(INDEX($AR400:$AX400,MATCH(BU400,$AR$2:$AX$2,0))*12/365*[11]核心假设及结论!$C$70*$H400,0)</f>
        <v>18586.496379265267</v>
      </c>
      <c r="BX400" s="1739">
        <f t="shared" si="185"/>
        <v>2032</v>
      </c>
      <c r="BY400" s="1742">
        <f>_xlfn.IFNA(INDEX($AR400:$AX400,MATCH(BX400,$AR$2:$AX$2,0))*12/365*[11]核心假设及结论!$C$70*$H400,0)</f>
        <v>0</v>
      </c>
      <c r="CA400" s="1739">
        <f t="shared" si="186"/>
        <v>2034</v>
      </c>
      <c r="CB400" s="1742">
        <f>_xlfn.IFNA(INDEX($AR400:$AX400,MATCH(CA400,$AR$2:$AX$2,0))*12/365*[11]核心假设及结论!$C$70*$H400,0)</f>
        <v>0</v>
      </c>
    </row>
    <row r="401" spans="1:80" ht="30" customHeight="1">
      <c r="A401" s="1763" t="s">
        <v>1662</v>
      </c>
      <c r="B401" s="1757" t="s">
        <v>2498</v>
      </c>
      <c r="C401" s="1764" t="s">
        <v>2499</v>
      </c>
      <c r="D401" s="1764" t="s">
        <v>1685</v>
      </c>
      <c r="E401" s="1764" t="s">
        <v>1871</v>
      </c>
      <c r="F401" s="1765"/>
      <c r="G401" s="1760" t="s">
        <v>1661</v>
      </c>
      <c r="H401" s="1761">
        <v>60</v>
      </c>
      <c r="I401" s="1763" t="s">
        <v>2356</v>
      </c>
      <c r="J401" s="1773">
        <v>45200</v>
      </c>
      <c r="K401" s="1773">
        <v>45930</v>
      </c>
      <c r="L401" s="1764">
        <f t="shared" si="168"/>
        <v>24</v>
      </c>
      <c r="M401" s="1774">
        <f t="shared" si="179"/>
        <v>98029.8</v>
      </c>
      <c r="N401" s="1775">
        <f t="shared" si="180"/>
        <v>1520.8300000000002</v>
      </c>
      <c r="O401" s="1777">
        <v>91249.8</v>
      </c>
      <c r="P401" s="1763" t="s">
        <v>1960</v>
      </c>
      <c r="Q401" s="1783">
        <f t="shared" si="169"/>
        <v>95</v>
      </c>
      <c r="R401" s="1763">
        <v>5700</v>
      </c>
      <c r="S401" s="1777">
        <f t="shared" si="170"/>
        <v>18</v>
      </c>
      <c r="T401" s="1763">
        <v>1080</v>
      </c>
      <c r="U401" s="1763"/>
      <c r="V401" s="1785">
        <v>746026.25</v>
      </c>
      <c r="W401" s="1785">
        <f t="shared" si="171"/>
        <v>12433.770833333334</v>
      </c>
      <c r="X401" s="1786">
        <f t="shared" si="189"/>
        <v>0.12995494461488452</v>
      </c>
      <c r="Y401" s="1789">
        <f>VLOOKUP(E401,[11]核心假设及结论!$C$25:$E$45,3,0)</f>
        <v>0.2</v>
      </c>
      <c r="Z401" s="1790">
        <f t="shared" si="163"/>
        <v>93075</v>
      </c>
      <c r="AA401" s="1790">
        <f t="shared" si="163"/>
        <v>0</v>
      </c>
      <c r="AB401" s="1790">
        <f t="shared" si="163"/>
        <v>0</v>
      </c>
      <c r="AC401" s="1790">
        <f t="shared" si="161"/>
        <v>0</v>
      </c>
      <c r="AD401" s="1790">
        <f t="shared" si="161"/>
        <v>0</v>
      </c>
      <c r="AE401" s="1790">
        <f t="shared" si="161"/>
        <v>0</v>
      </c>
      <c r="AF401" s="1790">
        <f t="shared" si="161"/>
        <v>0</v>
      </c>
      <c r="AG401" s="1794">
        <v>1551.25</v>
      </c>
      <c r="AH401" s="1794">
        <v>0</v>
      </c>
      <c r="AI401" s="1794">
        <v>0</v>
      </c>
      <c r="AJ401" s="1794">
        <v>0</v>
      </c>
      <c r="AK401" s="1794">
        <v>0</v>
      </c>
      <c r="AL401" s="1794">
        <v>0</v>
      </c>
      <c r="AM401" s="1794">
        <v>0</v>
      </c>
      <c r="AN401" s="1764"/>
      <c r="AO401" s="1764"/>
      <c r="AP401" s="1808">
        <f t="shared" si="181"/>
        <v>0.64977472307442252</v>
      </c>
      <c r="AQ401" s="1810">
        <f>IF(AP401&gt;[11]核心假设及结论!$B$59,[11]核心假设及结论!$D$59,IF(AP401&lt;=[11]核心假设及结论!$B$58,[11]核心假设及结论!$D$57,[11]核心假设及结论!$D$58))</f>
        <v>1.0342640124442799</v>
      </c>
      <c r="AR401" s="1809">
        <f t="shared" si="182"/>
        <v>1551.25</v>
      </c>
      <c r="AS401" s="1811">
        <f>AH401*(AS$2&lt;=YEAR($K401))+AR401*$AQ401*(AS$2=YEAR($K401)+1)+INDEX([11]核心假设及结论!$E$17:$E$21,MATCH($D401,[11]核心假设及结论!$B$17:$B$21,0))*(AS$2&gt;YEAR($K401)+1)*AR401</f>
        <v>1604.4020493041892</v>
      </c>
      <c r="AT401" s="1809">
        <f>AI401*(AT$2&lt;=YEAR($K401))+AS401*$AQ401*(AT$2=YEAR($K401)+1)+INDEX([11]核心假设及结论!$E$17:$E$21,MATCH($D401,[11]核心假设及结论!$B$17:$B$21,0))*(AT$2&gt;YEAR($K401)+1)*AS401</f>
        <v>1647.840418160057</v>
      </c>
      <c r="AU401" s="1809">
        <f>AJ401*(AU$2&lt;=YEAR($K401))+AT401*$AQ401*(AU$2=YEAR($K401)+1)+INDEX([11]核心假设及结论!$E$17:$E$21,MATCH($D401,[11]核心假设及结论!$B$17:$B$21,0))*(AU$2&gt;YEAR($K401)+1)*AT401</f>
        <v>1692.4548587428817</v>
      </c>
      <c r="AV401" s="1809">
        <f>AK401*(AV$2&lt;=YEAR($K401))+AU401*$AQ401*(AV$2=YEAR($K401)+1)+INDEX([11]核心假设及结论!$E$17:$E$21,MATCH($D401,[11]核心假设及结论!$B$17:$B$21,0))*(AV$2&gt;YEAR($K401)+1)*AU401</f>
        <v>1738.2772125960587</v>
      </c>
      <c r="AW401" s="1809">
        <f>AL401*(AW$2&lt;=YEAR($K401))+AV401*$AQ401*(AW$2=YEAR($K401)+1)+INDEX([11]核心假设及结论!$E$17:$E$21,MATCH($D401,[11]核心假设及结论!$B$17:$B$21,0))*(AW$2&gt;YEAR($K401)+1)*AV401</f>
        <v>1785.3401833565636</v>
      </c>
      <c r="AX401" s="1809">
        <f>AM401*(AX$2&lt;=YEAR($K401))+AW401*$AQ401*(AX$2=YEAR($K401)+1)+INDEX([11]核心假设及结论!$E$17:$E$21,MATCH($D401,[11]核心假设及结论!$B$17:$B$21,0))*(AX$2&gt;YEAR($K401)+1)*AW401</f>
        <v>1833.6773600956972</v>
      </c>
      <c r="AZ401" s="1746">
        <f t="shared" si="172"/>
        <v>45930</v>
      </c>
      <c r="BA401" s="1817">
        <f t="shared" si="173"/>
        <v>45658</v>
      </c>
      <c r="BB401" s="1817">
        <f t="shared" si="174"/>
        <v>45930</v>
      </c>
      <c r="BC401" s="1841">
        <f t="shared" si="175"/>
        <v>46022</v>
      </c>
      <c r="BD401" s="1842">
        <f t="shared" si="176"/>
        <v>273</v>
      </c>
      <c r="BE401" s="1842">
        <f t="shared" si="177"/>
        <v>92</v>
      </c>
      <c r="BG401" s="1843">
        <f t="shared" si="164"/>
        <v>112.65460047833137</v>
      </c>
      <c r="BH401" s="1843">
        <f t="shared" si="188"/>
        <v>116.3052646877133</v>
      </c>
      <c r="BI401" s="1843">
        <f t="shared" si="188"/>
        <v>119.45417053059433</v>
      </c>
      <c r="BJ401" s="1843">
        <f t="shared" si="188"/>
        <v>122.68833139640103</v>
      </c>
      <c r="BK401" s="1843">
        <f t="shared" si="187"/>
        <v>126.01005552148496</v>
      </c>
      <c r="BL401" s="1843">
        <f t="shared" si="187"/>
        <v>129.42171363652196</v>
      </c>
      <c r="BM401" s="1843">
        <f t="shared" si="187"/>
        <v>98.747293671345275</v>
      </c>
      <c r="BO401" s="1739">
        <f t="shared" si="178"/>
        <v>2025</v>
      </c>
      <c r="BP401" s="1742">
        <f>_xlfn.IFNA(INDEX($AR401:$AX401,MATCH(BO401,$AR$2:$AX$2,0))*12/365*[11]核心假设及结论!$C$70*$H401,0)</f>
        <v>91800</v>
      </c>
      <c r="BR401" s="1739">
        <f t="shared" si="183"/>
        <v>2027</v>
      </c>
      <c r="BS401" s="1742">
        <f>_xlfn.IFNA(INDEX($AR401:$AX401,MATCH(BR401,$AR$2:$AX$2,0))*12/365*[11]核心假设及结论!$C$70*$H401,0)</f>
        <v>97516.03570481432</v>
      </c>
      <c r="BU401" s="1739">
        <f t="shared" si="184"/>
        <v>2029</v>
      </c>
      <c r="BV401" s="1742">
        <f>_xlfn.IFNA(INDEX($AR401:$AX401,MATCH(BU401,$AR$2:$AX$2,0))*12/365*[11]核心假设及结论!$C$70*$H401,0)</f>
        <v>102867.91175910924</v>
      </c>
      <c r="BX401" s="1739">
        <f t="shared" si="185"/>
        <v>2031</v>
      </c>
      <c r="BY401" s="1742">
        <f>_xlfn.IFNA(INDEX($AR401:$AX401,MATCH(BX401,$AR$2:$AX$2,0))*12/365*[11]核心假设及结论!$C$70*$H401,0)</f>
        <v>108513.50952895085</v>
      </c>
      <c r="CA401" s="1739">
        <f t="shared" si="186"/>
        <v>2033</v>
      </c>
      <c r="CB401" s="1742">
        <f>_xlfn.IFNA(INDEX($AR401:$AX401,MATCH(CA401,$AR$2:$AX$2,0))*12/365*[11]核心假设及结论!$C$70*$H401,0)</f>
        <v>0</v>
      </c>
    </row>
    <row r="402" spans="1:80" ht="30" customHeight="1">
      <c r="A402" s="1763" t="s">
        <v>1662</v>
      </c>
      <c r="B402" s="1757" t="s">
        <v>2500</v>
      </c>
      <c r="C402" s="1764" t="s">
        <v>2501</v>
      </c>
      <c r="D402" s="1764" t="s">
        <v>1698</v>
      </c>
      <c r="E402" s="1764" t="s">
        <v>1698</v>
      </c>
      <c r="F402" s="1765"/>
      <c r="G402" s="1760" t="s">
        <v>1661</v>
      </c>
      <c r="H402" s="1761">
        <v>59</v>
      </c>
      <c r="I402" s="1763" t="s">
        <v>2356</v>
      </c>
      <c r="J402" s="1773">
        <v>44986</v>
      </c>
      <c r="K402" s="1773">
        <v>46812</v>
      </c>
      <c r="L402" s="1764">
        <f t="shared" si="168"/>
        <v>60</v>
      </c>
      <c r="M402" s="1774">
        <f t="shared" si="179"/>
        <v>53322.43</v>
      </c>
      <c r="N402" s="1775">
        <f t="shared" si="180"/>
        <v>790.77</v>
      </c>
      <c r="O402" s="1777">
        <v>46655.43</v>
      </c>
      <c r="P402" s="1763">
        <v>0.08</v>
      </c>
      <c r="Q402" s="1783">
        <f t="shared" si="169"/>
        <v>95</v>
      </c>
      <c r="R402" s="1763">
        <v>5605</v>
      </c>
      <c r="S402" s="1777">
        <f t="shared" si="170"/>
        <v>18</v>
      </c>
      <c r="T402" s="1763">
        <v>1062</v>
      </c>
      <c r="U402" s="1763"/>
      <c r="V402" s="1785">
        <v>955007.40083333303</v>
      </c>
      <c r="W402" s="1785">
        <f t="shared" si="171"/>
        <v>16186.566115819203</v>
      </c>
      <c r="X402" s="1786">
        <f t="shared" si="189"/>
        <v>5.4722539274981427E-2</v>
      </c>
      <c r="Y402" s="1789">
        <f>VLOOKUP(E402,[11]核心假设及结论!$C$25:$E$45,3,0)</f>
        <v>0.2</v>
      </c>
      <c r="Z402" s="1790">
        <f t="shared" si="163"/>
        <v>46655.43</v>
      </c>
      <c r="AA402" s="1790">
        <f t="shared" si="163"/>
        <v>48445.49</v>
      </c>
      <c r="AB402" s="1790">
        <f t="shared" si="163"/>
        <v>50254.43</v>
      </c>
      <c r="AC402" s="1790">
        <f t="shared" si="161"/>
        <v>52044.49</v>
      </c>
      <c r="AD402" s="1790">
        <f t="shared" si="161"/>
        <v>0</v>
      </c>
      <c r="AE402" s="1790">
        <f t="shared" si="161"/>
        <v>0</v>
      </c>
      <c r="AF402" s="1790">
        <f t="shared" si="161"/>
        <v>0</v>
      </c>
      <c r="AG402" s="1794">
        <v>790.77</v>
      </c>
      <c r="AH402" s="1794">
        <v>821.11</v>
      </c>
      <c r="AI402" s="1794">
        <v>851.77</v>
      </c>
      <c r="AJ402" s="1794">
        <v>882.11</v>
      </c>
      <c r="AK402" s="1794">
        <v>0</v>
      </c>
      <c r="AL402" s="1794">
        <v>0</v>
      </c>
      <c r="AM402" s="1794">
        <v>0</v>
      </c>
      <c r="AN402" s="1764"/>
      <c r="AO402" s="1764"/>
      <c r="AP402" s="1808">
        <f t="shared" si="181"/>
        <v>0.27361269637490709</v>
      </c>
      <c r="AQ402" s="1812">
        <f>IF(AP402&gt;[11]核心假设及结论!$B$62,[11]核心假设及结论!$D$62,IF(AP402&lt;=[11]核心假设及结论!$B$61,[11]核心假设及结论!$D$60,[11]核心假设及结论!$D$61))</f>
        <v>1.0811176582269599</v>
      </c>
      <c r="AR402" s="1809">
        <f t="shared" si="182"/>
        <v>790.77</v>
      </c>
      <c r="AS402" s="1809">
        <f>AH402*(AS$2&lt;=YEAR($K402))+AR402*$AQ402*(AS$2=YEAR($K402)+1)+INDEX([11]核心假设及结论!$E$17:$E$21,MATCH($D402,[11]核心假设及结论!$B$17:$B$21,0))*(AS$2&gt;YEAR($K402)+1)*AR402</f>
        <v>821.11</v>
      </c>
      <c r="AT402" s="1809">
        <f>AI402*(AT$2&lt;=YEAR($K402))+AS402*$AQ402*(AT$2=YEAR($K402)+1)+INDEX([11]核心假设及结论!$E$17:$E$21,MATCH($D402,[11]核心假设及结论!$B$17:$B$21,0))*(AT$2&gt;YEAR($K402)+1)*AS402</f>
        <v>851.77</v>
      </c>
      <c r="AU402" s="1809">
        <f>AJ402*(AU$2&lt;=YEAR($K402))+AT402*$AQ402*(AU$2=YEAR($K402)+1)+INDEX([11]核心假设及结论!$E$17:$E$21,MATCH($D402,[11]核心假设及结论!$B$17:$B$21,0))*(AU$2&gt;YEAR($K402)+1)*AT402</f>
        <v>882.11</v>
      </c>
      <c r="AV402" s="1811">
        <f>AK402*(AV$2&lt;=YEAR($K402))+AU402*$AQ402*(AV$2=YEAR($K402)+1)+INDEX([11]核心假设及结论!$E$17:$E$21,MATCH($D402,[11]核心假设及结论!$B$17:$B$21,0))*(AV$2&gt;YEAR($K402)+1)*AU402</f>
        <v>953.66469749858368</v>
      </c>
      <c r="AW402" s="1809">
        <f>AL402*(AW$2&lt;=YEAR($K402))+AV402*$AQ402*(AW$2=YEAR($K402)+1)+INDEX([11]核心假设及结论!$E$17:$E$21,MATCH($D402,[11]核心假设及结论!$B$17:$B$21,0))*(AW$2&gt;YEAR($K402)+1)*AV402</f>
        <v>982.86343612334861</v>
      </c>
      <c r="AX402" s="1809">
        <f>AM402*(AX$2&lt;=YEAR($K402))+AW402*$AQ402*(AX$2=YEAR($K402)+1)+INDEX([11]核心假设及结论!$E$17:$E$21,MATCH($D402,[11]核心假设及结论!$B$17:$B$21,0))*(AX$2&gt;YEAR($K402)+1)*AW402</f>
        <v>1012.956164364709</v>
      </c>
      <c r="AZ402" s="1746">
        <f t="shared" si="172"/>
        <v>46812</v>
      </c>
      <c r="BA402" s="1817">
        <f t="shared" si="173"/>
        <v>45658</v>
      </c>
      <c r="BB402" s="1817">
        <f t="shared" si="174"/>
        <v>45717</v>
      </c>
      <c r="BC402" s="1841">
        <f t="shared" si="175"/>
        <v>46022</v>
      </c>
      <c r="BD402" s="1842">
        <f t="shared" si="176"/>
        <v>60</v>
      </c>
      <c r="BE402" s="1842">
        <f t="shared" si="177"/>
        <v>305</v>
      </c>
      <c r="BG402" s="1843">
        <f t="shared" si="164"/>
        <v>57.781480273972605</v>
      </c>
      <c r="BH402" s="1843">
        <f t="shared" si="188"/>
        <v>59.948483999999993</v>
      </c>
      <c r="BI402" s="1843">
        <f t="shared" si="188"/>
        <v>62.100280273972594</v>
      </c>
      <c r="BJ402" s="1843">
        <f t="shared" si="188"/>
        <v>66.686681528176479</v>
      </c>
      <c r="BK402" s="1843">
        <f t="shared" si="187"/>
        <v>69.246905957867327</v>
      </c>
      <c r="BL402" s="1843">
        <f t="shared" si="187"/>
        <v>71.367066547790444</v>
      </c>
      <c r="BM402" s="1843">
        <f t="shared" si="187"/>
        <v>11.789144619784338</v>
      </c>
      <c r="BO402" s="1739">
        <f t="shared" si="178"/>
        <v>2028</v>
      </c>
      <c r="BP402" s="1742">
        <f>_xlfn.IFNA(INDEX($AR402:$AX402,MATCH(BO402,$AR$2:$AX$2,0))*12/365*[11]核心假设及结论!$C$70*$H402,0)</f>
        <v>51331.551780821916</v>
      </c>
      <c r="BR402" s="1739">
        <f t="shared" si="183"/>
        <v>2033</v>
      </c>
      <c r="BS402" s="1742">
        <f>_xlfn.IFNA(INDEX($AR402:$AX402,MATCH(BR402,$AR$2:$AX$2,0))*12/365*[11]核心假设及结论!$C$70*$H402,0)</f>
        <v>0</v>
      </c>
      <c r="BU402" s="1739">
        <f t="shared" si="184"/>
        <v>2038</v>
      </c>
      <c r="BV402" s="1742">
        <f>_xlfn.IFNA(INDEX($AR402:$AX402,MATCH(BU402,$AR$2:$AX$2,0))*12/365*[11]核心假设及结论!$C$70*$H402,0)</f>
        <v>0</v>
      </c>
      <c r="BX402" s="1739">
        <f t="shared" si="185"/>
        <v>2043</v>
      </c>
      <c r="BY402" s="1742">
        <f>_xlfn.IFNA(INDEX($AR402:$AX402,MATCH(BX402,$AR$2:$AX$2,0))*12/365*[11]核心假设及结论!$C$70*$H402,0)</f>
        <v>0</v>
      </c>
      <c r="CA402" s="1739">
        <f t="shared" si="186"/>
        <v>2048</v>
      </c>
      <c r="CB402" s="1742">
        <f>_xlfn.IFNA(INDEX($AR402:$AX402,MATCH(CA402,$AR$2:$AX$2,0))*12/365*[11]核心假设及结论!$C$70*$H402,0)</f>
        <v>0</v>
      </c>
    </row>
    <row r="403" spans="1:80" ht="30" customHeight="1">
      <c r="A403" s="1763" t="s">
        <v>1666</v>
      </c>
      <c r="B403" s="1757" t="s">
        <v>2502</v>
      </c>
      <c r="C403" s="1764" t="s">
        <v>2503</v>
      </c>
      <c r="D403" s="1764" t="s">
        <v>1698</v>
      </c>
      <c r="E403" s="1764" t="s">
        <v>1698</v>
      </c>
      <c r="F403" s="1765"/>
      <c r="G403" s="1760" t="s">
        <v>1661</v>
      </c>
      <c r="H403" s="1761">
        <v>58</v>
      </c>
      <c r="I403" s="1763" t="s">
        <v>2356</v>
      </c>
      <c r="J403" s="1773">
        <v>45052</v>
      </c>
      <c r="K403" s="1773">
        <v>45782</v>
      </c>
      <c r="L403" s="1764">
        <f t="shared" si="168"/>
        <v>24</v>
      </c>
      <c r="M403" s="1774">
        <f t="shared" si="179"/>
        <v>58596</v>
      </c>
      <c r="N403" s="1775">
        <f t="shared" si="180"/>
        <v>897.27586206896547</v>
      </c>
      <c r="O403" s="1777">
        <v>52042</v>
      </c>
      <c r="P403" s="1763">
        <v>0.14000000000000001</v>
      </c>
      <c r="Q403" s="1783">
        <f t="shared" si="169"/>
        <v>95</v>
      </c>
      <c r="R403" s="1763">
        <v>5510</v>
      </c>
      <c r="S403" s="1777">
        <f t="shared" si="170"/>
        <v>18</v>
      </c>
      <c r="T403" s="1763">
        <v>1044</v>
      </c>
      <c r="U403" s="1763"/>
      <c r="V403" s="1785">
        <v>164046.45749999999</v>
      </c>
      <c r="W403" s="1785">
        <f t="shared" si="171"/>
        <v>2828.3871982758619</v>
      </c>
      <c r="X403" s="1786">
        <f t="shared" si="189"/>
        <v>0.3508274477673497</v>
      </c>
      <c r="Y403" s="1789">
        <f>VLOOKUP(E403,[11]核心假设及结论!$C$25:$E$45,3,0)</f>
        <v>0.2</v>
      </c>
      <c r="Z403" s="1790">
        <f t="shared" si="163"/>
        <v>52922.100000000006</v>
      </c>
      <c r="AA403" s="1790">
        <f t="shared" si="163"/>
        <v>0</v>
      </c>
      <c r="AB403" s="1790">
        <f t="shared" si="163"/>
        <v>0</v>
      </c>
      <c r="AC403" s="1790">
        <f t="shared" si="163"/>
        <v>0</v>
      </c>
      <c r="AD403" s="1790">
        <f t="shared" si="163"/>
        <v>0</v>
      </c>
      <c r="AE403" s="1790">
        <f t="shared" si="163"/>
        <v>0</v>
      </c>
      <c r="AF403" s="1790">
        <f t="shared" si="163"/>
        <v>0</v>
      </c>
      <c r="AG403" s="1794">
        <v>912.45</v>
      </c>
      <c r="AH403" s="1794">
        <v>0</v>
      </c>
      <c r="AI403" s="1794">
        <v>0</v>
      </c>
      <c r="AJ403" s="1794">
        <v>0</v>
      </c>
      <c r="AK403" s="1794">
        <v>0</v>
      </c>
      <c r="AL403" s="1794">
        <v>0</v>
      </c>
      <c r="AM403" s="1794">
        <v>0</v>
      </c>
      <c r="AN403" s="1764"/>
      <c r="AO403" s="1764"/>
      <c r="AP403" s="1808">
        <f t="shared" si="181"/>
        <v>1.7541372388367484</v>
      </c>
      <c r="AQ403" s="1812">
        <f>IF(AP403&gt;[11]核心假设及结论!$B$62,[11]核心假设及结论!$D$62,IF(AP403&lt;=[11]核心假设及结论!$B$61,[11]核心假设及结论!$D$60,[11]核心假设及结论!$D$61))</f>
        <v>1</v>
      </c>
      <c r="AR403" s="1809">
        <f t="shared" si="182"/>
        <v>912.45</v>
      </c>
      <c r="AS403" s="1811">
        <f>AH403*(AS$2&lt;=YEAR($K403))+AR403*$AQ403*(AS$2=YEAR($K403)+1)+INDEX([11]核心假设及结论!$E$17:$E$21,MATCH($D403,[11]核心假设及结论!$B$17:$B$21,0))*(AS$2&gt;YEAR($K403)+1)*AR403</f>
        <v>912.45</v>
      </c>
      <c r="AT403" s="1809">
        <f>AI403*(AT$2&lt;=YEAR($K403))+AS403*$AQ403*(AT$2=YEAR($K403)+1)+INDEX([11]核心假设及结论!$E$17:$E$21,MATCH($D403,[11]核心假设及结论!$B$17:$B$21,0))*(AT$2&gt;YEAR($K403)+1)*AS403</f>
        <v>940.38685152449125</v>
      </c>
      <c r="AU403" s="1809">
        <f>AJ403*(AU$2&lt;=YEAR($K403))+AT403*$AQ403*(AU$2=YEAR($K403)+1)+INDEX([11]核心假设及结论!$E$17:$E$21,MATCH($D403,[11]核心假设及结论!$B$17:$B$21,0))*(AU$2&gt;YEAR($K403)+1)*AT403</f>
        <v>969.17905695670504</v>
      </c>
      <c r="AV403" s="1809">
        <f>AK403*(AV$2&lt;=YEAR($K403))+AU403*$AQ403*(AV$2=YEAR($K403)+1)+INDEX([11]核心假设及结论!$E$17:$E$21,MATCH($D403,[11]核心假设及结论!$B$17:$B$21,0))*(AV$2&gt;YEAR($K403)+1)*AU403</f>
        <v>998.85280501396392</v>
      </c>
      <c r="AW403" s="1809">
        <f>AL403*(AW$2&lt;=YEAR($K403))+AV403*$AQ403*(AW$2=YEAR($K403)+1)+INDEX([11]核心假设及结论!$E$17:$E$21,MATCH($D403,[11]核心假设及结论!$B$17:$B$21,0))*(AW$2&gt;YEAR($K403)+1)*AV403</f>
        <v>1029.4350862441647</v>
      </c>
      <c r="AX403" s="1809">
        <f>AM403*(AX$2&lt;=YEAR($K403))+AW403*$AQ403*(AX$2=YEAR($K403)+1)+INDEX([11]核心假设及结论!$E$17:$E$21,MATCH($D403,[11]核心假设及结论!$B$17:$B$21,0))*(AX$2&gt;YEAR($K403)+1)*AW403</f>
        <v>1060.95371757575</v>
      </c>
      <c r="AZ403" s="1746">
        <f t="shared" si="172"/>
        <v>45782</v>
      </c>
      <c r="BA403" s="1817">
        <f t="shared" si="173"/>
        <v>45658</v>
      </c>
      <c r="BB403" s="1817">
        <f t="shared" si="174"/>
        <v>45782</v>
      </c>
      <c r="BC403" s="1841">
        <f t="shared" si="175"/>
        <v>46022</v>
      </c>
      <c r="BD403" s="1842">
        <f t="shared" si="176"/>
        <v>125</v>
      </c>
      <c r="BE403" s="1842">
        <f t="shared" si="177"/>
        <v>240</v>
      </c>
      <c r="BG403" s="1843">
        <f t="shared" si="164"/>
        <v>63.506519999999995</v>
      </c>
      <c r="BH403" s="1843">
        <f t="shared" si="188"/>
        <v>64.785032788671515</v>
      </c>
      <c r="BI403" s="1843">
        <f t="shared" si="188"/>
        <v>66.768582399090064</v>
      </c>
      <c r="BJ403" s="1843">
        <f t="shared" si="188"/>
        <v>68.812863151990641</v>
      </c>
      <c r="BK403" s="1843">
        <f t="shared" si="187"/>
        <v>70.919734477380842</v>
      </c>
      <c r="BL403" s="1843">
        <f t="shared" si="187"/>
        <v>73.091112736190581</v>
      </c>
      <c r="BM403" s="1843">
        <f t="shared" si="187"/>
        <v>25.288485870983632</v>
      </c>
      <c r="BO403" s="1739">
        <f t="shared" si="178"/>
        <v>2025</v>
      </c>
      <c r="BP403" s="1742">
        <f>_xlfn.IFNA(INDEX($AR403:$AX403,MATCH(BO403,$AR$2:$AX$2,0))*12/365*[11]核心假设及结论!$C$70*$H403,0)</f>
        <v>52197.139726027403</v>
      </c>
      <c r="BR403" s="1739">
        <f t="shared" si="183"/>
        <v>2027</v>
      </c>
      <c r="BS403" s="1742">
        <f>_xlfn.IFNA(INDEX($AR403:$AX403,MATCH(BR403,$AR$2:$AX$2,0))*12/365*[11]核心假设及结论!$C$70*$H403,0)</f>
        <v>53795.280711866792</v>
      </c>
      <c r="BU403" s="1739">
        <f t="shared" si="184"/>
        <v>2029</v>
      </c>
      <c r="BV403" s="1742">
        <f>_xlfn.IFNA(INDEX($AR403:$AX403,MATCH(BU403,$AR$2:$AX$2,0))*12/365*[11]核心假设及结论!$C$70*$H403,0)</f>
        <v>57139.853612853607</v>
      </c>
      <c r="BX403" s="1739">
        <f t="shared" si="185"/>
        <v>2031</v>
      </c>
      <c r="BY403" s="1742">
        <f>_xlfn.IFNA(INDEX($AR403:$AX403,MATCH(BX403,$AR$2:$AX$2,0))*12/365*[11]核心假设及结论!$C$70*$H403,0)</f>
        <v>60692.366090360716</v>
      </c>
      <c r="CA403" s="1739">
        <f t="shared" si="186"/>
        <v>2033</v>
      </c>
      <c r="CB403" s="1742">
        <f>_xlfn.IFNA(INDEX($AR403:$AX403,MATCH(CA403,$AR$2:$AX$2,0))*12/365*[11]核心假设及结论!$C$70*$H403,0)</f>
        <v>0</v>
      </c>
    </row>
    <row r="404" spans="1:80" ht="30" customHeight="1">
      <c r="A404" s="1763" t="s">
        <v>1687</v>
      </c>
      <c r="B404" s="1757" t="s">
        <v>2504</v>
      </c>
      <c r="C404" s="1764" t="s">
        <v>2505</v>
      </c>
      <c r="D404" s="1764" t="s">
        <v>1676</v>
      </c>
      <c r="E404" s="1764" t="s">
        <v>1677</v>
      </c>
      <c r="F404" s="1765"/>
      <c r="G404" s="1760" t="s">
        <v>1661</v>
      </c>
      <c r="H404" s="1761">
        <v>57</v>
      </c>
      <c r="I404" s="1763" t="s">
        <v>2356</v>
      </c>
      <c r="J404" s="1773">
        <v>45419</v>
      </c>
      <c r="K404" s="1773">
        <v>46513</v>
      </c>
      <c r="L404" s="1764">
        <f t="shared" si="168"/>
        <v>36</v>
      </c>
      <c r="M404" s="1774">
        <f t="shared" si="179"/>
        <v>20025.809999999998</v>
      </c>
      <c r="N404" s="1775">
        <f t="shared" si="180"/>
        <v>243.32999999999998</v>
      </c>
      <c r="O404" s="1777">
        <v>13869.81</v>
      </c>
      <c r="P404" s="1763">
        <v>0.13</v>
      </c>
      <c r="Q404" s="1783">
        <f t="shared" si="169"/>
        <v>90</v>
      </c>
      <c r="R404" s="1763">
        <v>5130</v>
      </c>
      <c r="S404" s="1777">
        <f t="shared" si="170"/>
        <v>18</v>
      </c>
      <c r="T404" s="1763">
        <v>1026</v>
      </c>
      <c r="U404" s="1763"/>
      <c r="V404" s="1785">
        <v>51108</v>
      </c>
      <c r="W404" s="1785">
        <f t="shared" si="171"/>
        <v>896.63157894736844</v>
      </c>
      <c r="X404" s="1786">
        <f t="shared" si="189"/>
        <v>0.37175804179384825</v>
      </c>
      <c r="Y404" s="1789">
        <f>VLOOKUP(E404,[11]核心假设及结论!$C$25:$E$45,3,0)</f>
        <v>0.25</v>
      </c>
      <c r="Z404" s="1790">
        <f t="shared" ref="Z404:AF440" si="190">AG404*$H404</f>
        <v>13869.810000000001</v>
      </c>
      <c r="AA404" s="1790">
        <f t="shared" si="190"/>
        <v>14285.91</v>
      </c>
      <c r="AB404" s="1790">
        <f t="shared" si="190"/>
        <v>14702.01</v>
      </c>
      <c r="AC404" s="1790">
        <f t="shared" si="190"/>
        <v>0</v>
      </c>
      <c r="AD404" s="1790">
        <f t="shared" si="190"/>
        <v>0</v>
      </c>
      <c r="AE404" s="1790">
        <f t="shared" si="190"/>
        <v>0</v>
      </c>
      <c r="AF404" s="1790">
        <f t="shared" si="190"/>
        <v>0</v>
      </c>
      <c r="AG404" s="1794">
        <v>243.33</v>
      </c>
      <c r="AH404" s="1794">
        <v>250.63</v>
      </c>
      <c r="AI404" s="1794">
        <v>257.93</v>
      </c>
      <c r="AJ404" s="1794">
        <v>0</v>
      </c>
      <c r="AK404" s="1794">
        <v>0</v>
      </c>
      <c r="AL404" s="1794">
        <v>0</v>
      </c>
      <c r="AM404" s="1794">
        <v>0</v>
      </c>
      <c r="AN404" s="1764"/>
      <c r="AO404" s="1764"/>
      <c r="AP404" s="1808">
        <f t="shared" si="181"/>
        <v>1.487032167175393</v>
      </c>
      <c r="AQ404" s="1808">
        <f>IF(AP404&gt;[11]核心假设及结论!$B$65,[11]核心假设及结论!$D$65,IF(AP404&lt;=[11]核心假设及结论!$B$64,[11]核心假设及结论!$D$63,[11]核心假设及结论!$D$64))</f>
        <v>0.754</v>
      </c>
      <c r="AR404" s="1809">
        <f t="shared" si="182"/>
        <v>243.33</v>
      </c>
      <c r="AS404" s="1809">
        <f>AH404*(AS$2&lt;=YEAR($K404))+AR404*$AQ404*(AS$2=YEAR($K404)+1)+INDEX([11]核心假设及结论!$E$17:$E$21,MATCH($D404,[11]核心假设及结论!$B$17:$B$21,0))*(AS$2&gt;YEAR($K404)+1)*AR404</f>
        <v>250.63</v>
      </c>
      <c r="AT404" s="1809">
        <f>AI404*(AT$2&lt;=YEAR($K404))+AS404*$AQ404*(AT$2=YEAR($K404)+1)+INDEX([11]核心假设及结论!$E$17:$E$21,MATCH($D404,[11]核心假设及结论!$B$17:$B$21,0))*(AT$2&gt;YEAR($K404)+1)*AS404</f>
        <v>257.93</v>
      </c>
      <c r="AU404" s="1811">
        <f>AJ404*(AU$2&lt;=YEAR($K404))+AT404*$AQ404*(AU$2=YEAR($K404)+1)+INDEX([11]核心假设及结论!$E$17:$E$21,MATCH($D404,[11]核心假设及结论!$B$17:$B$21,0))*(AU$2&gt;YEAR($K404)+1)*AT404</f>
        <v>194.47922</v>
      </c>
      <c r="AV404" s="1809">
        <f>AK404*(AV$2&lt;=YEAR($K404))+AU404*$AQ404*(AV$2=YEAR($K404)+1)+INDEX([11]核心假设及结论!$E$17:$E$21,MATCH($D404,[11]核心假设及结论!$B$17:$B$21,0))*(AV$2&gt;YEAR($K404)+1)*AU404</f>
        <v>201.20335604794553</v>
      </c>
      <c r="AW404" s="1809">
        <f>AL404*(AW$2&lt;=YEAR($K404))+AV404*$AQ404*(AW$2=YEAR($K404)+1)+INDEX([11]核心假设及结论!$E$17:$E$21,MATCH($D404,[11]核心假设及结论!$B$17:$B$21,0))*(AW$2&gt;YEAR($K404)+1)*AV404</f>
        <v>208.15997968809387</v>
      </c>
      <c r="AX404" s="1809">
        <f>AM404*(AX$2&lt;=YEAR($K404))+AW404*$AQ404*(AX$2=YEAR($K404)+1)+INDEX([11]核心假设及结论!$E$17:$E$21,MATCH($D404,[11]核心假设及结论!$B$17:$B$21,0))*(AX$2&gt;YEAR($K404)+1)*AW404</f>
        <v>215.35712919928753</v>
      </c>
      <c r="AZ404" s="1746">
        <f t="shared" si="172"/>
        <v>46513</v>
      </c>
      <c r="BA404" s="1817">
        <f t="shared" si="173"/>
        <v>45658</v>
      </c>
      <c r="BB404" s="1817">
        <f t="shared" si="174"/>
        <v>45783</v>
      </c>
      <c r="BC404" s="1841">
        <f t="shared" si="175"/>
        <v>46022</v>
      </c>
      <c r="BD404" s="1842">
        <f t="shared" si="176"/>
        <v>126</v>
      </c>
      <c r="BE404" s="1842">
        <f t="shared" si="177"/>
        <v>239</v>
      </c>
      <c r="BG404" s="1843">
        <f t="shared" si="164"/>
        <v>16.970724000000001</v>
      </c>
      <c r="BH404" s="1843">
        <f t="shared" si="188"/>
        <v>17.470044000000001</v>
      </c>
      <c r="BI404" s="1843">
        <f t="shared" si="188"/>
        <v>14.80058194211507</v>
      </c>
      <c r="BJ404" s="1843">
        <f t="shared" si="188"/>
        <v>13.603538884869574</v>
      </c>
      <c r="BK404" s="1843">
        <f t="shared" si="187"/>
        <v>14.073882432089579</v>
      </c>
      <c r="BL404" s="1843">
        <f t="shared" si="187"/>
        <v>14.560488148608606</v>
      </c>
      <c r="BM404" s="1843">
        <f t="shared" si="187"/>
        <v>5.0850243350442188</v>
      </c>
      <c r="BO404" s="1739">
        <f t="shared" si="178"/>
        <v>2027</v>
      </c>
      <c r="BP404" s="1742">
        <f>_xlfn.IFNA(INDEX($AR404:$AX404,MATCH(BO404,$AR$2:$AX$2,0))*12/365*[11]核心假设及结论!$C$70*$H404,0)</f>
        <v>14500.612602739726</v>
      </c>
      <c r="BR404" s="1739">
        <f t="shared" si="183"/>
        <v>2030</v>
      </c>
      <c r="BS404" s="1742">
        <f>_xlfn.IFNA(INDEX($AR404:$AX404,MATCH(BR404,$AR$2:$AX$2,0))*12/365*[11]核心假设及结论!$C$70*$H404,0)</f>
        <v>11702.582967670372</v>
      </c>
      <c r="BU404" s="1739">
        <f t="shared" si="184"/>
        <v>2033</v>
      </c>
      <c r="BV404" s="1742">
        <f>_xlfn.IFNA(INDEX($AR404:$AX404,MATCH(BU404,$AR$2:$AX$2,0))*12/365*[11]核心假设及结论!$C$70*$H404,0)</f>
        <v>0</v>
      </c>
      <c r="BX404" s="1739">
        <f t="shared" si="185"/>
        <v>2036</v>
      </c>
      <c r="BY404" s="1742">
        <f>_xlfn.IFNA(INDEX($AR404:$AX404,MATCH(BX404,$AR$2:$AX$2,0))*12/365*[11]核心假设及结论!$C$70*$H404,0)</f>
        <v>0</v>
      </c>
      <c r="CA404" s="1739">
        <f t="shared" si="186"/>
        <v>2039</v>
      </c>
      <c r="CB404" s="1742">
        <f>_xlfn.IFNA(INDEX($AR404:$AX404,MATCH(CA404,$AR$2:$AX$2,0))*12/365*[11]核心假设及结论!$C$70*$H404,0)</f>
        <v>0</v>
      </c>
    </row>
    <row r="405" spans="1:80" ht="30" customHeight="1">
      <c r="A405" s="1763" t="s">
        <v>1687</v>
      </c>
      <c r="B405" s="1757" t="s">
        <v>2506</v>
      </c>
      <c r="C405" s="1764" t="s">
        <v>2507</v>
      </c>
      <c r="D405" s="1764" t="s">
        <v>1698</v>
      </c>
      <c r="E405" s="1764" t="s">
        <v>1698</v>
      </c>
      <c r="F405" s="1765"/>
      <c r="G405" s="1760" t="s">
        <v>1661</v>
      </c>
      <c r="H405" s="1761">
        <v>55</v>
      </c>
      <c r="I405" s="1763" t="s">
        <v>2356</v>
      </c>
      <c r="J405" s="1773">
        <v>45017</v>
      </c>
      <c r="K405" s="1773">
        <v>46112</v>
      </c>
      <c r="L405" s="1764">
        <f t="shared" si="168"/>
        <v>36</v>
      </c>
      <c r="M405" s="1774">
        <f t="shared" si="179"/>
        <v>58069</v>
      </c>
      <c r="N405" s="1775">
        <f t="shared" si="180"/>
        <v>942.8</v>
      </c>
      <c r="O405" s="1777">
        <v>51854</v>
      </c>
      <c r="P405" s="1763">
        <v>0.12</v>
      </c>
      <c r="Q405" s="1783">
        <f t="shared" si="169"/>
        <v>95</v>
      </c>
      <c r="R405" s="1763">
        <v>5225</v>
      </c>
      <c r="S405" s="1777">
        <f t="shared" si="170"/>
        <v>18</v>
      </c>
      <c r="T405" s="1763">
        <v>990</v>
      </c>
      <c r="U405" s="1763"/>
      <c r="V405" s="1785">
        <v>238794.40833333301</v>
      </c>
      <c r="W405" s="1785">
        <f t="shared" si="171"/>
        <v>4341.7165151515092</v>
      </c>
      <c r="X405" s="1786">
        <f t="shared" si="189"/>
        <v>0.23902988515678913</v>
      </c>
      <c r="Y405" s="1789">
        <f>VLOOKUP(E405,[11]核心假设及结论!$C$25:$E$45,3,0)</f>
        <v>0.2</v>
      </c>
      <c r="Z405" s="1790">
        <f t="shared" si="190"/>
        <v>51854</v>
      </c>
      <c r="AA405" s="1790">
        <f t="shared" si="190"/>
        <v>53540.3</v>
      </c>
      <c r="AB405" s="1790">
        <f t="shared" si="190"/>
        <v>0</v>
      </c>
      <c r="AC405" s="1790">
        <f t="shared" si="190"/>
        <v>0</v>
      </c>
      <c r="AD405" s="1790">
        <f t="shared" si="190"/>
        <v>0</v>
      </c>
      <c r="AE405" s="1790">
        <f t="shared" si="190"/>
        <v>0</v>
      </c>
      <c r="AF405" s="1790">
        <f t="shared" si="190"/>
        <v>0</v>
      </c>
      <c r="AG405" s="1794">
        <v>942.8</v>
      </c>
      <c r="AH405" s="1794">
        <v>973.46</v>
      </c>
      <c r="AI405" s="1794">
        <v>0</v>
      </c>
      <c r="AJ405" s="1794">
        <v>0</v>
      </c>
      <c r="AK405" s="1794">
        <v>0</v>
      </c>
      <c r="AL405" s="1794">
        <v>0</v>
      </c>
      <c r="AM405" s="1794">
        <v>0</v>
      </c>
      <c r="AN405" s="1764"/>
      <c r="AO405" s="1764"/>
      <c r="AP405" s="1808">
        <f t="shared" si="181"/>
        <v>1.1951494257839457</v>
      </c>
      <c r="AQ405" s="1812">
        <f>IF(AP405&gt;[11]核心假设及结论!$B$62,[11]核心假设及结论!$D$62,IF(AP405&lt;=[11]核心假设及结论!$B$61,[11]核心假设及结论!$D$60,[11]核心假设及结论!$D$61))</f>
        <v>1.0489999999999999</v>
      </c>
      <c r="AR405" s="1809">
        <f t="shared" si="182"/>
        <v>942.8</v>
      </c>
      <c r="AS405" s="1809">
        <f>AH405*(AS$2&lt;=YEAR($K405))+AR405*$AQ405*(AS$2=YEAR($K405)+1)+INDEX([11]核心假设及结论!$E$17:$E$21,MATCH($D405,[11]核心假设及结论!$B$17:$B$21,0))*(AS$2&gt;YEAR($K405)+1)*AR405</f>
        <v>973.46</v>
      </c>
      <c r="AT405" s="1811">
        <f>AI405*(AT$2&lt;=YEAR($K405))+AS405*$AQ405*(AT$2=YEAR($K405)+1)+INDEX([11]核心假设及结论!$E$17:$E$21,MATCH($D405,[11]核心假设及结论!$B$17:$B$21,0))*(AT$2&gt;YEAR($K405)+1)*AS405</f>
        <v>1021.15954</v>
      </c>
      <c r="AU405" s="1809">
        <f>AJ405*(AU$2&lt;=YEAR($K405))+AT405*$AQ405*(AU$2=YEAR($K405)+1)+INDEX([11]核心假设及结论!$E$17:$E$21,MATCH($D405,[11]核心假设及结论!$B$17:$B$21,0))*(AU$2&gt;YEAR($K405)+1)*AT405</f>
        <v>1052.4247955776182</v>
      </c>
      <c r="AV405" s="1809">
        <f>AK405*(AV$2&lt;=YEAR($K405))+AU405*$AQ405*(AV$2=YEAR($K405)+1)+INDEX([11]核心假设及结论!$E$17:$E$21,MATCH($D405,[11]核心假设及结论!$B$17:$B$21,0))*(AV$2&gt;YEAR($K405)+1)*AU405</f>
        <v>1084.6473121590691</v>
      </c>
      <c r="AW405" s="1809">
        <f>AL405*(AW$2&lt;=YEAR($K405))+AV405*$AQ405*(AW$2=YEAR($K405)+1)+INDEX([11]核心假设及结论!$E$17:$E$21,MATCH($D405,[11]核心假设及结论!$B$17:$B$21,0))*(AW$2&gt;YEAR($K405)+1)*AV405</f>
        <v>1117.8563985925464</v>
      </c>
      <c r="AX405" s="1809">
        <f>AM405*(AX$2&lt;=YEAR($K405))+AW405*$AQ405*(AX$2=YEAR($K405)+1)+INDEX([11]核心假设及结论!$E$17:$E$21,MATCH($D405,[11]核心假设及结论!$B$17:$B$21,0))*(AX$2&gt;YEAR($K405)+1)*AW405</f>
        <v>1152.0822610871296</v>
      </c>
      <c r="AZ405" s="1746">
        <f t="shared" si="172"/>
        <v>46112</v>
      </c>
      <c r="BA405" s="1817">
        <f t="shared" si="173"/>
        <v>45658</v>
      </c>
      <c r="BB405" s="1817">
        <f t="shared" si="174"/>
        <v>45747</v>
      </c>
      <c r="BC405" s="1841">
        <f t="shared" si="175"/>
        <v>46022</v>
      </c>
      <c r="BD405" s="1842">
        <f t="shared" si="176"/>
        <v>90</v>
      </c>
      <c r="BE405" s="1842">
        <f t="shared" si="177"/>
        <v>275</v>
      </c>
      <c r="BG405" s="1843">
        <f t="shared" si="164"/>
        <v>63.749400000000001</v>
      </c>
      <c r="BH405" s="1843">
        <f t="shared" si="188"/>
        <v>66.620268632876716</v>
      </c>
      <c r="BI405" s="1843">
        <f t="shared" si="188"/>
        <v>68.951226595434989</v>
      </c>
      <c r="BJ405" s="1843">
        <f t="shared" si="188"/>
        <v>71.062334250460708</v>
      </c>
      <c r="BK405" s="1843">
        <f t="shared" si="187"/>
        <v>73.238078544327635</v>
      </c>
      <c r="BL405" s="1843">
        <f t="shared" si="187"/>
        <v>75.480438483208573</v>
      </c>
      <c r="BM405" s="1843">
        <f t="shared" si="187"/>
        <v>18.748955153034384</v>
      </c>
      <c r="BO405" s="1739">
        <f t="shared" si="178"/>
        <v>2026</v>
      </c>
      <c r="BP405" s="1742">
        <f>_xlfn.IFNA(INDEX($AR405:$AX405,MATCH(BO405,$AR$2:$AX$2,0))*12/365*[11]核心假设及结论!$C$70*$H405,0)</f>
        <v>52806.871232876714</v>
      </c>
      <c r="BR405" s="1739">
        <f t="shared" si="183"/>
        <v>2029</v>
      </c>
      <c r="BS405" s="1742">
        <f>_xlfn.IFNA(INDEX($AR405:$AX405,MATCH(BR405,$AR$2:$AX$2,0))*12/365*[11]核心假设及结论!$C$70*$H405,0)</f>
        <v>58838.402139039914</v>
      </c>
      <c r="BU405" s="1739">
        <f t="shared" si="184"/>
        <v>2032</v>
      </c>
      <c r="BV405" s="1742">
        <f>_xlfn.IFNA(INDEX($AR405:$AX405,MATCH(BU405,$AR$2:$AX$2,0))*12/365*[11]核心假设及结论!$C$70*$H405,0)</f>
        <v>0</v>
      </c>
      <c r="BX405" s="1739">
        <f t="shared" si="185"/>
        <v>2035</v>
      </c>
      <c r="BY405" s="1742">
        <f>_xlfn.IFNA(INDEX($AR405:$AX405,MATCH(BX405,$AR$2:$AX$2,0))*12/365*[11]核心假设及结论!$C$70*$H405,0)</f>
        <v>0</v>
      </c>
      <c r="CA405" s="1739">
        <f t="shared" si="186"/>
        <v>2038</v>
      </c>
      <c r="CB405" s="1742">
        <f>_xlfn.IFNA(INDEX($AR405:$AX405,MATCH(CA405,$AR$2:$AX$2,0))*12/365*[11]核心假设及结论!$C$70*$H405,0)</f>
        <v>0</v>
      </c>
    </row>
    <row r="406" spans="1:80" ht="30" customHeight="1">
      <c r="A406" s="1763" t="s">
        <v>1662</v>
      </c>
      <c r="B406" s="1757" t="s">
        <v>2508</v>
      </c>
      <c r="C406" s="1764" t="s">
        <v>2509</v>
      </c>
      <c r="D406" s="1764" t="s">
        <v>1685</v>
      </c>
      <c r="E406" s="1764" t="s">
        <v>1709</v>
      </c>
      <c r="F406" s="1765"/>
      <c r="G406" s="1760" t="s">
        <v>1661</v>
      </c>
      <c r="H406" s="1761">
        <v>55</v>
      </c>
      <c r="I406" s="1763" t="s">
        <v>2356</v>
      </c>
      <c r="J406" s="1773">
        <v>45018</v>
      </c>
      <c r="K406" s="1773">
        <v>46113</v>
      </c>
      <c r="L406" s="1764">
        <f t="shared" si="168"/>
        <v>36</v>
      </c>
      <c r="M406" s="1774">
        <f t="shared" si="179"/>
        <v>36373.15</v>
      </c>
      <c r="N406" s="1775">
        <f t="shared" si="180"/>
        <v>547.71</v>
      </c>
      <c r="O406" s="1777">
        <v>30124.05</v>
      </c>
      <c r="P406" s="1763">
        <v>0.15</v>
      </c>
      <c r="Q406" s="1783">
        <f t="shared" si="169"/>
        <v>95</v>
      </c>
      <c r="R406" s="1763">
        <v>5225</v>
      </c>
      <c r="S406" s="1777">
        <f t="shared" si="170"/>
        <v>18.619999999999997</v>
      </c>
      <c r="T406" s="1763">
        <v>1024.0999999999999</v>
      </c>
      <c r="U406" s="1763"/>
      <c r="V406" s="1785">
        <v>177897.99166666699</v>
      </c>
      <c r="W406" s="1785">
        <f t="shared" si="171"/>
        <v>3234.5089393939452</v>
      </c>
      <c r="X406" s="1786">
        <f>(N406+Q406+S406)*H406/V406</f>
        <v>0.20446071177775579</v>
      </c>
      <c r="Y406" s="1789">
        <f>VLOOKUP(E406,[11]核心假设及结论!$C$25:$E$45,3,0)</f>
        <v>0.2</v>
      </c>
      <c r="Z406" s="1790">
        <f t="shared" si="190"/>
        <v>31785.599999999999</v>
      </c>
      <c r="AA406" s="1790">
        <f t="shared" si="190"/>
        <v>32738.75</v>
      </c>
      <c r="AB406" s="1790">
        <f t="shared" si="190"/>
        <v>0</v>
      </c>
      <c r="AC406" s="1790">
        <f t="shared" si="190"/>
        <v>0</v>
      </c>
      <c r="AD406" s="1790">
        <f t="shared" si="190"/>
        <v>0</v>
      </c>
      <c r="AE406" s="1790">
        <f t="shared" si="190"/>
        <v>0</v>
      </c>
      <c r="AF406" s="1790">
        <f t="shared" si="190"/>
        <v>0</v>
      </c>
      <c r="AG406" s="1794">
        <v>577.91999999999996</v>
      </c>
      <c r="AH406" s="1794">
        <v>595.25</v>
      </c>
      <c r="AI406" s="1794">
        <v>0</v>
      </c>
      <c r="AJ406" s="1794">
        <v>0</v>
      </c>
      <c r="AK406" s="1794">
        <v>0</v>
      </c>
      <c r="AL406" s="1794">
        <v>0</v>
      </c>
      <c r="AM406" s="1794">
        <v>0</v>
      </c>
      <c r="AN406" s="1764"/>
      <c r="AO406" s="1764"/>
      <c r="AP406" s="1808">
        <f t="shared" si="181"/>
        <v>1.022303558888779</v>
      </c>
      <c r="AQ406" s="1810">
        <f>IF(AP406&gt;[11]核心假设及结论!$B$59,[11]核心假设及结论!$D$59,IF(AP406&lt;=[11]核心假设及结论!$B$58,[11]核心假设及结论!$D$57,[11]核心假设及结论!$D$58))</f>
        <v>1.0069999999999999</v>
      </c>
      <c r="AR406" s="1809">
        <f t="shared" si="182"/>
        <v>577.91999999999996</v>
      </c>
      <c r="AS406" s="1809">
        <f>AH406*(AS$2&lt;=YEAR($K406))+AR406*$AQ406*(AS$2=YEAR($K406)+1)+INDEX([11]核心假设及结论!$E$17:$E$21,MATCH($D406,[11]核心假设及结论!$B$17:$B$21,0))*(AS$2&gt;YEAR($K406)+1)*AR406</f>
        <v>595.25</v>
      </c>
      <c r="AT406" s="1811">
        <f>AI406*(AT$2&lt;=YEAR($K406))+AS406*$AQ406*(AT$2=YEAR($K406)+1)+INDEX([11]核心假设及结论!$E$17:$E$21,MATCH($D406,[11]核心假设及结论!$B$17:$B$21,0))*(AT$2&gt;YEAR($K406)+1)*AS406</f>
        <v>599.41674999999998</v>
      </c>
      <c r="AU406" s="1809">
        <f>AJ406*(AU$2&lt;=YEAR($K406))+AT406*$AQ406*(AU$2=YEAR($K406)+1)+INDEX([11]核心假设及结论!$E$17:$E$21,MATCH($D406,[11]核心假设及结论!$B$17:$B$21,0))*(AU$2&gt;YEAR($K406)+1)*AT406</f>
        <v>615.64565340745798</v>
      </c>
      <c r="AV406" s="1809">
        <f>AK406*(AV$2&lt;=YEAR($K406))+AU406*$AQ406*(AV$2=YEAR($K406)+1)+INDEX([11]核心假设及结论!$E$17:$E$21,MATCH($D406,[11]核心假设及结论!$B$17:$B$21,0))*(AV$2&gt;YEAR($K406)+1)*AU406</f>
        <v>632.31394611427845</v>
      </c>
      <c r="AW406" s="1809">
        <f>AL406*(AW$2&lt;=YEAR($K406))+AV406*$AQ406*(AW$2=YEAR($K406)+1)+INDEX([11]核心假设及结论!$E$17:$E$21,MATCH($D406,[11]核心假设及结论!$B$17:$B$21,0))*(AW$2&gt;YEAR($K406)+1)*AV406</f>
        <v>649.43352436209557</v>
      </c>
      <c r="AX406" s="1809">
        <f>AM406*(AX$2&lt;=YEAR($K406))+AW406*$AQ406*(AX$2=YEAR($K406)+1)+INDEX([11]核心假设及结论!$E$17:$E$21,MATCH($D406,[11]核心假设及结论!$B$17:$B$21,0))*(AX$2&gt;YEAR($K406)+1)*AW406</f>
        <v>667.01660647723088</v>
      </c>
      <c r="AZ406" s="1746">
        <f t="shared" si="172"/>
        <v>46113</v>
      </c>
      <c r="BA406" s="1817">
        <f t="shared" si="173"/>
        <v>45658</v>
      </c>
      <c r="BB406" s="1817">
        <f t="shared" si="174"/>
        <v>45748</v>
      </c>
      <c r="BC406" s="1841">
        <f t="shared" si="175"/>
        <v>46022</v>
      </c>
      <c r="BD406" s="1842">
        <f t="shared" si="176"/>
        <v>91</v>
      </c>
      <c r="BE406" s="1842">
        <f t="shared" si="177"/>
        <v>274</v>
      </c>
      <c r="BG406" s="1843">
        <f t="shared" si="164"/>
        <v>39.001338410958901</v>
      </c>
      <c r="BH406" s="1843">
        <f t="shared" si="188"/>
        <v>39.492942484931511</v>
      </c>
      <c r="BI406" s="1843">
        <f t="shared" si="188"/>
        <v>40.365569854028678</v>
      </c>
      <c r="BJ406" s="1843">
        <f t="shared" si="188"/>
        <v>41.458447112043309</v>
      </c>
      <c r="BK406" s="1843">
        <f t="shared" si="187"/>
        <v>42.58091346555203</v>
      </c>
      <c r="BL406" s="1843">
        <f t="shared" si="187"/>
        <v>43.733770024254767</v>
      </c>
      <c r="BM406" s="1843">
        <f t="shared" si="187"/>
        <v>10.975621201376025</v>
      </c>
      <c r="BO406" s="1739">
        <f t="shared" si="178"/>
        <v>2026</v>
      </c>
      <c r="BP406" s="1742">
        <f>_xlfn.IFNA(INDEX($AR406:$AX406,MATCH(BO406,$AR$2:$AX$2,0))*12/365*[11]核心假设及结论!$C$70*$H406,0)</f>
        <v>32290.273972602739</v>
      </c>
      <c r="BR406" s="1739">
        <f t="shared" si="183"/>
        <v>2029</v>
      </c>
      <c r="BS406" s="1742">
        <f>_xlfn.IFNA(INDEX($AR406:$AX406,MATCH(BR406,$AR$2:$AX$2,0))*12/365*[11]核心假设及结论!$C$70*$H406,0)</f>
        <v>34300.86611798004</v>
      </c>
      <c r="BU406" s="1739">
        <f t="shared" si="184"/>
        <v>2032</v>
      </c>
      <c r="BV406" s="1742">
        <f>_xlfn.IFNA(INDEX($AR406:$AX406,MATCH(BU406,$AR$2:$AX$2,0))*12/365*[11]核心假设及结论!$C$70*$H406,0)</f>
        <v>0</v>
      </c>
      <c r="BX406" s="1739">
        <f t="shared" si="185"/>
        <v>2035</v>
      </c>
      <c r="BY406" s="1742">
        <f>_xlfn.IFNA(INDEX($AR406:$AX406,MATCH(BX406,$AR$2:$AX$2,0))*12/365*[11]核心假设及结论!$C$70*$H406,0)</f>
        <v>0</v>
      </c>
      <c r="CA406" s="1739">
        <f t="shared" si="186"/>
        <v>2038</v>
      </c>
      <c r="CB406" s="1742">
        <f>_xlfn.IFNA(INDEX($AR406:$AX406,MATCH(CA406,$AR$2:$AX$2,0))*12/365*[11]核心假设及结论!$C$70*$H406,0)</f>
        <v>0</v>
      </c>
    </row>
    <row r="407" spans="1:80" ht="30" customHeight="1">
      <c r="A407" s="1763" t="s">
        <v>1687</v>
      </c>
      <c r="B407" s="1757" t="s">
        <v>2510</v>
      </c>
      <c r="C407" s="1764" t="s">
        <v>2511</v>
      </c>
      <c r="D407" s="1764" t="s">
        <v>1685</v>
      </c>
      <c r="E407" s="1764" t="s">
        <v>1871</v>
      </c>
      <c r="F407" s="1765"/>
      <c r="G407" s="1760" t="s">
        <v>1661</v>
      </c>
      <c r="H407" s="1761">
        <v>54</v>
      </c>
      <c r="I407" s="1763" t="s">
        <v>2356</v>
      </c>
      <c r="J407" s="1773">
        <v>44912</v>
      </c>
      <c r="K407" s="1773">
        <v>46737</v>
      </c>
      <c r="L407" s="1764">
        <f t="shared" si="168"/>
        <v>60</v>
      </c>
      <c r="M407" s="1774">
        <f t="shared" si="179"/>
        <v>70154.64</v>
      </c>
      <c r="N407" s="1775">
        <f t="shared" si="180"/>
        <v>1186.1600000000001</v>
      </c>
      <c r="O407" s="1777">
        <v>64052.639999999999</v>
      </c>
      <c r="P407" s="1763">
        <v>0.18</v>
      </c>
      <c r="Q407" s="1783">
        <f t="shared" si="169"/>
        <v>95</v>
      </c>
      <c r="R407" s="1763">
        <v>5130</v>
      </c>
      <c r="S407" s="1777">
        <f t="shared" si="170"/>
        <v>18</v>
      </c>
      <c r="T407" s="1763">
        <v>972</v>
      </c>
      <c r="U407" s="1763"/>
      <c r="V407" s="1785">
        <v>252712.89166666701</v>
      </c>
      <c r="W407" s="1785">
        <f t="shared" si="171"/>
        <v>4679.8683641975376</v>
      </c>
      <c r="X407" s="1786">
        <f t="shared" ref="X407:X421" si="191">(N407+Q407)*H407/V407</f>
        <v>0.27375983687944649</v>
      </c>
      <c r="Y407" s="1789">
        <f>VLOOKUP(E407,[11]核心假设及结论!$C$25:$E$45,3,0)</f>
        <v>0.2</v>
      </c>
      <c r="Z407" s="1790">
        <f t="shared" si="190"/>
        <v>70627.680000000008</v>
      </c>
      <c r="AA407" s="1790">
        <f t="shared" si="190"/>
        <v>72746.100000000006</v>
      </c>
      <c r="AB407" s="1790">
        <f t="shared" si="190"/>
        <v>74930.939999999988</v>
      </c>
      <c r="AC407" s="1790">
        <f t="shared" si="190"/>
        <v>0</v>
      </c>
      <c r="AD407" s="1790">
        <f t="shared" si="190"/>
        <v>0</v>
      </c>
      <c r="AE407" s="1790">
        <f t="shared" si="190"/>
        <v>0</v>
      </c>
      <c r="AF407" s="1790">
        <f t="shared" si="190"/>
        <v>0</v>
      </c>
      <c r="AG407" s="1794">
        <v>1307.92</v>
      </c>
      <c r="AH407" s="1794">
        <v>1347.15</v>
      </c>
      <c r="AI407" s="1794">
        <v>1387.61</v>
      </c>
      <c r="AJ407" s="1794">
        <v>0</v>
      </c>
      <c r="AK407" s="1794">
        <v>0</v>
      </c>
      <c r="AL407" s="1794">
        <v>0</v>
      </c>
      <c r="AM407" s="1794">
        <v>0</v>
      </c>
      <c r="AN407" s="1764"/>
      <c r="AO407" s="1764"/>
      <c r="AP407" s="1808">
        <f t="shared" si="181"/>
        <v>1.3687991843972325</v>
      </c>
      <c r="AQ407" s="1810">
        <f>IF(AP407&gt;[11]核心假设及结论!$B$59,[11]核心假设及结论!$D$59,IF(AP407&lt;=[11]核心假设及结论!$B$58,[11]核心假设及结论!$D$57,[11]核心假设及结论!$D$58))</f>
        <v>1.0069999999999999</v>
      </c>
      <c r="AR407" s="1809">
        <f t="shared" si="182"/>
        <v>1307.92</v>
      </c>
      <c r="AS407" s="1809">
        <f>AH407*(AS$2&lt;=YEAR($K407))+AR407*$AQ407*(AS$2=YEAR($K407)+1)+INDEX([11]核心假设及结论!$E$17:$E$21,MATCH($D407,[11]核心假设及结论!$B$17:$B$21,0))*(AS$2&gt;YEAR($K407)+1)*AR407</f>
        <v>1347.15</v>
      </c>
      <c r="AT407" s="1809">
        <f>AI407*(AT$2&lt;=YEAR($K407))+AS407*$AQ407*(AT$2=YEAR($K407)+1)+INDEX([11]核心假设及结论!$E$17:$E$21,MATCH($D407,[11]核心假设及结论!$B$17:$B$21,0))*(AT$2&gt;YEAR($K407)+1)*AS407</f>
        <v>1387.61</v>
      </c>
      <c r="AU407" s="1811">
        <f>AJ407*(AU$2&lt;=YEAR($K407))+AT407*$AQ407*(AU$2=YEAR($K407)+1)+INDEX([11]核心假设及结论!$E$17:$E$21,MATCH($D407,[11]核心假设及结论!$B$17:$B$21,0))*(AU$2&gt;YEAR($K407)+1)*AT407</f>
        <v>1397.3232699999999</v>
      </c>
      <c r="AV407" s="1809">
        <f>AK407*(AV$2&lt;=YEAR($K407))+AU407*$AQ407*(AV$2=YEAR($K407)+1)+INDEX([11]核心假设及结论!$E$17:$E$21,MATCH($D407,[11]核心假设及结论!$B$17:$B$21,0))*(AV$2&gt;YEAR($K407)+1)*AU407</f>
        <v>1435.155086307808</v>
      </c>
      <c r="AW407" s="1809">
        <f>AL407*(AW$2&lt;=YEAR($K407))+AV407*$AQ407*(AW$2=YEAR($K407)+1)+INDEX([11]核心假设及结论!$E$17:$E$21,MATCH($D407,[11]核心假设及结论!$B$17:$B$21,0))*(AW$2&gt;YEAR($K407)+1)*AV407</f>
        <v>1474.0111797860293</v>
      </c>
      <c r="AX407" s="1809">
        <f>AM407*(AX$2&lt;=YEAR($K407))+AW407*$AQ407*(AX$2=YEAR($K407)+1)+INDEX([11]核心假设及结论!$E$17:$E$21,MATCH($D407,[11]核心假设及结论!$B$17:$B$21,0))*(AX$2&gt;YEAR($K407)+1)*AW407</f>
        <v>1513.9192822177026</v>
      </c>
      <c r="AZ407" s="1746">
        <f t="shared" si="172"/>
        <v>46737</v>
      </c>
      <c r="BA407" s="1817">
        <f t="shared" si="173"/>
        <v>45658</v>
      </c>
      <c r="BB407" s="1817">
        <f t="shared" si="174"/>
        <v>46007</v>
      </c>
      <c r="BC407" s="1841">
        <f t="shared" si="175"/>
        <v>46022</v>
      </c>
      <c r="BD407" s="1842">
        <f t="shared" si="176"/>
        <v>350</v>
      </c>
      <c r="BE407" s="1842">
        <f t="shared" si="177"/>
        <v>15</v>
      </c>
      <c r="BG407" s="1843">
        <f t="shared" ref="BG407:BG465" si="192">(AR407*$BD407*$H407*12/365+BE407*AS407*$H407*12/365)/10000</f>
        <v>84.857686027397264</v>
      </c>
      <c r="BH407" s="1843">
        <f t="shared" si="188"/>
        <v>87.403065534246593</v>
      </c>
      <c r="BI407" s="1843">
        <f t="shared" si="188"/>
        <v>89.942994571068482</v>
      </c>
      <c r="BJ407" s="1843">
        <f t="shared" si="188"/>
        <v>90.64729454107173</v>
      </c>
      <c r="BK407" s="1843">
        <f t="shared" si="187"/>
        <v>93.10152390195374</v>
      </c>
      <c r="BL407" s="1843">
        <f t="shared" si="187"/>
        <v>95.622200273596576</v>
      </c>
      <c r="BM407" s="1843">
        <f t="shared" si="187"/>
        <v>94.070381700541091</v>
      </c>
      <c r="BO407" s="1739">
        <f t="shared" si="178"/>
        <v>2027</v>
      </c>
      <c r="BP407" s="1742">
        <f>_xlfn.IFNA(INDEX($AR407:$AX407,MATCH(BO407,$AR$2:$AX$2,0))*12/365*[11]核心假设及结论!$C$70*$H407,0)</f>
        <v>73904.488767123286</v>
      </c>
      <c r="BR407" s="1739">
        <f t="shared" si="183"/>
        <v>2032</v>
      </c>
      <c r="BS407" s="1742">
        <f>_xlfn.IFNA(INDEX($AR407:$AX407,MATCH(BR407,$AR$2:$AX$2,0))*12/365*[11]核心假设及结论!$C$70*$H407,0)</f>
        <v>0</v>
      </c>
      <c r="BU407" s="1739">
        <f t="shared" si="184"/>
        <v>2037</v>
      </c>
      <c r="BV407" s="1742">
        <f>_xlfn.IFNA(INDEX($AR407:$AX407,MATCH(BU407,$AR$2:$AX$2,0))*12/365*[11]核心假设及结论!$C$70*$H407,0)</f>
        <v>0</v>
      </c>
      <c r="BX407" s="1739">
        <f t="shared" si="185"/>
        <v>2042</v>
      </c>
      <c r="BY407" s="1742">
        <f>_xlfn.IFNA(INDEX($AR407:$AX407,MATCH(BX407,$AR$2:$AX$2,0))*12/365*[11]核心假设及结论!$C$70*$H407,0)</f>
        <v>0</v>
      </c>
      <c r="CA407" s="1739">
        <f t="shared" si="186"/>
        <v>2047</v>
      </c>
      <c r="CB407" s="1742">
        <f>_xlfn.IFNA(INDEX($AR407:$AX407,MATCH(CA407,$AR$2:$AX$2,0))*12/365*[11]核心假设及结论!$C$70*$H407,0)</f>
        <v>0</v>
      </c>
    </row>
    <row r="408" spans="1:80" ht="30" customHeight="1">
      <c r="A408" s="1763" t="s">
        <v>1687</v>
      </c>
      <c r="B408" s="1757" t="s">
        <v>2512</v>
      </c>
      <c r="C408" s="1764" t="s">
        <v>2513</v>
      </c>
      <c r="D408" s="1764" t="s">
        <v>1698</v>
      </c>
      <c r="E408" s="1764" t="s">
        <v>1698</v>
      </c>
      <c r="F408" s="1765"/>
      <c r="G408" s="1760" t="s">
        <v>1661</v>
      </c>
      <c r="H408" s="1761">
        <v>54</v>
      </c>
      <c r="I408" s="1763" t="s">
        <v>2356</v>
      </c>
      <c r="J408" s="1773">
        <v>44501</v>
      </c>
      <c r="K408" s="1773">
        <v>46326</v>
      </c>
      <c r="L408" s="1764">
        <f t="shared" si="168"/>
        <v>60</v>
      </c>
      <c r="M408" s="1774">
        <f t="shared" si="179"/>
        <v>43635.306150000004</v>
      </c>
      <c r="N408" s="1775">
        <f t="shared" si="180"/>
        <v>699.44</v>
      </c>
      <c r="O408" s="1777">
        <v>37769.760000000002</v>
      </c>
      <c r="P408" s="1763">
        <v>0.13</v>
      </c>
      <c r="Q408" s="1783">
        <f t="shared" si="169"/>
        <v>90</v>
      </c>
      <c r="R408" s="1763">
        <v>4860</v>
      </c>
      <c r="S408" s="1777">
        <f t="shared" si="170"/>
        <v>18.621224999999999</v>
      </c>
      <c r="T408" s="1756">
        <v>1005.54615</v>
      </c>
      <c r="U408" s="1763"/>
      <c r="V408" s="1785">
        <v>211081.76666666701</v>
      </c>
      <c r="W408" s="1785">
        <f t="shared" si="171"/>
        <v>3908.9216049382781</v>
      </c>
      <c r="X408" s="1786">
        <f t="shared" si="191"/>
        <v>0.20195851433875592</v>
      </c>
      <c r="Y408" s="1789">
        <f>VLOOKUP(E408,[11]核心假设及结论!$C$25:$E$45,3,0)</f>
        <v>0.2</v>
      </c>
      <c r="Z408" s="1790">
        <f t="shared" si="190"/>
        <v>37769.760000000002</v>
      </c>
      <c r="AA408" s="1790">
        <f t="shared" si="190"/>
        <v>38910.780000000006</v>
      </c>
      <c r="AB408" s="1790">
        <f t="shared" si="190"/>
        <v>0</v>
      </c>
      <c r="AC408" s="1790">
        <f t="shared" si="190"/>
        <v>0</v>
      </c>
      <c r="AD408" s="1790">
        <f t="shared" si="190"/>
        <v>0</v>
      </c>
      <c r="AE408" s="1790">
        <f t="shared" si="190"/>
        <v>0</v>
      </c>
      <c r="AF408" s="1790">
        <f t="shared" si="190"/>
        <v>0</v>
      </c>
      <c r="AG408" s="1794">
        <v>699.44</v>
      </c>
      <c r="AH408" s="1794">
        <v>720.57</v>
      </c>
      <c r="AI408" s="1794">
        <v>0</v>
      </c>
      <c r="AJ408" s="1794">
        <v>0</v>
      </c>
      <c r="AK408" s="1794">
        <v>0</v>
      </c>
      <c r="AL408" s="1794">
        <v>0</v>
      </c>
      <c r="AM408" s="1794">
        <v>0</v>
      </c>
      <c r="AN408" s="1764"/>
      <c r="AO408" s="1764"/>
      <c r="AP408" s="1808">
        <f t="shared" si="181"/>
        <v>1.0097925716937795</v>
      </c>
      <c r="AQ408" s="1812">
        <f>IF(AP408&gt;[11]核心假设及结论!$B$62,[11]核心假设及结论!$D$62,IF(AP408&lt;=[11]核心假设及结论!$B$61,[11]核心假设及结论!$D$60,[11]核心假设及结论!$D$61))</f>
        <v>1.0489999999999999</v>
      </c>
      <c r="AR408" s="1809">
        <f t="shared" si="182"/>
        <v>699.44</v>
      </c>
      <c r="AS408" s="1809">
        <f>AH408*(AS$2&lt;=YEAR($K408))+AR408*$AQ408*(AS$2=YEAR($K408)+1)+INDEX([11]核心假设及结论!$E$17:$E$21,MATCH($D408,[11]核心假设及结论!$B$17:$B$21,0))*(AS$2&gt;YEAR($K408)+1)*AR408</f>
        <v>720.57</v>
      </c>
      <c r="AT408" s="1811">
        <f>AI408*(AT$2&lt;=YEAR($K408))+AS408*$AQ408*(AT$2=YEAR($K408)+1)+INDEX([11]核心假设及结论!$E$17:$E$21,MATCH($D408,[11]核心假设及结论!$B$17:$B$21,0))*(AT$2&gt;YEAR($K408)+1)*AS408</f>
        <v>755.87792999999999</v>
      </c>
      <c r="AU408" s="1809">
        <f>AJ408*(AU$2&lt;=YEAR($K408))+AT408*$AQ408*(AU$2=YEAR($K408)+1)+INDEX([11]核心假设及结论!$E$17:$E$21,MATCH($D408,[11]核心假设及结论!$B$17:$B$21,0))*(AU$2&gt;YEAR($K408)+1)*AT408</f>
        <v>779.02095098860184</v>
      </c>
      <c r="AV408" s="1809">
        <f>AK408*(AV$2&lt;=YEAR($K408))+AU408*$AQ408*(AV$2=YEAR($K408)+1)+INDEX([11]核心假设及结论!$E$17:$E$21,MATCH($D408,[11]核心假设及结论!$B$17:$B$21,0))*(AV$2&gt;YEAR($K408)+1)*AU408</f>
        <v>802.8725512321621</v>
      </c>
      <c r="AW408" s="1809">
        <f>AL408*(AW$2&lt;=YEAR($K408))+AV408*$AQ408*(AW$2=YEAR($K408)+1)+INDEX([11]核心假设及结论!$E$17:$E$21,MATCH($D408,[11]核心假设及结论!$B$17:$B$21,0))*(AW$2&gt;YEAR($K408)+1)*AV408</f>
        <v>827.45442558896241</v>
      </c>
      <c r="AX408" s="1809">
        <f>AM408*(AX$2&lt;=YEAR($K408))+AW408*$AQ408*(AX$2=YEAR($K408)+1)+INDEX([11]核心假设及结论!$E$17:$E$21,MATCH($D408,[11]核心假设及结论!$B$17:$B$21,0))*(AX$2&gt;YEAR($K408)+1)*AW408</f>
        <v>852.78893315755465</v>
      </c>
      <c r="AZ408" s="1746">
        <f t="shared" si="172"/>
        <v>46326</v>
      </c>
      <c r="BA408" s="1817">
        <f t="shared" si="173"/>
        <v>45658</v>
      </c>
      <c r="BB408" s="1817">
        <f t="shared" si="174"/>
        <v>45961</v>
      </c>
      <c r="BC408" s="1841">
        <f t="shared" si="175"/>
        <v>46022</v>
      </c>
      <c r="BD408" s="1842">
        <f t="shared" si="176"/>
        <v>304</v>
      </c>
      <c r="BE408" s="1842">
        <f t="shared" si="177"/>
        <v>61</v>
      </c>
      <c r="BG408" s="1843">
        <f t="shared" si="192"/>
        <v>45.552541216438357</v>
      </c>
      <c r="BH408" s="1843">
        <f t="shared" si="188"/>
        <v>47.075306371791783</v>
      </c>
      <c r="BI408" s="1843">
        <f t="shared" si="188"/>
        <v>49.231519270476021</v>
      </c>
      <c r="BJ408" s="1843">
        <f t="shared" si="188"/>
        <v>50.738860652671669</v>
      </c>
      <c r="BK408" s="1843">
        <f t="shared" si="187"/>
        <v>52.292352916988108</v>
      </c>
      <c r="BL408" s="1843">
        <f t="shared" si="187"/>
        <v>53.893409083691147</v>
      </c>
      <c r="BM408" s="1843">
        <f t="shared" si="187"/>
        <v>46.025369183718631</v>
      </c>
      <c r="BO408" s="1739">
        <f t="shared" si="178"/>
        <v>2026</v>
      </c>
      <c r="BP408" s="1742">
        <f>_xlfn.IFNA(INDEX($AR408:$AX408,MATCH(BO408,$AR$2:$AX$2,0))*12/365*[11]核心假设及结论!$C$70*$H408,0)</f>
        <v>38377.755616438357</v>
      </c>
      <c r="BR408" s="1739">
        <f t="shared" si="183"/>
        <v>2031</v>
      </c>
      <c r="BS408" s="1742">
        <f>_xlfn.IFNA(INDEX($AR408:$AX408,MATCH(BR408,$AR$2:$AX$2,0))*12/365*[11]核心假设及结论!$C$70*$H408,0)</f>
        <v>45419.772220774961</v>
      </c>
      <c r="BU408" s="1739">
        <f t="shared" si="184"/>
        <v>2036</v>
      </c>
      <c r="BV408" s="1742">
        <f>_xlfn.IFNA(INDEX($AR408:$AX408,MATCH(BU408,$AR$2:$AX$2,0))*12/365*[11]核心假设及结论!$C$70*$H408,0)</f>
        <v>0</v>
      </c>
      <c r="BX408" s="1739">
        <f t="shared" si="185"/>
        <v>2041</v>
      </c>
      <c r="BY408" s="1742">
        <f>_xlfn.IFNA(INDEX($AR408:$AX408,MATCH(BX408,$AR$2:$AX$2,0))*12/365*[11]核心假设及结论!$C$70*$H408,0)</f>
        <v>0</v>
      </c>
      <c r="CA408" s="1739">
        <f t="shared" si="186"/>
        <v>2046</v>
      </c>
      <c r="CB408" s="1742">
        <f>_xlfn.IFNA(INDEX($AR408:$AX408,MATCH(CA408,$AR$2:$AX$2,0))*12/365*[11]核心假设及结论!$C$70*$H408,0)</f>
        <v>0</v>
      </c>
    </row>
    <row r="409" spans="1:80" ht="30" customHeight="1">
      <c r="A409" s="1763" t="s">
        <v>1687</v>
      </c>
      <c r="B409" s="1757" t="s">
        <v>2514</v>
      </c>
      <c r="C409" s="1764" t="s">
        <v>2515</v>
      </c>
      <c r="D409" s="1764" t="s">
        <v>1676</v>
      </c>
      <c r="E409" s="1764" t="s">
        <v>1677</v>
      </c>
      <c r="F409" s="1765"/>
      <c r="G409" s="1760" t="s">
        <v>1661</v>
      </c>
      <c r="H409" s="1761">
        <v>53</v>
      </c>
      <c r="I409" s="1763" t="s">
        <v>2356</v>
      </c>
      <c r="J409" s="1773">
        <v>45505</v>
      </c>
      <c r="K409" s="1773">
        <v>46234</v>
      </c>
      <c r="L409" s="1764">
        <f t="shared" si="168"/>
        <v>24</v>
      </c>
      <c r="M409" s="1774">
        <f t="shared" si="179"/>
        <v>41455.01</v>
      </c>
      <c r="N409" s="1775">
        <f t="shared" si="180"/>
        <v>669.17000000000007</v>
      </c>
      <c r="O409" s="1777">
        <v>35466.01</v>
      </c>
      <c r="P409" s="1763">
        <v>0.13</v>
      </c>
      <c r="Q409" s="1783">
        <f t="shared" si="169"/>
        <v>95</v>
      </c>
      <c r="R409" s="1763">
        <v>5035</v>
      </c>
      <c r="S409" s="1777">
        <f t="shared" si="170"/>
        <v>18</v>
      </c>
      <c r="T409" s="1763">
        <v>954</v>
      </c>
      <c r="U409" s="1763"/>
      <c r="V409" s="1785"/>
      <c r="W409" s="1785">
        <f t="shared" si="171"/>
        <v>0</v>
      </c>
      <c r="X409" s="1786" t="e">
        <f t="shared" si="191"/>
        <v>#DIV/0!</v>
      </c>
      <c r="Y409" s="1789">
        <f>VLOOKUP(E409,[11]核心假设及结论!$C$25:$E$45,3,0)</f>
        <v>0.25</v>
      </c>
      <c r="Z409" s="1790">
        <f t="shared" si="190"/>
        <v>35466.009999999995</v>
      </c>
      <c r="AA409" s="1790">
        <f t="shared" si="190"/>
        <v>37077.740000000005</v>
      </c>
      <c r="AB409" s="1790">
        <f t="shared" si="190"/>
        <v>0</v>
      </c>
      <c r="AC409" s="1790">
        <f t="shared" si="190"/>
        <v>0</v>
      </c>
      <c r="AD409" s="1790">
        <f t="shared" si="190"/>
        <v>0</v>
      </c>
      <c r="AE409" s="1790">
        <f t="shared" si="190"/>
        <v>0</v>
      </c>
      <c r="AF409" s="1790">
        <f t="shared" si="190"/>
        <v>0</v>
      </c>
      <c r="AG409" s="1794">
        <v>669.17</v>
      </c>
      <c r="AH409" s="1794">
        <v>699.58</v>
      </c>
      <c r="AI409" s="1794">
        <v>0</v>
      </c>
      <c r="AJ409" s="1794">
        <v>0</v>
      </c>
      <c r="AK409" s="1794">
        <v>0</v>
      </c>
      <c r="AL409" s="1794">
        <v>0</v>
      </c>
      <c r="AM409" s="1794">
        <v>0</v>
      </c>
      <c r="AN409" s="1764"/>
      <c r="AO409" s="1764"/>
      <c r="AP409" s="1808">
        <f t="shared" si="181"/>
        <v>1.25</v>
      </c>
      <c r="AQ409" s="1808">
        <f>IF(AP409&gt;[11]核心假设及结论!$B$65,[11]核心假设及结论!$D$65,IF(AP409&lt;=[11]核心假设及结论!$B$64,[11]核心假设及结论!$D$63,[11]核心假设及结论!$D$64))</f>
        <v>0.754</v>
      </c>
      <c r="AR409" s="1809">
        <f t="shared" si="182"/>
        <v>669.17</v>
      </c>
      <c r="AS409" s="1809">
        <f>AH409*(AS$2&lt;=YEAR($K409))+AR409*$AQ409*(AS$2=YEAR($K409)+1)+INDEX([11]核心假设及结论!$E$17:$E$21,MATCH($D409,[11]核心假设及结论!$B$17:$B$21,0))*(AS$2&gt;YEAR($K409)+1)*AR409</f>
        <v>699.58</v>
      </c>
      <c r="AT409" s="1811">
        <f>AI409*(AT$2&lt;=YEAR($K409))+AS409*$AQ409*(AT$2=YEAR($K409)+1)+INDEX([11]核心假设及结论!$E$17:$E$21,MATCH($D409,[11]核心假设及结论!$B$17:$B$21,0))*(AT$2&gt;YEAR($K409)+1)*AS409</f>
        <v>527.48332000000005</v>
      </c>
      <c r="AU409" s="1809">
        <f>AJ409*(AU$2&lt;=YEAR($K409))+AT409*$AQ409*(AU$2=YEAR($K409)+1)+INDEX([11]核心假设及结论!$E$17:$E$21,MATCH($D409,[11]核心假设及结论!$B$17:$B$21,0))*(AU$2&gt;YEAR($K409)+1)*AT409</f>
        <v>545.72110194247182</v>
      </c>
      <c r="AV409" s="1809">
        <f>AK409*(AV$2&lt;=YEAR($K409))+AU409*$AQ409*(AV$2=YEAR($K409)+1)+INDEX([11]核心假设及结论!$E$17:$E$21,MATCH($D409,[11]核心假设及结论!$B$17:$B$21,0))*(AV$2&gt;YEAR($K409)+1)*AU409</f>
        <v>564.58945679136491</v>
      </c>
      <c r="AW409" s="1809">
        <f>AL409*(AW$2&lt;=YEAR($K409))+AV409*$AQ409*(AW$2=YEAR($K409)+1)+INDEX([11]核心假设及结论!$E$17:$E$21,MATCH($D409,[11]核心假设及结论!$B$17:$B$21,0))*(AW$2&gt;YEAR($K409)+1)*AV409</f>
        <v>584.11018666009227</v>
      </c>
      <c r="AX409" s="1809">
        <f>AM409*(AX$2&lt;=YEAR($K409))+AW409*$AQ409*(AX$2=YEAR($K409)+1)+INDEX([11]核心假设及结论!$E$17:$E$21,MATCH($D409,[11]核心假设及结论!$B$17:$B$21,0))*(AX$2&gt;YEAR($K409)+1)*AW409</f>
        <v>604.30584747204603</v>
      </c>
      <c r="AZ409" s="1746">
        <f t="shared" si="172"/>
        <v>46234</v>
      </c>
      <c r="BA409" s="1817">
        <f t="shared" si="173"/>
        <v>45658</v>
      </c>
      <c r="BB409" s="1817">
        <f t="shared" si="174"/>
        <v>45869</v>
      </c>
      <c r="BC409" s="1841">
        <f t="shared" si="175"/>
        <v>46022</v>
      </c>
      <c r="BD409" s="1842">
        <f t="shared" si="176"/>
        <v>212</v>
      </c>
      <c r="BE409" s="1842">
        <f t="shared" si="177"/>
        <v>153</v>
      </c>
      <c r="BG409" s="1843">
        <f t="shared" si="192"/>
        <v>43.369934268493154</v>
      </c>
      <c r="BH409" s="1843">
        <f t="shared" si="188"/>
        <v>39.905237660975345</v>
      </c>
      <c r="BI409" s="1843">
        <f t="shared" si="188"/>
        <v>34.034153421933716</v>
      </c>
      <c r="BJ409" s="1843">
        <f t="shared" si="188"/>
        <v>35.210887254400411</v>
      </c>
      <c r="BK409" s="1843">
        <f t="shared" si="187"/>
        <v>36.42830676208591</v>
      </c>
      <c r="BL409" s="1843">
        <f t="shared" si="187"/>
        <v>37.687818655770798</v>
      </c>
      <c r="BM409" s="1843">
        <f t="shared" si="187"/>
        <v>22.323223568863263</v>
      </c>
      <c r="BO409" s="1739">
        <f t="shared" si="178"/>
        <v>2026</v>
      </c>
      <c r="BP409" s="1742">
        <f>_xlfn.IFNA(INDEX($AR409:$AX409,MATCH(BO409,$AR$2:$AX$2,0))*12/365*[11]核心假设及结论!$C$70*$H409,0)</f>
        <v>36569.825753424666</v>
      </c>
      <c r="BR409" s="1739">
        <f t="shared" si="183"/>
        <v>2028</v>
      </c>
      <c r="BS409" s="1742">
        <f>_xlfn.IFNA(INDEX($AR409:$AX409,MATCH(BR409,$AR$2:$AX$2,0))*12/365*[11]核心假设及结论!$C$70*$H409,0)</f>
        <v>28527.009931677709</v>
      </c>
      <c r="BU409" s="1739">
        <f t="shared" si="184"/>
        <v>2030</v>
      </c>
      <c r="BV409" s="1742">
        <f>_xlfn.IFNA(INDEX($AR409:$AX409,MATCH(BU409,$AR$2:$AX$2,0))*12/365*[11]核心假设及结论!$C$70*$H409,0)</f>
        <v>30533.759894450854</v>
      </c>
      <c r="BX409" s="1739">
        <f t="shared" si="185"/>
        <v>2032</v>
      </c>
      <c r="BY409" s="1742">
        <f>_xlfn.IFNA(INDEX($AR409:$AX409,MATCH(BX409,$AR$2:$AX$2,0))*12/365*[11]核心假设及结论!$C$70*$H409,0)</f>
        <v>0</v>
      </c>
      <c r="CA409" s="1739">
        <f t="shared" si="186"/>
        <v>2034</v>
      </c>
      <c r="CB409" s="1742">
        <f>_xlfn.IFNA(INDEX($AR409:$AX409,MATCH(CA409,$AR$2:$AX$2,0))*12/365*[11]核心假设及结论!$C$70*$H409,0)</f>
        <v>0</v>
      </c>
    </row>
    <row r="410" spans="1:80" ht="30" customHeight="1">
      <c r="A410" s="1763" t="s">
        <v>1687</v>
      </c>
      <c r="B410" s="1757" t="s">
        <v>2516</v>
      </c>
      <c r="C410" s="1764" t="s">
        <v>2517</v>
      </c>
      <c r="D410" s="1764" t="s">
        <v>1676</v>
      </c>
      <c r="E410" s="1764" t="s">
        <v>1677</v>
      </c>
      <c r="F410" s="1765"/>
      <c r="G410" s="1760" t="s">
        <v>1661</v>
      </c>
      <c r="H410" s="1761">
        <v>53</v>
      </c>
      <c r="I410" s="1763" t="s">
        <v>2356</v>
      </c>
      <c r="J410" s="1773">
        <v>45402</v>
      </c>
      <c r="K410" s="1773">
        <v>45766</v>
      </c>
      <c r="L410" s="1764">
        <f t="shared" si="168"/>
        <v>12</v>
      </c>
      <c r="M410" s="1774">
        <f t="shared" si="179"/>
        <v>12494.75</v>
      </c>
      <c r="N410" s="1775">
        <f t="shared" si="180"/>
        <v>127.75</v>
      </c>
      <c r="O410" s="1777">
        <v>6770.75</v>
      </c>
      <c r="P410" s="1763">
        <v>0.11</v>
      </c>
      <c r="Q410" s="1783">
        <f t="shared" si="169"/>
        <v>90</v>
      </c>
      <c r="R410" s="1763">
        <v>4770</v>
      </c>
      <c r="S410" s="1777">
        <f t="shared" si="170"/>
        <v>18</v>
      </c>
      <c r="T410" s="1763">
        <v>954</v>
      </c>
      <c r="U410" s="1763"/>
      <c r="V410" s="1785">
        <v>19460.666666666701</v>
      </c>
      <c r="W410" s="1785">
        <f t="shared" si="171"/>
        <v>367.18238993710759</v>
      </c>
      <c r="X410" s="1786">
        <f t="shared" si="191"/>
        <v>0.59302952964954847</v>
      </c>
      <c r="Y410" s="1789">
        <f>VLOOKUP(E410,[11]核心假设及结论!$C$25:$E$45,3,0)</f>
        <v>0.25</v>
      </c>
      <c r="Z410" s="1790">
        <f t="shared" si="190"/>
        <v>6770.75</v>
      </c>
      <c r="AA410" s="1790">
        <f t="shared" si="190"/>
        <v>0</v>
      </c>
      <c r="AB410" s="1790">
        <f t="shared" si="190"/>
        <v>0</v>
      </c>
      <c r="AC410" s="1790">
        <f t="shared" si="190"/>
        <v>0</v>
      </c>
      <c r="AD410" s="1790">
        <f t="shared" si="190"/>
        <v>0</v>
      </c>
      <c r="AE410" s="1790">
        <f t="shared" si="190"/>
        <v>0</v>
      </c>
      <c r="AF410" s="1790">
        <f t="shared" si="190"/>
        <v>0</v>
      </c>
      <c r="AG410" s="1794">
        <v>127.75</v>
      </c>
      <c r="AH410" s="1794">
        <v>0</v>
      </c>
      <c r="AI410" s="1794">
        <v>0</v>
      </c>
      <c r="AJ410" s="1794">
        <v>0</v>
      </c>
      <c r="AK410" s="1794">
        <v>0</v>
      </c>
      <c r="AL410" s="1794">
        <v>0</v>
      </c>
      <c r="AM410" s="1794">
        <v>0</v>
      </c>
      <c r="AN410" s="1764"/>
      <c r="AO410" s="1764"/>
      <c r="AP410" s="1808">
        <f t="shared" si="181"/>
        <v>2.3721181185981939</v>
      </c>
      <c r="AQ410" s="1808">
        <f>IF(AP410&gt;[11]核心假设及结论!$B$65,[11]核心假设及结论!$D$65,IF(AP410&lt;=[11]核心假设及结论!$B$64,[11]核心假设及结论!$D$63,[11]核心假设及结论!$D$64))</f>
        <v>0.72793038402688603</v>
      </c>
      <c r="AR410" s="1809">
        <f t="shared" si="182"/>
        <v>127.75</v>
      </c>
      <c r="AS410" s="1811">
        <f>AH410*(AS$2&lt;=YEAR($K410))+AR410*$AQ410*(AS$2=YEAR($K410)+1)+INDEX([11]核心假设及结论!$E$17:$E$21,MATCH($D410,[11]核心假设及结论!$B$17:$B$21,0))*(AS$2&gt;YEAR($K410)+1)*AR410</f>
        <v>92.993106559434693</v>
      </c>
      <c r="AT410" s="1809">
        <f>AI410*(AT$2&lt;=YEAR($K410))+AS410*$AQ410*(AT$2=YEAR($K410)+1)+INDEX([11]核心假设及结论!$E$17:$E$21,MATCH($D410,[11]核心假设及结论!$B$17:$B$21,0))*(AT$2&gt;YEAR($K410)+1)*AS410</f>
        <v>96.208351355391486</v>
      </c>
      <c r="AU410" s="1809">
        <f>AJ410*(AU$2&lt;=YEAR($K410))+AT410*$AQ410*(AU$2=YEAR($K410)+1)+INDEX([11]核心假设及结论!$E$17:$E$21,MATCH($D410,[11]核心假设及结论!$B$17:$B$21,0))*(AU$2&gt;YEAR($K410)+1)*AT410</f>
        <v>99.534763521494369</v>
      </c>
      <c r="AV410" s="1809">
        <f>AK410*(AV$2&lt;=YEAR($K410))+AU410*$AQ410*(AV$2=YEAR($K410)+1)+INDEX([11]核心假设及结论!$E$17:$E$21,MATCH($D410,[11]核心假设及结论!$B$17:$B$21,0))*(AV$2&gt;YEAR($K410)+1)*AU410</f>
        <v>102.97618667929301</v>
      </c>
      <c r="AW410" s="1809">
        <f>AL410*(AW$2&lt;=YEAR($K410))+AV410*$AQ410*(AW$2=YEAR($K410)+1)+INDEX([11]核心假设及结论!$E$17:$E$21,MATCH($D410,[11]核心假设及结论!$B$17:$B$21,0))*(AW$2&gt;YEAR($K410)+1)*AV410</f>
        <v>106.53659734388845</v>
      </c>
      <c r="AX410" s="1809">
        <f>AM410*(AX$2&lt;=YEAR($K410))+AW410*$AQ410*(AX$2=YEAR($K410)+1)+INDEX([11]核心假设及结论!$E$17:$E$21,MATCH($D410,[11]核心假设及结论!$B$17:$B$21,0))*(AX$2&gt;YEAR($K410)+1)*AW410</f>
        <v>110.22010951873931</v>
      </c>
      <c r="AZ410" s="1746">
        <f t="shared" si="172"/>
        <v>45766</v>
      </c>
      <c r="BA410" s="1817">
        <f t="shared" si="173"/>
        <v>45658</v>
      </c>
      <c r="BB410" s="1817">
        <f t="shared" si="174"/>
        <v>45766</v>
      </c>
      <c r="BC410" s="1841">
        <f t="shared" si="175"/>
        <v>46022</v>
      </c>
      <c r="BD410" s="1842">
        <f t="shared" si="176"/>
        <v>109</v>
      </c>
      <c r="BE410" s="1842">
        <f t="shared" si="177"/>
        <v>256</v>
      </c>
      <c r="BG410" s="1843">
        <f t="shared" si="192"/>
        <v>6.574494969200253</v>
      </c>
      <c r="BH410" s="1843">
        <f t="shared" si="188"/>
        <v>6.0577843981933341</v>
      </c>
      <c r="BI410" s="1843">
        <f t="shared" si="188"/>
        <v>6.2672328238018595</v>
      </c>
      <c r="BJ410" s="1843">
        <f t="shared" si="188"/>
        <v>6.4839229470520117</v>
      </c>
      <c r="BK410" s="1843">
        <f t="shared" si="187"/>
        <v>6.7081051502733828</v>
      </c>
      <c r="BL410" s="1843">
        <f t="shared" si="187"/>
        <v>6.9400384727865152</v>
      </c>
      <c r="BM410" s="1843">
        <f t="shared" si="187"/>
        <v>2.0933969513087902</v>
      </c>
      <c r="BO410" s="1739">
        <f t="shared" si="178"/>
        <v>2025</v>
      </c>
      <c r="BP410" s="1742">
        <f>_xlfn.IFNA(INDEX($AR410:$AX410,MATCH(BO410,$AR$2:$AX$2,0))*12/365*[11]核心假设及结论!$C$70*$H410,0)</f>
        <v>6678</v>
      </c>
      <c r="BR410" s="1739">
        <f t="shared" si="183"/>
        <v>2026</v>
      </c>
      <c r="BS410" s="1742">
        <f>_xlfn.IFNA(INDEX($AR410:$AX410,MATCH(BR410,$AR$2:$AX$2,0))*12/365*[11]核心假设及结论!$C$70*$H410,0)</f>
        <v>4861.1191045315454</v>
      </c>
      <c r="BU410" s="1739">
        <f t="shared" si="184"/>
        <v>2027</v>
      </c>
      <c r="BV410" s="1742">
        <f>_xlfn.IFNA(INDEX($AR410:$AX410,MATCH(BU410,$AR$2:$AX$2,0))*12/365*[11]核心假设及结论!$C$70*$H410,0)</f>
        <v>5029.1927229064922</v>
      </c>
      <c r="BX410" s="1739">
        <f t="shared" si="185"/>
        <v>2028</v>
      </c>
      <c r="BY410" s="1742">
        <f>_xlfn.IFNA(INDEX($AR410:$AX410,MATCH(BX410,$AR$2:$AX$2,0))*12/365*[11]核心假设及结论!$C$70*$H410,0)</f>
        <v>5203.0775013427747</v>
      </c>
      <c r="CA410" s="1739">
        <f t="shared" si="186"/>
        <v>2029</v>
      </c>
      <c r="CB410" s="1742">
        <f>_xlfn.IFNA(INDEX($AR410:$AX410,MATCH(CA410,$AR$2:$AX$2,0))*12/365*[11]核心假设及结论!$C$70*$H410,0)</f>
        <v>5382.9743612079747</v>
      </c>
    </row>
    <row r="411" spans="1:80" ht="30" customHeight="1">
      <c r="A411" s="1763" t="s">
        <v>1687</v>
      </c>
      <c r="B411" s="1757" t="s">
        <v>2518</v>
      </c>
      <c r="C411" s="1764" t="s">
        <v>2519</v>
      </c>
      <c r="D411" s="1764" t="s">
        <v>1698</v>
      </c>
      <c r="E411" s="1764" t="s">
        <v>1698</v>
      </c>
      <c r="F411" s="1765"/>
      <c r="G411" s="1760" t="s">
        <v>1661</v>
      </c>
      <c r="H411" s="1761">
        <v>52</v>
      </c>
      <c r="I411" s="1763" t="s">
        <v>2356</v>
      </c>
      <c r="J411" s="1773">
        <v>44865</v>
      </c>
      <c r="K411" s="1773">
        <v>45960</v>
      </c>
      <c r="L411" s="1764">
        <f t="shared" si="168"/>
        <v>36</v>
      </c>
      <c r="M411" s="1774">
        <f t="shared" si="179"/>
        <v>67588.560000000012</v>
      </c>
      <c r="N411" s="1775">
        <f t="shared" si="180"/>
        <v>1186.1600000000001</v>
      </c>
      <c r="O411" s="1777">
        <v>61680.32</v>
      </c>
      <c r="P411" s="1763">
        <v>0.16</v>
      </c>
      <c r="Q411" s="1783">
        <f t="shared" si="169"/>
        <v>95</v>
      </c>
      <c r="R411" s="1763">
        <v>4940</v>
      </c>
      <c r="S411" s="1777">
        <f t="shared" si="170"/>
        <v>18.62</v>
      </c>
      <c r="T411" s="1763">
        <v>968.24</v>
      </c>
      <c r="U411" s="1763"/>
      <c r="V411" s="1785">
        <v>321555.850583333</v>
      </c>
      <c r="W411" s="1785">
        <f t="shared" si="171"/>
        <v>6183.7663573717882</v>
      </c>
      <c r="X411" s="1786">
        <f t="shared" si="191"/>
        <v>0.20718117825921809</v>
      </c>
      <c r="Y411" s="1789">
        <f>VLOOKUP(E411,[11]核心假设及结论!$C$25:$E$45,3,0)</f>
        <v>0.2</v>
      </c>
      <c r="Z411" s="1790">
        <f t="shared" si="190"/>
        <v>66430</v>
      </c>
      <c r="AA411" s="1790">
        <f t="shared" si="190"/>
        <v>0</v>
      </c>
      <c r="AB411" s="1790">
        <f t="shared" si="190"/>
        <v>0</v>
      </c>
      <c r="AC411" s="1790">
        <f t="shared" si="190"/>
        <v>0</v>
      </c>
      <c r="AD411" s="1790">
        <f t="shared" si="190"/>
        <v>0</v>
      </c>
      <c r="AE411" s="1790">
        <f t="shared" si="190"/>
        <v>0</v>
      </c>
      <c r="AF411" s="1790">
        <f t="shared" si="190"/>
        <v>0</v>
      </c>
      <c r="AG411" s="1794">
        <v>1277.5</v>
      </c>
      <c r="AH411" s="1794">
        <v>0</v>
      </c>
      <c r="AI411" s="1794">
        <v>0</v>
      </c>
      <c r="AJ411" s="1794">
        <v>0</v>
      </c>
      <c r="AK411" s="1794">
        <v>0</v>
      </c>
      <c r="AL411" s="1794">
        <v>0</v>
      </c>
      <c r="AM411" s="1794">
        <v>0</v>
      </c>
      <c r="AN411" s="1764"/>
      <c r="AO411" s="1764"/>
      <c r="AP411" s="1808">
        <f t="shared" si="181"/>
        <v>1.0359058912960903</v>
      </c>
      <c r="AQ411" s="1812">
        <f>IF(AP411&gt;[11]核心假设及结论!$B$62,[11]核心假设及结论!$D$62,IF(AP411&lt;=[11]核心假设及结论!$B$61,[11]核心假设及结论!$D$60,[11]核心假设及结论!$D$61))</f>
        <v>1.0489999999999999</v>
      </c>
      <c r="AR411" s="1809">
        <f t="shared" si="182"/>
        <v>1277.5</v>
      </c>
      <c r="AS411" s="1811">
        <f>AH411*(AS$2&lt;=YEAR($K411))+AR411*$AQ411*(AS$2=YEAR($K411)+1)+INDEX([11]核心假设及结论!$E$17:$E$21,MATCH($D411,[11]核心假设及结论!$B$17:$B$21,0))*(AS$2&gt;YEAR($K411)+1)*AR411</f>
        <v>1340.0974999999999</v>
      </c>
      <c r="AT411" s="1809">
        <f>AI411*(AT$2&lt;=YEAR($K411))+AS411*$AQ411*(AT$2=YEAR($K411)+1)+INDEX([11]核心假设及结论!$E$17:$E$21,MATCH($D411,[11]核心假设及结论!$B$17:$B$21,0))*(AT$2&gt;YEAR($K411)+1)*AS411</f>
        <v>1381.1278083849436</v>
      </c>
      <c r="AU411" s="1809">
        <f>AJ411*(AU$2&lt;=YEAR($K411))+AT411*$AQ411*(AU$2=YEAR($K411)+1)+INDEX([11]核心假设及结论!$E$17:$E$21,MATCH($D411,[11]核心假设及结论!$B$17:$B$21,0))*(AU$2&gt;YEAR($K411)+1)*AT411</f>
        <v>1423.4143583539239</v>
      </c>
      <c r="AV411" s="1809">
        <f>AK411*(AV$2&lt;=YEAR($K411))+AU411*$AQ411*(AV$2=YEAR($K411)+1)+INDEX([11]核心假设及结论!$E$17:$E$21,MATCH($D411,[11]核心假设及结论!$B$17:$B$21,0))*(AV$2&gt;YEAR($K411)+1)*AU411</f>
        <v>1466.9956127647547</v>
      </c>
      <c r="AW411" s="1809">
        <f>AL411*(AW$2&lt;=YEAR($K411))+AV411*$AQ411*(AW$2=YEAR($K411)+1)+INDEX([11]核心假设及结论!$E$17:$E$21,MATCH($D411,[11]核心假设及结论!$B$17:$B$21,0))*(AW$2&gt;YEAR($K411)+1)*AV411</f>
        <v>1511.9112121081587</v>
      </c>
      <c r="AX411" s="1809">
        <f>AM411*(AX$2&lt;=YEAR($K411))+AW411*$AQ411*(AX$2=YEAR($K411)+1)+INDEX([11]核心假设及结论!$E$17:$E$21,MATCH($D411,[11]核心假设及结论!$B$17:$B$21,0))*(AX$2&gt;YEAR($K411)+1)*AW411</f>
        <v>1558.2020105638321</v>
      </c>
      <c r="AZ411" s="1746">
        <f t="shared" si="172"/>
        <v>45960</v>
      </c>
      <c r="BA411" s="1817">
        <f t="shared" si="173"/>
        <v>45658</v>
      </c>
      <c r="BB411" s="1817">
        <f t="shared" si="174"/>
        <v>45960</v>
      </c>
      <c r="BC411" s="1841">
        <f t="shared" si="175"/>
        <v>46022</v>
      </c>
      <c r="BD411" s="1842">
        <f t="shared" si="176"/>
        <v>303</v>
      </c>
      <c r="BE411" s="1842">
        <f t="shared" si="177"/>
        <v>62</v>
      </c>
      <c r="BG411" s="1843">
        <f t="shared" si="192"/>
        <v>80.379499199999998</v>
      </c>
      <c r="BH411" s="1843">
        <f t="shared" si="188"/>
        <v>84.05698278651964</v>
      </c>
      <c r="BI411" s="1843">
        <f t="shared" si="188"/>
        <v>86.630589502179376</v>
      </c>
      <c r="BJ411" s="1843">
        <f t="shared" si="188"/>
        <v>89.282993377900254</v>
      </c>
      <c r="BK411" s="1843">
        <f t="shared" si="187"/>
        <v>92.016606978273472</v>
      </c>
      <c r="BL411" s="1843">
        <f t="shared" si="187"/>
        <v>94.833916734358155</v>
      </c>
      <c r="BM411" s="1843">
        <f t="shared" si="187"/>
        <v>80.715717956527357</v>
      </c>
      <c r="BO411" s="1739">
        <f t="shared" si="178"/>
        <v>2025</v>
      </c>
      <c r="BP411" s="1742">
        <f>_xlfn.IFNA(INDEX($AR411:$AX411,MATCH(BO411,$AR$2:$AX$2,0))*12/365*[11]核心假设及结论!$C$70*$H411,0)</f>
        <v>65520</v>
      </c>
      <c r="BR411" s="1739">
        <f t="shared" si="183"/>
        <v>2028</v>
      </c>
      <c r="BS411" s="1742">
        <f>_xlfn.IFNA(INDEX($AR411:$AX411,MATCH(BR411,$AR$2:$AX$2,0))*12/365*[11]核心假设及结论!$C$70*$H411,0)</f>
        <v>73003.607639412206</v>
      </c>
      <c r="BU411" s="1739">
        <f t="shared" si="184"/>
        <v>2031</v>
      </c>
      <c r="BV411" s="1742">
        <f>_xlfn.IFNA(INDEX($AR411:$AX411,MATCH(BU411,$AR$2:$AX$2,0))*12/365*[11]核心假设及结论!$C$70*$H411,0)</f>
        <v>79916.552432205295</v>
      </c>
      <c r="BX411" s="1739">
        <f t="shared" si="185"/>
        <v>2034</v>
      </c>
      <c r="BY411" s="1742">
        <f>_xlfn.IFNA(INDEX($AR411:$AX411,MATCH(BX411,$AR$2:$AX$2,0))*12/365*[11]核心假设及结论!$C$70*$H411,0)</f>
        <v>0</v>
      </c>
      <c r="CA411" s="1739">
        <f t="shared" si="186"/>
        <v>2037</v>
      </c>
      <c r="CB411" s="1742">
        <f>_xlfn.IFNA(INDEX($AR411:$AX411,MATCH(CA411,$AR$2:$AX$2,0))*12/365*[11]核心假设及结论!$C$70*$H411,0)</f>
        <v>0</v>
      </c>
    </row>
    <row r="412" spans="1:80" ht="30" customHeight="1">
      <c r="A412" s="1763" t="s">
        <v>1687</v>
      </c>
      <c r="B412" s="1757" t="s">
        <v>2520</v>
      </c>
      <c r="C412" s="1764" t="s">
        <v>2521</v>
      </c>
      <c r="D412" s="1764" t="s">
        <v>1698</v>
      </c>
      <c r="E412" s="1764" t="s">
        <v>1698</v>
      </c>
      <c r="F412" s="1765"/>
      <c r="G412" s="1760" t="s">
        <v>1661</v>
      </c>
      <c r="H412" s="1761">
        <v>52</v>
      </c>
      <c r="I412" s="1763" t="s">
        <v>2356</v>
      </c>
      <c r="J412" s="1773">
        <v>45500</v>
      </c>
      <c r="K412" s="1773">
        <v>46229</v>
      </c>
      <c r="L412" s="1764">
        <f t="shared" si="168"/>
        <v>24</v>
      </c>
      <c r="M412" s="1774">
        <f t="shared" si="179"/>
        <v>58071</v>
      </c>
      <c r="N412" s="1775">
        <f t="shared" si="180"/>
        <v>1003.75</v>
      </c>
      <c r="O412" s="1777">
        <v>52195</v>
      </c>
      <c r="P412" s="1763">
        <v>0.16</v>
      </c>
      <c r="Q412" s="1783">
        <f t="shared" si="169"/>
        <v>95</v>
      </c>
      <c r="R412" s="1763">
        <v>4940</v>
      </c>
      <c r="S412" s="1777">
        <f t="shared" si="170"/>
        <v>18</v>
      </c>
      <c r="T412" s="1763">
        <v>936</v>
      </c>
      <c r="U412" s="1763"/>
      <c r="V412" s="1785">
        <v>231553.79416666701</v>
      </c>
      <c r="W412" s="1785">
        <f t="shared" si="171"/>
        <v>4452.9575801282117</v>
      </c>
      <c r="X412" s="1786">
        <f t="shared" si="191"/>
        <v>0.24674611878255626</v>
      </c>
      <c r="Y412" s="1789">
        <f>VLOOKUP(E412,[11]核心假设及结论!$C$25:$E$45,3,0)</f>
        <v>0.2</v>
      </c>
      <c r="Z412" s="1790">
        <f t="shared" si="190"/>
        <v>52195</v>
      </c>
      <c r="AA412" s="1790">
        <f t="shared" si="190"/>
        <v>53760.719999999994</v>
      </c>
      <c r="AB412" s="1790">
        <f t="shared" si="190"/>
        <v>0</v>
      </c>
      <c r="AC412" s="1790">
        <f t="shared" si="190"/>
        <v>0</v>
      </c>
      <c r="AD412" s="1790">
        <f t="shared" si="190"/>
        <v>0</v>
      </c>
      <c r="AE412" s="1790">
        <f t="shared" si="190"/>
        <v>0</v>
      </c>
      <c r="AF412" s="1790">
        <f t="shared" si="190"/>
        <v>0</v>
      </c>
      <c r="AG412" s="1794">
        <v>1003.75</v>
      </c>
      <c r="AH412" s="1794">
        <v>1033.8599999999999</v>
      </c>
      <c r="AI412" s="1794">
        <v>0</v>
      </c>
      <c r="AJ412" s="1794">
        <v>0</v>
      </c>
      <c r="AK412" s="1794">
        <v>0</v>
      </c>
      <c r="AL412" s="1794">
        <v>0</v>
      </c>
      <c r="AM412" s="1794">
        <v>0</v>
      </c>
      <c r="AN412" s="1764"/>
      <c r="AO412" s="1764"/>
      <c r="AP412" s="1808">
        <f t="shared" si="181"/>
        <v>1.2337305939127812</v>
      </c>
      <c r="AQ412" s="1812">
        <f>IF(AP412&gt;[11]核心假设及结论!$B$62,[11]核心假设及结论!$D$62,IF(AP412&lt;=[11]核心假设及结论!$B$61,[11]核心假设及结论!$D$60,[11]核心假设及结论!$D$61))</f>
        <v>1.0489999999999999</v>
      </c>
      <c r="AR412" s="1809">
        <f t="shared" si="182"/>
        <v>1003.75</v>
      </c>
      <c r="AS412" s="1809">
        <f>AH412*(AS$2&lt;=YEAR($K412))+AR412*$AQ412*(AS$2=YEAR($K412)+1)+INDEX([11]核心假设及结论!$E$17:$E$21,MATCH($D412,[11]核心假设及结论!$B$17:$B$21,0))*(AS$2&gt;YEAR($K412)+1)*AR412</f>
        <v>1033.8599999999999</v>
      </c>
      <c r="AT412" s="1811">
        <f>AI412*(AT$2&lt;=YEAR($K412))+AS412*$AQ412*(AT$2=YEAR($K412)+1)+INDEX([11]核心假设及结论!$E$17:$E$21,MATCH($D412,[11]核心假设及结论!$B$17:$B$21,0))*(AT$2&gt;YEAR($K412)+1)*AS412</f>
        <v>1084.5191399999999</v>
      </c>
      <c r="AU412" s="1809">
        <f>AJ412*(AU$2&lt;=YEAR($K412))+AT412*$AQ412*(AU$2=YEAR($K412)+1)+INDEX([11]核心假设及结论!$E$17:$E$21,MATCH($D412,[11]核心假设及结论!$B$17:$B$21,0))*(AU$2&gt;YEAR($K412)+1)*AT412</f>
        <v>1117.7243021345266</v>
      </c>
      <c r="AV412" s="1809">
        <f>AK412*(AV$2&lt;=YEAR($K412))+AU412*$AQ412*(AV$2=YEAR($K412)+1)+INDEX([11]核心假设及结论!$E$17:$E$21,MATCH($D412,[11]核心假设及结论!$B$17:$B$21,0))*(AV$2&gt;YEAR($K412)+1)*AU412</f>
        <v>1151.9461201783074</v>
      </c>
      <c r="AW412" s="1809">
        <f>AL412*(AW$2&lt;=YEAR($K412))+AV412*$AQ412*(AW$2=YEAR($K412)+1)+INDEX([11]核心假设及结论!$E$17:$E$21,MATCH($D412,[11]核心假设及结论!$B$17:$B$21,0))*(AW$2&gt;YEAR($K412)+1)*AV412</f>
        <v>1187.2157214974318</v>
      </c>
      <c r="AX412" s="1809">
        <f>AM412*(AX$2&lt;=YEAR($K412))+AW412*$AQ412*(AX$2=YEAR($K412)+1)+INDEX([11]核心假设及结论!$E$17:$E$21,MATCH($D412,[11]核心假设及结论!$B$17:$B$21,0))*(AX$2&gt;YEAR($K412)+1)*AW412</f>
        <v>1223.5651864971749</v>
      </c>
      <c r="AZ412" s="1746">
        <f t="shared" si="172"/>
        <v>46229</v>
      </c>
      <c r="BA412" s="1817">
        <f t="shared" si="173"/>
        <v>45658</v>
      </c>
      <c r="BB412" s="1817">
        <f t="shared" si="174"/>
        <v>45864</v>
      </c>
      <c r="BC412" s="1841">
        <f t="shared" si="175"/>
        <v>46022</v>
      </c>
      <c r="BD412" s="1842">
        <f t="shared" si="176"/>
        <v>207</v>
      </c>
      <c r="BE412" s="1842">
        <f t="shared" si="177"/>
        <v>158</v>
      </c>
      <c r="BG412" s="1843">
        <f t="shared" si="192"/>
        <v>63.447316471232867</v>
      </c>
      <c r="BH412" s="1843">
        <f t="shared" si="188"/>
        <v>65.881243707090405</v>
      </c>
      <c r="BI412" s="1843">
        <f t="shared" si="188"/>
        <v>68.570915800429376</v>
      </c>
      <c r="BJ412" s="1843">
        <f t="shared" si="188"/>
        <v>70.670379325680059</v>
      </c>
      <c r="BK412" s="1843">
        <f t="shared" si="187"/>
        <v>72.834122976730512</v>
      </c>
      <c r="BL412" s="1843">
        <f t="shared" si="187"/>
        <v>75.064114844249232</v>
      </c>
      <c r="BM412" s="1843">
        <f t="shared" si="187"/>
        <v>43.300128221771793</v>
      </c>
      <c r="BO412" s="1739">
        <f t="shared" si="178"/>
        <v>2026</v>
      </c>
      <c r="BP412" s="1742">
        <f>_xlfn.IFNA(INDEX($AR412:$AX412,MATCH(BO412,$AR$2:$AX$2,0))*12/365*[11]核心假设及结论!$C$70*$H412,0)</f>
        <v>53024.271780821917</v>
      </c>
      <c r="BR412" s="1739">
        <f t="shared" si="183"/>
        <v>2028</v>
      </c>
      <c r="BS412" s="1742">
        <f>_xlfn.IFNA(INDEX($AR412:$AX412,MATCH(BR412,$AR$2:$AX$2,0))*12/365*[11]核心假设及结论!$C$70*$H412,0)</f>
        <v>57325.476536872156</v>
      </c>
      <c r="BU412" s="1739">
        <f t="shared" si="184"/>
        <v>2030</v>
      </c>
      <c r="BV412" s="1742">
        <f>_xlfn.IFNA(INDEX($AR412:$AX412,MATCH(BU412,$AR$2:$AX$2,0))*12/365*[11]核心假设及结论!$C$70*$H412,0)</f>
        <v>60889.529606662807</v>
      </c>
      <c r="BX412" s="1739">
        <f t="shared" si="185"/>
        <v>2032</v>
      </c>
      <c r="BY412" s="1742">
        <f>_xlfn.IFNA(INDEX($AR412:$AX412,MATCH(BX412,$AR$2:$AX$2,0))*12/365*[11]核心假设及结论!$C$70*$H412,0)</f>
        <v>0</v>
      </c>
      <c r="CA412" s="1739">
        <f t="shared" si="186"/>
        <v>2034</v>
      </c>
      <c r="CB412" s="1742">
        <f>_xlfn.IFNA(INDEX($AR412:$AX412,MATCH(CA412,$AR$2:$AX$2,0))*12/365*[11]核心假设及结论!$C$70*$H412,0)</f>
        <v>0</v>
      </c>
    </row>
    <row r="413" spans="1:80" ht="30" customHeight="1">
      <c r="A413" s="1763" t="s">
        <v>1687</v>
      </c>
      <c r="B413" s="1757" t="s">
        <v>2522</v>
      </c>
      <c r="C413" s="1764" t="s">
        <v>2523</v>
      </c>
      <c r="D413" s="1764" t="s">
        <v>1685</v>
      </c>
      <c r="E413" s="1764" t="s">
        <v>1721</v>
      </c>
      <c r="F413" s="1765"/>
      <c r="G413" s="1760" t="s">
        <v>1661</v>
      </c>
      <c r="H413" s="1761">
        <v>52</v>
      </c>
      <c r="I413" s="1763" t="s">
        <v>2356</v>
      </c>
      <c r="J413" s="1773">
        <v>45026</v>
      </c>
      <c r="K413" s="1773">
        <v>46121</v>
      </c>
      <c r="L413" s="1764">
        <f t="shared" si="168"/>
        <v>36</v>
      </c>
      <c r="M413" s="1774">
        <f t="shared" si="179"/>
        <v>49052.12</v>
      </c>
      <c r="N413" s="1775">
        <f t="shared" si="180"/>
        <v>830.31000000000006</v>
      </c>
      <c r="O413" s="1777">
        <v>43176.12</v>
      </c>
      <c r="P413" s="1763">
        <v>0.15</v>
      </c>
      <c r="Q413" s="1783">
        <f t="shared" si="169"/>
        <v>95</v>
      </c>
      <c r="R413" s="1763">
        <v>4940</v>
      </c>
      <c r="S413" s="1777">
        <f t="shared" si="170"/>
        <v>18</v>
      </c>
      <c r="T413" s="1763">
        <v>936</v>
      </c>
      <c r="U413" s="1763"/>
      <c r="V413" s="1785">
        <v>400079.96666666702</v>
      </c>
      <c r="W413" s="1785">
        <f t="shared" si="171"/>
        <v>7693.8455128205196</v>
      </c>
      <c r="X413" s="1786">
        <f t="shared" si="191"/>
        <v>0.1202662567708338</v>
      </c>
      <c r="Y413" s="1789">
        <f>VLOOKUP(E413,[11]核心假设及结论!$C$25:$E$45,3,0)</f>
        <v>0.25</v>
      </c>
      <c r="Z413" s="1790">
        <f t="shared" si="190"/>
        <v>43176.119999999995</v>
      </c>
      <c r="AA413" s="1790">
        <f t="shared" si="190"/>
        <v>45335.16</v>
      </c>
      <c r="AB413" s="1790">
        <f t="shared" si="190"/>
        <v>0</v>
      </c>
      <c r="AC413" s="1790">
        <f t="shared" si="190"/>
        <v>0</v>
      </c>
      <c r="AD413" s="1790">
        <f t="shared" si="190"/>
        <v>0</v>
      </c>
      <c r="AE413" s="1790">
        <f t="shared" si="190"/>
        <v>0</v>
      </c>
      <c r="AF413" s="1790">
        <f t="shared" si="190"/>
        <v>0</v>
      </c>
      <c r="AG413" s="1794">
        <v>830.31</v>
      </c>
      <c r="AH413" s="1794">
        <v>871.83</v>
      </c>
      <c r="AI413" s="1794">
        <v>0</v>
      </c>
      <c r="AJ413" s="1794">
        <v>0</v>
      </c>
      <c r="AK413" s="1794">
        <v>0</v>
      </c>
      <c r="AL413" s="1794">
        <v>0</v>
      </c>
      <c r="AM413" s="1794">
        <v>0</v>
      </c>
      <c r="AN413" s="1764"/>
      <c r="AO413" s="1764"/>
      <c r="AP413" s="1808">
        <f t="shared" si="181"/>
        <v>0.48106502708333521</v>
      </c>
      <c r="AQ413" s="1810">
        <f>IF(AP413&gt;[11]核心假设及结论!$B$59,[11]核心假设及结论!$D$59,IF(AP413&lt;=[11]核心假设及结论!$B$58,[11]核心假设及结论!$D$57,[11]核心假设及结论!$D$58))</f>
        <v>1.0342640124442799</v>
      </c>
      <c r="AR413" s="1809">
        <f t="shared" si="182"/>
        <v>830.31</v>
      </c>
      <c r="AS413" s="1809">
        <f>AH413*(AS$2&lt;=YEAR($K413))+AR413*$AQ413*(AS$2=YEAR($K413)+1)+INDEX([11]核心假设及结论!$E$17:$E$21,MATCH($D413,[11]核心假设及结论!$B$17:$B$21,0))*(AS$2&gt;YEAR($K413)+1)*AR413</f>
        <v>871.83</v>
      </c>
      <c r="AT413" s="1811">
        <f>AI413*(AT$2&lt;=YEAR($K413))+AS413*$AQ413*(AT$2=YEAR($K413)+1)+INDEX([11]核心假设及结论!$E$17:$E$21,MATCH($D413,[11]核心假设及结论!$B$17:$B$21,0))*(AT$2&gt;YEAR($K413)+1)*AS413</f>
        <v>901.70239396929662</v>
      </c>
      <c r="AU413" s="1809">
        <f>AJ413*(AU$2&lt;=YEAR($K413))+AT413*$AQ413*(AU$2=YEAR($K413)+1)+INDEX([11]核心假设及结论!$E$17:$E$21,MATCH($D413,[11]核心假设及结论!$B$17:$B$21,0))*(AU$2&gt;YEAR($K413)+1)*AT413</f>
        <v>926.11552732601615</v>
      </c>
      <c r="AV413" s="1809">
        <f>AK413*(AV$2&lt;=YEAR($K413))+AU413*$AQ413*(AV$2=YEAR($K413)+1)+INDEX([11]核心假设及结论!$E$17:$E$21,MATCH($D413,[11]核心假设及结论!$B$17:$B$21,0))*(AV$2&gt;YEAR($K413)+1)*AU413</f>
        <v>951.18963384226049</v>
      </c>
      <c r="AW413" s="1809">
        <f>AL413*(AW$2&lt;=YEAR($K413))+AV413*$AQ413*(AW$2=YEAR($K413)+1)+INDEX([11]核心假设及结论!$E$17:$E$21,MATCH($D413,[11]核心假设及结论!$B$17:$B$21,0))*(AW$2&gt;YEAR($K413)+1)*AV413</f>
        <v>976.94260902989322</v>
      </c>
      <c r="AX413" s="1809">
        <f>AM413*(AX$2&lt;=YEAR($K413))+AW413*$AQ413*(AX$2=YEAR($K413)+1)+INDEX([11]核心假设及结论!$E$17:$E$21,MATCH($D413,[11]核心假设及结论!$B$17:$B$21,0))*(AX$2&gt;YEAR($K413)+1)*AW413</f>
        <v>1003.3928329126529</v>
      </c>
      <c r="AZ413" s="1746">
        <f t="shared" si="172"/>
        <v>46121</v>
      </c>
      <c r="BA413" s="1817">
        <f t="shared" si="173"/>
        <v>45658</v>
      </c>
      <c r="BB413" s="1817">
        <f t="shared" si="174"/>
        <v>45756</v>
      </c>
      <c r="BC413" s="1841">
        <f t="shared" si="175"/>
        <v>46022</v>
      </c>
      <c r="BD413" s="1842">
        <f t="shared" si="176"/>
        <v>99</v>
      </c>
      <c r="BE413" s="1842">
        <f t="shared" si="177"/>
        <v>266</v>
      </c>
      <c r="BG413" s="1843">
        <f t="shared" si="192"/>
        <v>53.699468843835618</v>
      </c>
      <c r="BH413" s="1843">
        <f t="shared" si="188"/>
        <v>55.760641161808138</v>
      </c>
      <c r="BI413" s="1843">
        <f t="shared" si="188"/>
        <v>57.376418295213362</v>
      </c>
      <c r="BJ413" s="1843">
        <f t="shared" si="188"/>
        <v>58.929855616374176</v>
      </c>
      <c r="BK413" s="1843">
        <f t="shared" si="187"/>
        <v>60.525351462317062</v>
      </c>
      <c r="BL413" s="1843">
        <f t="shared" si="187"/>
        <v>62.164044546193004</v>
      </c>
      <c r="BM413" s="1843">
        <f t="shared" si="187"/>
        <v>16.982354971510151</v>
      </c>
      <c r="BO413" s="1739">
        <f t="shared" si="178"/>
        <v>2026</v>
      </c>
      <c r="BP413" s="1742">
        <f>_xlfn.IFNA(INDEX($AR413:$AX413,MATCH(BO413,$AR$2:$AX$2,0))*12/365*[11]核心假设及结论!$C$70*$H413,0)</f>
        <v>44714.130410958911</v>
      </c>
      <c r="BR413" s="1739">
        <f t="shared" si="183"/>
        <v>2029</v>
      </c>
      <c r="BS413" s="1742">
        <f>_xlfn.IFNA(INDEX($AR413:$AX413,MATCH(BR413,$AR$2:$AX$2,0))*12/365*[11]核心假设及结论!$C$70*$H413,0)</f>
        <v>48784.301220622241</v>
      </c>
      <c r="BU413" s="1739">
        <f t="shared" si="184"/>
        <v>2032</v>
      </c>
      <c r="BV413" s="1742">
        <f>_xlfn.IFNA(INDEX($AR413:$AX413,MATCH(BU413,$AR$2:$AX$2,0))*12/365*[11]核心假设及结论!$C$70*$H413,0)</f>
        <v>0</v>
      </c>
      <c r="BX413" s="1739">
        <f t="shared" si="185"/>
        <v>2035</v>
      </c>
      <c r="BY413" s="1742">
        <f>_xlfn.IFNA(INDEX($AR413:$AX413,MATCH(BX413,$AR$2:$AX$2,0))*12/365*[11]核心假设及结论!$C$70*$H413,0)</f>
        <v>0</v>
      </c>
      <c r="CA413" s="1739">
        <f t="shared" si="186"/>
        <v>2038</v>
      </c>
      <c r="CB413" s="1742">
        <f>_xlfn.IFNA(INDEX($AR413:$AX413,MATCH(CA413,$AR$2:$AX$2,0))*12/365*[11]核心假设及结论!$C$70*$H413,0)</f>
        <v>0</v>
      </c>
    </row>
    <row r="414" spans="1:80" ht="30" customHeight="1">
      <c r="A414" s="1763" t="s">
        <v>1687</v>
      </c>
      <c r="B414" s="1757" t="s">
        <v>2524</v>
      </c>
      <c r="C414" s="1764" t="s">
        <v>2525</v>
      </c>
      <c r="D414" s="1764" t="s">
        <v>1698</v>
      </c>
      <c r="E414" s="1764" t="s">
        <v>1698</v>
      </c>
      <c r="F414" s="1765"/>
      <c r="G414" s="1760" t="s">
        <v>1661</v>
      </c>
      <c r="H414" s="1761">
        <v>52</v>
      </c>
      <c r="I414" s="1763" t="s">
        <v>2356</v>
      </c>
      <c r="J414" s="1773">
        <v>45252</v>
      </c>
      <c r="K414" s="1773">
        <v>46347</v>
      </c>
      <c r="L414" s="1764">
        <f t="shared" si="168"/>
        <v>36</v>
      </c>
      <c r="M414" s="1774">
        <f t="shared" si="179"/>
        <v>32504.16</v>
      </c>
      <c r="N414" s="1775">
        <f t="shared" si="180"/>
        <v>517.08000000000004</v>
      </c>
      <c r="O414" s="1777">
        <v>26888.16</v>
      </c>
      <c r="P414" s="1763">
        <v>0.12</v>
      </c>
      <c r="Q414" s="1783">
        <f t="shared" si="169"/>
        <v>90</v>
      </c>
      <c r="R414" s="1763">
        <v>4680</v>
      </c>
      <c r="S414" s="1777">
        <f t="shared" si="170"/>
        <v>18</v>
      </c>
      <c r="T414" s="1763">
        <v>936</v>
      </c>
      <c r="U414" s="1763"/>
      <c r="V414" s="1785">
        <v>443023.79666666698</v>
      </c>
      <c r="W414" s="1785">
        <f t="shared" si="171"/>
        <v>8519.6883974359043</v>
      </c>
      <c r="X414" s="1786">
        <f t="shared" si="191"/>
        <v>7.1256127182152296E-2</v>
      </c>
      <c r="Y414" s="1789">
        <f>VLOOKUP(E414,[11]核心假设及结论!$C$25:$E$45,3,0)</f>
        <v>0.2</v>
      </c>
      <c r="Z414" s="1790">
        <f t="shared" si="190"/>
        <v>28470</v>
      </c>
      <c r="AA414" s="1790">
        <f t="shared" si="190"/>
        <v>30051.839999999997</v>
      </c>
      <c r="AB414" s="1790">
        <f t="shared" si="190"/>
        <v>0</v>
      </c>
      <c r="AC414" s="1790">
        <f t="shared" si="190"/>
        <v>0</v>
      </c>
      <c r="AD414" s="1790">
        <f t="shared" si="190"/>
        <v>0</v>
      </c>
      <c r="AE414" s="1790">
        <f t="shared" si="190"/>
        <v>0</v>
      </c>
      <c r="AF414" s="1790">
        <f t="shared" si="190"/>
        <v>0</v>
      </c>
      <c r="AG414" s="1794">
        <v>547.5</v>
      </c>
      <c r="AH414" s="1794">
        <v>577.91999999999996</v>
      </c>
      <c r="AI414" s="1794">
        <v>0</v>
      </c>
      <c r="AJ414" s="1794">
        <v>0</v>
      </c>
      <c r="AK414" s="1794">
        <v>0</v>
      </c>
      <c r="AL414" s="1794">
        <v>0</v>
      </c>
      <c r="AM414" s="1794">
        <v>0</v>
      </c>
      <c r="AN414" s="1764"/>
      <c r="AO414" s="1764"/>
      <c r="AP414" s="1808">
        <f t="shared" si="181"/>
        <v>0.35628063591076148</v>
      </c>
      <c r="AQ414" s="1812">
        <f>IF(AP414&gt;[11]核心假设及结论!$B$62,[11]核心假设及结论!$D$62,IF(AP414&lt;=[11]核心假设及结论!$B$61,[11]核心假设及结论!$D$60,[11]核心假设及结论!$D$61))</f>
        <v>1.0811176582269599</v>
      </c>
      <c r="AR414" s="1809">
        <f t="shared" si="182"/>
        <v>547.5</v>
      </c>
      <c r="AS414" s="1809">
        <f>AH414*(AS$2&lt;=YEAR($K414))+AR414*$AQ414*(AS$2=YEAR($K414)+1)+INDEX([11]核心假设及结论!$E$17:$E$21,MATCH($D414,[11]核心假设及结论!$B$17:$B$21,0))*(AS$2&gt;YEAR($K414)+1)*AR414</f>
        <v>577.91999999999996</v>
      </c>
      <c r="AT414" s="1811">
        <f>AI414*(AT$2&lt;=YEAR($K414))+AS414*$AQ414*(AT$2=YEAR($K414)+1)+INDEX([11]核心假设及结论!$E$17:$E$21,MATCH($D414,[11]核心假设及结论!$B$17:$B$21,0))*(AT$2&gt;YEAR($K414)+1)*AS414</f>
        <v>624.7995170425246</v>
      </c>
      <c r="AU414" s="1809">
        <f>AJ414*(AU$2&lt;=YEAR($K414))+AT414*$AQ414*(AU$2=YEAR($K414)+1)+INDEX([11]核心假设及结论!$E$17:$E$21,MATCH($D414,[11]核心假设及结论!$B$17:$B$21,0))*(AU$2&gt;YEAR($K414)+1)*AT414</f>
        <v>643.9292571271219</v>
      </c>
      <c r="AV414" s="1809">
        <f>AK414*(AV$2&lt;=YEAR($K414))+AU414*$AQ414*(AV$2=YEAR($K414)+1)+INDEX([11]核心假设及结论!$E$17:$E$21,MATCH($D414,[11]核心假设及结论!$B$17:$B$21,0))*(AV$2&gt;YEAR($K414)+1)*AU414</f>
        <v>663.64470021839963</v>
      </c>
      <c r="AW414" s="1809">
        <f>AL414*(AW$2&lt;=YEAR($K414))+AV414*$AQ414*(AW$2=YEAR($K414)+1)+INDEX([11]核心假设及结论!$E$17:$E$21,MATCH($D414,[11]核心假设及结论!$B$17:$B$21,0))*(AW$2&gt;YEAR($K414)+1)*AV414</f>
        <v>683.96377902273628</v>
      </c>
      <c r="AX414" s="1809">
        <f>AM414*(AX$2&lt;=YEAR($K414))+AW414*$AQ414*(AX$2=YEAR($K414)+1)+INDEX([11]核心假设及结论!$E$17:$E$21,MATCH($D414,[11]核心假设及结论!$B$17:$B$21,0))*(AX$2&gt;YEAR($K414)+1)*AW414</f>
        <v>704.90497529945071</v>
      </c>
      <c r="AZ414" s="1746">
        <f t="shared" si="172"/>
        <v>46347</v>
      </c>
      <c r="BA414" s="1817">
        <f t="shared" si="173"/>
        <v>45658</v>
      </c>
      <c r="BB414" s="1817">
        <f t="shared" si="174"/>
        <v>45982</v>
      </c>
      <c r="BC414" s="1841">
        <f t="shared" si="175"/>
        <v>46022</v>
      </c>
      <c r="BD414" s="1842">
        <f t="shared" si="176"/>
        <v>325</v>
      </c>
      <c r="BE414" s="1842">
        <f t="shared" si="177"/>
        <v>40</v>
      </c>
      <c r="BG414" s="1843">
        <f t="shared" si="192"/>
        <v>34.372022794520547</v>
      </c>
      <c r="BH414" s="1843">
        <f t="shared" si="188"/>
        <v>36.382786834351066</v>
      </c>
      <c r="BI414" s="1843">
        <f t="shared" si="188"/>
        <v>39.118305839484094</v>
      </c>
      <c r="BJ414" s="1843">
        <f t="shared" si="188"/>
        <v>40.316006866529193</v>
      </c>
      <c r="BK414" s="1843">
        <f t="shared" si="187"/>
        <v>41.550378391424374</v>
      </c>
      <c r="BL414" s="1843">
        <f t="shared" si="187"/>
        <v>42.822543169667178</v>
      </c>
      <c r="BM414" s="1843">
        <f t="shared" si="187"/>
        <v>39.165679175542081</v>
      </c>
      <c r="BO414" s="1739">
        <f t="shared" si="178"/>
        <v>2026</v>
      </c>
      <c r="BP414" s="1742">
        <f>_xlfn.IFNA(INDEX($AR414:$AX414,MATCH(BO414,$AR$2:$AX$2,0))*12/365*[11]核心假设及结论!$C$70*$H414,0)</f>
        <v>29640.170958904106</v>
      </c>
      <c r="BR414" s="1739">
        <f t="shared" si="183"/>
        <v>2029</v>
      </c>
      <c r="BS414" s="1742">
        <f>_xlfn.IFNA(INDEX($AR414:$AX414,MATCH(BR414,$AR$2:$AX$2,0))*12/365*[11]核心假设及结论!$C$70*$H414,0)</f>
        <v>34036.791200242304</v>
      </c>
      <c r="BU414" s="1739">
        <f t="shared" si="184"/>
        <v>2032</v>
      </c>
      <c r="BV414" s="1742">
        <f>_xlfn.IFNA(INDEX($AR414:$AX414,MATCH(BU414,$AR$2:$AX$2,0))*12/365*[11]核心假设及结论!$C$70*$H414,0)</f>
        <v>0</v>
      </c>
      <c r="BX414" s="1739">
        <f t="shared" si="185"/>
        <v>2035</v>
      </c>
      <c r="BY414" s="1742">
        <f>_xlfn.IFNA(INDEX($AR414:$AX414,MATCH(BX414,$AR$2:$AX$2,0))*12/365*[11]核心假设及结论!$C$70*$H414,0)</f>
        <v>0</v>
      </c>
      <c r="CA414" s="1739">
        <f t="shared" si="186"/>
        <v>2038</v>
      </c>
      <c r="CB414" s="1742">
        <f>_xlfn.IFNA(INDEX($AR414:$AX414,MATCH(CA414,$AR$2:$AX$2,0))*12/365*[11]核心假设及结论!$C$70*$H414,0)</f>
        <v>0</v>
      </c>
    </row>
    <row r="415" spans="1:80" ht="30" customHeight="1">
      <c r="A415" s="1763" t="s">
        <v>1687</v>
      </c>
      <c r="B415" s="1757" t="s">
        <v>2526</v>
      </c>
      <c r="C415" s="1764" t="s">
        <v>2527</v>
      </c>
      <c r="D415" s="1764" t="s">
        <v>1685</v>
      </c>
      <c r="E415" s="1764" t="s">
        <v>1871</v>
      </c>
      <c r="F415" s="1765"/>
      <c r="G415" s="1760" t="s">
        <v>1661</v>
      </c>
      <c r="H415" s="1761">
        <v>51</v>
      </c>
      <c r="I415" s="1763" t="s">
        <v>2356</v>
      </c>
      <c r="J415" s="1773">
        <v>44833</v>
      </c>
      <c r="K415" s="1773">
        <v>46658</v>
      </c>
      <c r="L415" s="1764">
        <f t="shared" si="168"/>
        <v>60</v>
      </c>
      <c r="M415" s="1774">
        <f t="shared" si="179"/>
        <v>58503.63</v>
      </c>
      <c r="N415" s="1775">
        <f t="shared" si="180"/>
        <v>1034.1299999999999</v>
      </c>
      <c r="O415" s="1777">
        <v>52740.63</v>
      </c>
      <c r="P415" s="1763">
        <v>0.17</v>
      </c>
      <c r="Q415" s="1783">
        <f t="shared" si="169"/>
        <v>95</v>
      </c>
      <c r="R415" s="1763">
        <v>4845</v>
      </c>
      <c r="S415" s="1777">
        <f t="shared" si="170"/>
        <v>18</v>
      </c>
      <c r="T415" s="1763">
        <v>918</v>
      </c>
      <c r="U415" s="1763"/>
      <c r="V415" s="1785">
        <v>192489.808333333</v>
      </c>
      <c r="W415" s="1785">
        <f t="shared" si="171"/>
        <v>3774.3099673202551</v>
      </c>
      <c r="X415" s="1786">
        <f t="shared" si="191"/>
        <v>0.29916196861851219</v>
      </c>
      <c r="Y415" s="1789">
        <f>VLOOKUP(E415,[11]核心假设及结论!$C$25:$E$45,3,0)</f>
        <v>0.2</v>
      </c>
      <c r="Z415" s="1790">
        <f t="shared" si="190"/>
        <v>57396.420000000006</v>
      </c>
      <c r="AA415" s="1790">
        <f t="shared" si="190"/>
        <v>58947.329999999994</v>
      </c>
      <c r="AB415" s="1790">
        <f t="shared" si="190"/>
        <v>60498.75</v>
      </c>
      <c r="AC415" s="1790">
        <f t="shared" si="190"/>
        <v>0</v>
      </c>
      <c r="AD415" s="1790">
        <f t="shared" si="190"/>
        <v>0</v>
      </c>
      <c r="AE415" s="1790">
        <f t="shared" si="190"/>
        <v>0</v>
      </c>
      <c r="AF415" s="1790">
        <f t="shared" si="190"/>
        <v>0</v>
      </c>
      <c r="AG415" s="1794">
        <v>1125.42</v>
      </c>
      <c r="AH415" s="1794">
        <v>1155.83</v>
      </c>
      <c r="AI415" s="1794">
        <v>1186.25</v>
      </c>
      <c r="AJ415" s="1794">
        <v>0</v>
      </c>
      <c r="AK415" s="1794">
        <v>0</v>
      </c>
      <c r="AL415" s="1794">
        <v>0</v>
      </c>
      <c r="AM415" s="1794">
        <v>0</v>
      </c>
      <c r="AN415" s="1764"/>
      <c r="AO415" s="1764"/>
      <c r="AP415" s="1808">
        <f t="shared" si="181"/>
        <v>1.4958098430925608</v>
      </c>
      <c r="AQ415" s="1810">
        <f>IF(AP415&gt;[11]核心假设及结论!$B$59,[11]核心假设及结论!$D$59,IF(AP415&lt;=[11]核心假设及结论!$B$58,[11]核心假设及结论!$D$57,[11]核心假设及结论!$D$58))</f>
        <v>1.0069999999999999</v>
      </c>
      <c r="AR415" s="1809">
        <f t="shared" si="182"/>
        <v>1125.42</v>
      </c>
      <c r="AS415" s="1809">
        <f>AH415*(AS$2&lt;=YEAR($K415))+AR415*$AQ415*(AS$2=YEAR($K415)+1)+INDEX([11]核心假设及结论!$E$17:$E$21,MATCH($D415,[11]核心假设及结论!$B$17:$B$21,0))*(AS$2&gt;YEAR($K415)+1)*AR415</f>
        <v>1155.83</v>
      </c>
      <c r="AT415" s="1809">
        <f>AI415*(AT$2&lt;=YEAR($K415))+AS415*$AQ415*(AT$2=YEAR($K415)+1)+INDEX([11]核心假设及结论!$E$17:$E$21,MATCH($D415,[11]核心假设及结论!$B$17:$B$21,0))*(AT$2&gt;YEAR($K415)+1)*AS415</f>
        <v>1186.25</v>
      </c>
      <c r="AU415" s="1811">
        <f>AJ415*(AU$2&lt;=YEAR($K415))+AT415*$AQ415*(AU$2=YEAR($K415)+1)+INDEX([11]核心假设及结论!$E$17:$E$21,MATCH($D415,[11]核心假设及结论!$B$17:$B$21,0))*(AU$2&gt;YEAR($K415)+1)*AT415</f>
        <v>1194.5537499999998</v>
      </c>
      <c r="AV415" s="1809">
        <f>AK415*(AV$2&lt;=YEAR($K415))+AU415*$AQ415*(AV$2=YEAR($K415)+1)+INDEX([11]核心假设及结论!$E$17:$E$21,MATCH($D415,[11]核心假设及结论!$B$17:$B$21,0))*(AV$2&gt;YEAR($K415)+1)*AU415</f>
        <v>1226.8956847620277</v>
      </c>
      <c r="AW415" s="1809">
        <f>AL415*(AW$2&lt;=YEAR($K415))+AV415*$AQ415*(AW$2=YEAR($K415)+1)+INDEX([11]核心假设及结论!$E$17:$E$21,MATCH($D415,[11]核心假设及结论!$B$17:$B$21,0))*(AW$2&gt;YEAR($K415)+1)*AV415</f>
        <v>1260.1132609459266</v>
      </c>
      <c r="AX415" s="1809">
        <f>AM415*(AX$2&lt;=YEAR($K415))+AW415*$AQ415*(AX$2=YEAR($K415)+1)+INDEX([11]核心假设及结论!$E$17:$E$21,MATCH($D415,[11]核心假设及结论!$B$17:$B$21,0))*(AX$2&gt;YEAR($K415)+1)*AW415</f>
        <v>1294.2301860974985</v>
      </c>
      <c r="AZ415" s="1746">
        <f t="shared" si="172"/>
        <v>46658</v>
      </c>
      <c r="BA415" s="1817">
        <f t="shared" si="173"/>
        <v>45658</v>
      </c>
      <c r="BB415" s="1817">
        <f t="shared" si="174"/>
        <v>45928</v>
      </c>
      <c r="BC415" s="1841">
        <f t="shared" si="175"/>
        <v>46022</v>
      </c>
      <c r="BD415" s="1842">
        <f t="shared" si="176"/>
        <v>271</v>
      </c>
      <c r="BE415" s="1842">
        <f t="shared" si="177"/>
        <v>94</v>
      </c>
      <c r="BG415" s="1843">
        <f t="shared" si="192"/>
        <v>69.354998926027392</v>
      </c>
      <c r="BH415" s="1843">
        <f t="shared" si="188"/>
        <v>71.216248536986299</v>
      </c>
      <c r="BI415" s="1843">
        <f t="shared" si="188"/>
        <v>72.729376200000004</v>
      </c>
      <c r="BJ415" s="1843">
        <f t="shared" si="188"/>
        <v>73.61643383506572</v>
      </c>
      <c r="BK415" s="1843">
        <f t="shared" si="187"/>
        <v>75.609561310917556</v>
      </c>
      <c r="BL415" s="1843">
        <f t="shared" si="187"/>
        <v>77.656651698690609</v>
      </c>
      <c r="BM415" s="1843">
        <f t="shared" si="187"/>
        <v>58.808401321819822</v>
      </c>
      <c r="BO415" s="1739">
        <f t="shared" si="178"/>
        <v>2027</v>
      </c>
      <c r="BP415" s="1742">
        <f>_xlfn.IFNA(INDEX($AR415:$AX415,MATCH(BO415,$AR$2:$AX$2,0))*12/365*[11]核心假设及结论!$C$70*$H415,0)</f>
        <v>59670</v>
      </c>
      <c r="BR415" s="1739">
        <f t="shared" si="183"/>
        <v>2032</v>
      </c>
      <c r="BS415" s="1742">
        <f>_xlfn.IFNA(INDEX($AR415:$AX415,MATCH(BR415,$AR$2:$AX$2,0))*12/365*[11]核心假设及结论!$C$70*$H415,0)</f>
        <v>0</v>
      </c>
      <c r="BU415" s="1739">
        <f t="shared" si="184"/>
        <v>2037</v>
      </c>
      <c r="BV415" s="1742">
        <f>_xlfn.IFNA(INDEX($AR415:$AX415,MATCH(BU415,$AR$2:$AX$2,0))*12/365*[11]核心假设及结论!$C$70*$H415,0)</f>
        <v>0</v>
      </c>
      <c r="BX415" s="1739">
        <f t="shared" si="185"/>
        <v>2042</v>
      </c>
      <c r="BY415" s="1742">
        <f>_xlfn.IFNA(INDEX($AR415:$AX415,MATCH(BX415,$AR$2:$AX$2,0))*12/365*[11]核心假设及结论!$C$70*$H415,0)</f>
        <v>0</v>
      </c>
      <c r="CA415" s="1739">
        <f t="shared" si="186"/>
        <v>2047</v>
      </c>
      <c r="CB415" s="1742">
        <f>_xlfn.IFNA(INDEX($AR415:$AX415,MATCH(CA415,$AR$2:$AX$2,0))*12/365*[11]核心假设及结论!$C$70*$H415,0)</f>
        <v>0</v>
      </c>
    </row>
    <row r="416" spans="1:80" ht="30" customHeight="1">
      <c r="A416" s="1763" t="s">
        <v>1687</v>
      </c>
      <c r="B416" s="1757" t="s">
        <v>2528</v>
      </c>
      <c r="C416" s="1764" t="s">
        <v>2529</v>
      </c>
      <c r="D416" s="1764" t="s">
        <v>1685</v>
      </c>
      <c r="E416" s="1764" t="s">
        <v>1871</v>
      </c>
      <c r="F416" s="1765"/>
      <c r="G416" s="1760" t="s">
        <v>1661</v>
      </c>
      <c r="H416" s="1761">
        <v>51</v>
      </c>
      <c r="I416" s="1763" t="s">
        <v>2356</v>
      </c>
      <c r="J416" s="1773">
        <v>45243</v>
      </c>
      <c r="K416" s="1773">
        <v>45973</v>
      </c>
      <c r="L416" s="1764">
        <f t="shared" si="168"/>
        <v>24</v>
      </c>
      <c r="M416" s="1774">
        <f t="shared" si="179"/>
        <v>49198.17</v>
      </c>
      <c r="N416" s="1775">
        <f t="shared" si="180"/>
        <v>851.67</v>
      </c>
      <c r="O416" s="1777">
        <v>43435.17</v>
      </c>
      <c r="P416" s="1763">
        <v>0.18</v>
      </c>
      <c r="Q416" s="1783">
        <f t="shared" si="169"/>
        <v>95</v>
      </c>
      <c r="R416" s="1763">
        <v>4845</v>
      </c>
      <c r="S416" s="1777">
        <f t="shared" si="170"/>
        <v>18</v>
      </c>
      <c r="T416" s="1763">
        <v>918</v>
      </c>
      <c r="U416" s="1763"/>
      <c r="V416" s="1785">
        <v>177982.08333333299</v>
      </c>
      <c r="W416" s="1785">
        <f t="shared" si="171"/>
        <v>3489.8447712418233</v>
      </c>
      <c r="X416" s="1786">
        <f t="shared" si="191"/>
        <v>0.27126421432868997</v>
      </c>
      <c r="Y416" s="1789">
        <f>VLOOKUP(E416,[11]核心假设及结论!$C$25:$E$45,3,0)</f>
        <v>0.2</v>
      </c>
      <c r="Z416" s="1790">
        <f t="shared" si="190"/>
        <v>44210.879999999997</v>
      </c>
      <c r="AA416" s="1790">
        <f t="shared" si="190"/>
        <v>0</v>
      </c>
      <c r="AB416" s="1790">
        <f t="shared" si="190"/>
        <v>0</v>
      </c>
      <c r="AC416" s="1790">
        <f t="shared" si="190"/>
        <v>0</v>
      </c>
      <c r="AD416" s="1790">
        <f t="shared" si="190"/>
        <v>0</v>
      </c>
      <c r="AE416" s="1790">
        <f t="shared" si="190"/>
        <v>0</v>
      </c>
      <c r="AF416" s="1790">
        <f t="shared" si="190"/>
        <v>0</v>
      </c>
      <c r="AG416" s="1794">
        <v>866.88</v>
      </c>
      <c r="AH416" s="1794">
        <v>0</v>
      </c>
      <c r="AI416" s="1794">
        <v>0</v>
      </c>
      <c r="AJ416" s="1794">
        <v>0</v>
      </c>
      <c r="AK416" s="1794">
        <v>0</v>
      </c>
      <c r="AL416" s="1794">
        <v>0</v>
      </c>
      <c r="AM416" s="1794">
        <v>0</v>
      </c>
      <c r="AN416" s="1764"/>
      <c r="AO416" s="1764"/>
      <c r="AP416" s="1808">
        <f t="shared" si="181"/>
        <v>1.3563210716434497</v>
      </c>
      <c r="AQ416" s="1810">
        <f>IF(AP416&gt;[11]核心假设及结论!$B$59,[11]核心假设及结论!$D$59,IF(AP416&lt;=[11]核心假设及结论!$B$58,[11]核心假设及结论!$D$57,[11]核心假设及结论!$D$58))</f>
        <v>1.0069999999999999</v>
      </c>
      <c r="AR416" s="1809">
        <f t="shared" si="182"/>
        <v>866.88</v>
      </c>
      <c r="AS416" s="1811">
        <f>AH416*(AS$2&lt;=YEAR($K416))+AR416*$AQ416*(AS$2=YEAR($K416)+1)+INDEX([11]核心假设及结论!$E$17:$E$21,MATCH($D416,[11]核心假设及结论!$B$17:$B$21,0))*(AS$2&gt;YEAR($K416)+1)*AR416</f>
        <v>872.94815999999992</v>
      </c>
      <c r="AT416" s="1809">
        <f>AI416*(AT$2&lt;=YEAR($K416))+AS416*$AQ416*(AT$2=YEAR($K416)+1)+INDEX([11]核心假设及结论!$E$17:$E$21,MATCH($D416,[11]核心假设及结论!$B$17:$B$21,0))*(AT$2&gt;YEAR($K416)+1)*AS416</f>
        <v>896.58278710769787</v>
      </c>
      <c r="AU416" s="1809">
        <f>AJ416*(AU$2&lt;=YEAR($K416))+AT416*$AQ416*(AU$2=YEAR($K416)+1)+INDEX([11]核心假设及结论!$E$17:$E$21,MATCH($D416,[11]核心假设及结论!$B$17:$B$21,0))*(AU$2&gt;YEAR($K416)+1)*AT416</f>
        <v>920.85730971448243</v>
      </c>
      <c r="AV416" s="1809">
        <f>AK416*(AV$2&lt;=YEAR($K416))+AU416*$AQ416*(AV$2=YEAR($K416)+1)+INDEX([11]核心假设及结论!$E$17:$E$21,MATCH($D416,[11]核心假设及结论!$B$17:$B$21,0))*(AV$2&gt;YEAR($K416)+1)*AU416</f>
        <v>945.7890526652892</v>
      </c>
      <c r="AW416" s="1809">
        <f>AL416*(AW$2&lt;=YEAR($K416))+AV416*$AQ416*(AW$2=YEAR($K416)+1)+INDEX([11]核心假设及结论!$E$17:$E$21,MATCH($D416,[11]核心假设及结论!$B$17:$B$21,0))*(AW$2&gt;YEAR($K416)+1)*AV416</f>
        <v>971.39580986641215</v>
      </c>
      <c r="AX416" s="1809">
        <f>AM416*(AX$2&lt;=YEAR($K416))+AW416*$AQ416*(AX$2=YEAR($K416)+1)+INDEX([11]核心假设及结论!$E$17:$E$21,MATCH($D416,[11]核心假设及结论!$B$17:$B$21,0))*(AX$2&gt;YEAR($K416)+1)*AW416</f>
        <v>997.69585698510127</v>
      </c>
      <c r="AZ416" s="1746">
        <f t="shared" si="172"/>
        <v>45973</v>
      </c>
      <c r="BA416" s="1817">
        <f t="shared" si="173"/>
        <v>45658</v>
      </c>
      <c r="BB416" s="1817">
        <f t="shared" si="174"/>
        <v>45973</v>
      </c>
      <c r="BC416" s="1841">
        <f t="shared" si="175"/>
        <v>46022</v>
      </c>
      <c r="BD416" s="1842">
        <f t="shared" si="176"/>
        <v>316</v>
      </c>
      <c r="BE416" s="1842">
        <f t="shared" si="177"/>
        <v>49</v>
      </c>
      <c r="BG416" s="1843">
        <f t="shared" si="192"/>
        <v>53.102911337556165</v>
      </c>
      <c r="BH416" s="1843">
        <f t="shared" si="188"/>
        <v>53.618606898220719</v>
      </c>
      <c r="BI416" s="1843">
        <f t="shared" si="188"/>
        <v>55.070303388506794</v>
      </c>
      <c r="BJ416" s="1843">
        <f t="shared" si="188"/>
        <v>56.561303822364344</v>
      </c>
      <c r="BK416" s="1843">
        <f t="shared" si="187"/>
        <v>58.092672334060154</v>
      </c>
      <c r="BL416" s="1843">
        <f t="shared" si="187"/>
        <v>59.665501868754625</v>
      </c>
      <c r="BM416" s="1843">
        <f t="shared" si="187"/>
        <v>52.862026623030879</v>
      </c>
      <c r="BO416" s="1739">
        <f t="shared" si="178"/>
        <v>2025</v>
      </c>
      <c r="BP416" s="1742">
        <f>_xlfn.IFNA(INDEX($AR416:$AX416,MATCH(BO416,$AR$2:$AX$2,0))*12/365*[11]核心假设及结论!$C$70*$H416,0)</f>
        <v>43605.251506849316</v>
      </c>
      <c r="BR416" s="1739">
        <f t="shared" si="183"/>
        <v>2027</v>
      </c>
      <c r="BS416" s="1742">
        <f>_xlfn.IFNA(INDEX($AR416:$AX416,MATCH(BR416,$AR$2:$AX$2,0))*12/365*[11]核心假设及结论!$C$70*$H416,0)</f>
        <v>45099.342387115976</v>
      </c>
      <c r="BU416" s="1739">
        <f t="shared" si="184"/>
        <v>2029</v>
      </c>
      <c r="BV416" s="1742">
        <f>_xlfn.IFNA(INDEX($AR416:$AX416,MATCH(BU416,$AR$2:$AX$2,0))*12/365*[11]核心假设及结论!$C$70*$H416,0)</f>
        <v>47574.484950506048</v>
      </c>
      <c r="BX416" s="1739">
        <f t="shared" si="185"/>
        <v>2031</v>
      </c>
      <c r="BY416" s="1742">
        <f>_xlfn.IFNA(INDEX($AR416:$AX416,MATCH(BX416,$AR$2:$AX$2,0))*12/365*[11]核心假设及结论!$C$70*$H416,0)</f>
        <v>50185.468313003999</v>
      </c>
      <c r="CA416" s="1739">
        <f t="shared" si="186"/>
        <v>2033</v>
      </c>
      <c r="CB416" s="1742">
        <f>_xlfn.IFNA(INDEX($AR416:$AX416,MATCH(CA416,$AR$2:$AX$2,0))*12/365*[11]核心假设及结论!$C$70*$H416,0)</f>
        <v>0</v>
      </c>
    </row>
    <row r="417" spans="1:80" ht="30" customHeight="1">
      <c r="A417" s="1763" t="s">
        <v>1662</v>
      </c>
      <c r="B417" s="1757" t="s">
        <v>2530</v>
      </c>
      <c r="C417" s="1764" t="s">
        <v>2531</v>
      </c>
      <c r="D417" s="1764" t="s">
        <v>1685</v>
      </c>
      <c r="E417" s="1764" t="s">
        <v>1718</v>
      </c>
      <c r="F417" s="1765"/>
      <c r="G417" s="1760" t="s">
        <v>1661</v>
      </c>
      <c r="H417" s="1761">
        <v>50</v>
      </c>
      <c r="I417" s="1763" t="s">
        <v>2356</v>
      </c>
      <c r="J417" s="1773">
        <v>45239</v>
      </c>
      <c r="K417" s="1773">
        <v>46704</v>
      </c>
      <c r="L417" s="1764">
        <f t="shared" si="168"/>
        <v>49</v>
      </c>
      <c r="M417" s="1774">
        <f t="shared" si="179"/>
        <v>81691.5</v>
      </c>
      <c r="N417" s="1775">
        <f t="shared" si="180"/>
        <v>1520.83</v>
      </c>
      <c r="O417" s="1777">
        <v>76041.5</v>
      </c>
      <c r="P417" s="1763">
        <v>0.18</v>
      </c>
      <c r="Q417" s="1783">
        <f t="shared" si="169"/>
        <v>95</v>
      </c>
      <c r="R417" s="1763">
        <v>4750</v>
      </c>
      <c r="S417" s="1777">
        <f t="shared" si="170"/>
        <v>18</v>
      </c>
      <c r="T417" s="1763">
        <v>900</v>
      </c>
      <c r="U417" s="1763"/>
      <c r="V417" s="1785">
        <v>513693.58333333302</v>
      </c>
      <c r="W417" s="1785">
        <f t="shared" si="171"/>
        <v>10273.871666666661</v>
      </c>
      <c r="X417" s="1786">
        <f t="shared" si="191"/>
        <v>0.15727566514603478</v>
      </c>
      <c r="Y417" s="1789">
        <f>VLOOKUP(E417,[11]核心假设及结论!$C$25:$E$45,3,0)</f>
        <v>0.2</v>
      </c>
      <c r="Z417" s="1790">
        <f t="shared" si="190"/>
        <v>130943.34</v>
      </c>
      <c r="AA417" s="1790">
        <f t="shared" si="190"/>
        <v>134685</v>
      </c>
      <c r="AB417" s="1790">
        <f t="shared" si="190"/>
        <v>138426.66</v>
      </c>
      <c r="AC417" s="1790">
        <f t="shared" si="190"/>
        <v>0</v>
      </c>
      <c r="AD417" s="1790">
        <f t="shared" si="190"/>
        <v>0</v>
      </c>
      <c r="AE417" s="1790">
        <f t="shared" si="190"/>
        <v>0</v>
      </c>
      <c r="AF417" s="1790">
        <f t="shared" si="190"/>
        <v>0</v>
      </c>
      <c r="AG417" s="1794">
        <v>2618.8667999999998</v>
      </c>
      <c r="AH417" s="1794">
        <v>2693.7</v>
      </c>
      <c r="AI417" s="1794">
        <v>2768.5331999999999</v>
      </c>
      <c r="AJ417" s="1794">
        <v>0</v>
      </c>
      <c r="AK417" s="1794">
        <v>0</v>
      </c>
      <c r="AL417" s="1794">
        <v>0</v>
      </c>
      <c r="AM417" s="1794">
        <v>0</v>
      </c>
      <c r="AN417" s="1764"/>
      <c r="AO417" s="1764"/>
      <c r="AP417" s="1808">
        <f t="shared" si="181"/>
        <v>0.78637832573017385</v>
      </c>
      <c r="AQ417" s="1810">
        <f>IF(AP417&gt;[11]核心假设及结论!$B$59,[11]核心假设及结论!$D$59,IF(AP417&lt;=[11]核心假设及结论!$B$58,[11]核心假设及结论!$D$57,[11]核心假设及结论!$D$58))</f>
        <v>1.0342640124442799</v>
      </c>
      <c r="AR417" s="1809">
        <f t="shared" si="182"/>
        <v>2618.8667999999998</v>
      </c>
      <c r="AS417" s="1809">
        <f>AH417*(AS$2&lt;=YEAR($K417))+AR417*$AQ417*(AS$2=YEAR($K417)+1)+INDEX([11]核心假设及结论!$E$17:$E$21,MATCH($D417,[11]核心假设及结论!$B$17:$B$21,0))*(AS$2&gt;YEAR($K417)+1)*AR417</f>
        <v>2693.7</v>
      </c>
      <c r="AT417" s="1809">
        <f>AI417*(AT$2&lt;=YEAR($K417))+AS417*$AQ417*(AT$2=YEAR($K417)+1)+INDEX([11]核心假设及结论!$E$17:$E$21,MATCH($D417,[11]核心假设及结论!$B$17:$B$21,0))*(AT$2&gt;YEAR($K417)+1)*AS417</f>
        <v>2768.5331999999999</v>
      </c>
      <c r="AU417" s="1811">
        <f>AJ417*(AU$2&lt;=YEAR($K417))+AT417*$AQ417*(AU$2=YEAR($K417)+1)+INDEX([11]核心假设及结论!$E$17:$E$21,MATCH($D417,[11]核心假设及结论!$B$17:$B$21,0))*(AU$2&gt;YEAR($K417)+1)*AT417</f>
        <v>2863.3942560172018</v>
      </c>
      <c r="AV417" s="1809">
        <f>AK417*(AV$2&lt;=YEAR($K417))+AU417*$AQ417*(AV$2=YEAR($K417)+1)+INDEX([11]核心假设及结论!$E$17:$E$21,MATCH($D417,[11]核心假设及结论!$B$17:$B$21,0))*(AV$2&gt;YEAR($K417)+1)*AU417</f>
        <v>2940.9191980518935</v>
      </c>
      <c r="AW417" s="1809">
        <f>AL417*(AW$2&lt;=YEAR($K417))+AV417*$AQ417*(AW$2=YEAR($K417)+1)+INDEX([11]核心假设及结论!$E$17:$E$21,MATCH($D417,[11]核心假设及结论!$B$17:$B$21,0))*(AW$2&gt;YEAR($K417)+1)*AV417</f>
        <v>3020.5430884325397</v>
      </c>
      <c r="AX417" s="1809">
        <f>AM417*(AX$2&lt;=YEAR($K417))+AW417*$AQ417*(AX$2=YEAR($K417)+1)+INDEX([11]核心假设及结论!$E$17:$E$21,MATCH($D417,[11]核心假设及结论!$B$17:$B$21,0))*(AX$2&gt;YEAR($K417)+1)*AW417</f>
        <v>3102.3227551172572</v>
      </c>
      <c r="AZ417" s="1746">
        <f t="shared" si="172"/>
        <v>46704</v>
      </c>
      <c r="BA417" s="1817">
        <f t="shared" si="173"/>
        <v>45658</v>
      </c>
      <c r="BB417" s="1817">
        <f t="shared" si="174"/>
        <v>45974</v>
      </c>
      <c r="BC417" s="1841">
        <f t="shared" si="175"/>
        <v>46022</v>
      </c>
      <c r="BD417" s="1842">
        <f t="shared" si="176"/>
        <v>317</v>
      </c>
      <c r="BE417" s="1842">
        <f t="shared" si="177"/>
        <v>48</v>
      </c>
      <c r="BG417" s="1843">
        <f t="shared" si="192"/>
        <v>157.72247270136984</v>
      </c>
      <c r="BH417" s="1843">
        <f t="shared" si="188"/>
        <v>162.21246470136984</v>
      </c>
      <c r="BI417" s="1843">
        <f t="shared" si="188"/>
        <v>166.86048471597132</v>
      </c>
      <c r="BJ417" s="1843">
        <f t="shared" si="188"/>
        <v>172.41535901325105</v>
      </c>
      <c r="BK417" s="1843">
        <f t="shared" si="187"/>
        <v>177.08341710036359</v>
      </c>
      <c r="BL417" s="1843">
        <f t="shared" si="187"/>
        <v>181.87786048417698</v>
      </c>
      <c r="BM417" s="1843">
        <f t="shared" si="187"/>
        <v>161.66076384200062</v>
      </c>
      <c r="BO417" s="1739">
        <f t="shared" si="178"/>
        <v>2027</v>
      </c>
      <c r="BP417" s="1742">
        <f>_xlfn.IFNA(INDEX($AR417:$AX417,MATCH(BO417,$AR$2:$AX$2,0))*12/365*[11]核心假设及结论!$C$70*$H417,0)</f>
        <v>136530.40438356163</v>
      </c>
      <c r="BR417" s="1739">
        <f t="shared" si="183"/>
        <v>2031</v>
      </c>
      <c r="BS417" s="1742">
        <f>_xlfn.IFNA(INDEX($AR417:$AX417,MATCH(BR417,$AR$2:$AX$2,0))*12/365*[11]核心假设及结论!$C$70*$H417,0)</f>
        <v>152991.25915646748</v>
      </c>
      <c r="BU417" s="1739">
        <f t="shared" si="184"/>
        <v>2035</v>
      </c>
      <c r="BV417" s="1742">
        <f>_xlfn.IFNA(INDEX($AR417:$AX417,MATCH(BU417,$AR$2:$AX$2,0))*12/365*[11]核心假设及结论!$C$70*$H417,0)</f>
        <v>0</v>
      </c>
      <c r="BX417" s="1739">
        <f t="shared" si="185"/>
        <v>2039</v>
      </c>
      <c r="BY417" s="1742">
        <f>_xlfn.IFNA(INDEX($AR417:$AX417,MATCH(BX417,$AR$2:$AX$2,0))*12/365*[11]核心假设及结论!$C$70*$H417,0)</f>
        <v>0</v>
      </c>
      <c r="CA417" s="1739">
        <f t="shared" si="186"/>
        <v>2043</v>
      </c>
      <c r="CB417" s="1742">
        <f>_xlfn.IFNA(INDEX($AR417:$AX417,MATCH(CA417,$AR$2:$AX$2,0))*12/365*[11]核心假设及结论!$C$70*$H417,0)</f>
        <v>0</v>
      </c>
    </row>
    <row r="418" spans="1:80" ht="30" customHeight="1">
      <c r="A418" s="1763" t="s">
        <v>1666</v>
      </c>
      <c r="B418" s="1757" t="s">
        <v>2532</v>
      </c>
      <c r="C418" s="1764" t="s">
        <v>2533</v>
      </c>
      <c r="D418" s="1764" t="s">
        <v>1698</v>
      </c>
      <c r="E418" s="1764" t="s">
        <v>1698</v>
      </c>
      <c r="F418" s="1765"/>
      <c r="G418" s="1760" t="s">
        <v>1661</v>
      </c>
      <c r="H418" s="1761">
        <v>49</v>
      </c>
      <c r="I418" s="1763" t="s">
        <v>2534</v>
      </c>
      <c r="J418" s="1773">
        <v>44904</v>
      </c>
      <c r="K418" s="1773">
        <v>45999</v>
      </c>
      <c r="L418" s="1764">
        <f t="shared" si="168"/>
        <v>36</v>
      </c>
      <c r="M418" s="1774">
        <f t="shared" si="179"/>
        <v>64410.01</v>
      </c>
      <c r="N418" s="1775">
        <f t="shared" si="180"/>
        <v>1201.49</v>
      </c>
      <c r="O418" s="1777">
        <v>58873.01</v>
      </c>
      <c r="P418" s="1763">
        <v>0.15</v>
      </c>
      <c r="Q418" s="1783">
        <f t="shared" si="169"/>
        <v>95</v>
      </c>
      <c r="R418" s="1763">
        <v>4655</v>
      </c>
      <c r="S418" s="1777">
        <f t="shared" si="170"/>
        <v>18</v>
      </c>
      <c r="T418" s="1763">
        <v>882</v>
      </c>
      <c r="U418" s="1763"/>
      <c r="V418" s="1785">
        <v>384586.89083333302</v>
      </c>
      <c r="W418" s="1785">
        <f t="shared" si="171"/>
        <v>7848.7120578231224</v>
      </c>
      <c r="X418" s="1786">
        <f t="shared" si="191"/>
        <v>0.16518506354271681</v>
      </c>
      <c r="Y418" s="1789">
        <f>VLOOKUP(E418,[11]核心假设及结论!$C$25:$E$45,3,0)</f>
        <v>0.2</v>
      </c>
      <c r="Z418" s="1790">
        <f t="shared" si="190"/>
        <v>58873.01</v>
      </c>
      <c r="AA418" s="1790">
        <f t="shared" si="190"/>
        <v>0</v>
      </c>
      <c r="AB418" s="1790">
        <f t="shared" si="190"/>
        <v>0</v>
      </c>
      <c r="AC418" s="1790">
        <f t="shared" si="190"/>
        <v>0</v>
      </c>
      <c r="AD418" s="1790">
        <f t="shared" si="190"/>
        <v>0</v>
      </c>
      <c r="AE418" s="1790">
        <f t="shared" si="190"/>
        <v>0</v>
      </c>
      <c r="AF418" s="1790">
        <f t="shared" si="190"/>
        <v>0</v>
      </c>
      <c r="AG418" s="1794">
        <v>1201.49</v>
      </c>
      <c r="AH418" s="1794">
        <v>0</v>
      </c>
      <c r="AI418" s="1794">
        <v>0</v>
      </c>
      <c r="AJ418" s="1794">
        <v>0</v>
      </c>
      <c r="AK418" s="1794">
        <v>0</v>
      </c>
      <c r="AL418" s="1794">
        <v>0</v>
      </c>
      <c r="AM418" s="1794">
        <v>0</v>
      </c>
      <c r="AN418" s="1764"/>
      <c r="AO418" s="1764"/>
      <c r="AP418" s="1808">
        <f t="shared" si="181"/>
        <v>0.82592531771358402</v>
      </c>
      <c r="AQ418" s="1812">
        <f>IF(AP418&gt;[11]核心假设及结论!$B$62,[11]核心假设及结论!$D$62,IF(AP418&lt;=[11]核心假设及结论!$B$61,[11]核心假设及结论!$D$60,[11]核心假设及结论!$D$61))</f>
        <v>1.0811176582269599</v>
      </c>
      <c r="AR418" s="1809">
        <f t="shared" si="182"/>
        <v>1201.49</v>
      </c>
      <c r="AS418" s="1811">
        <f>AH418*(AS$2&lt;=YEAR($K418))+AR418*$AQ418*(AS$2=YEAR($K418)+1)+INDEX([11]核心假设及结论!$E$17:$E$21,MATCH($D418,[11]核心假设及结论!$B$17:$B$21,0))*(AS$2&gt;YEAR($K418)+1)*AR418</f>
        <v>1298.9520551831101</v>
      </c>
      <c r="AT418" s="1809">
        <f>AI418*(AT$2&lt;=YEAR($K418))+AS418*$AQ418*(AT$2=YEAR($K418)+1)+INDEX([11]核心假设及结论!$E$17:$E$21,MATCH($D418,[11]核心假设及结论!$B$17:$B$21,0))*(AT$2&gt;YEAR($K418)+1)*AS418</f>
        <v>1338.722596805208</v>
      </c>
      <c r="AU418" s="1809">
        <f>AJ418*(AU$2&lt;=YEAR($K418))+AT418*$AQ418*(AU$2=YEAR($K418)+1)+INDEX([11]核心假设及结论!$E$17:$E$21,MATCH($D418,[11]核心假设及结论!$B$17:$B$21,0))*(AU$2&gt;YEAR($K418)+1)*AT418</f>
        <v>1379.7108092217004</v>
      </c>
      <c r="AV418" s="1809">
        <f>AK418*(AV$2&lt;=YEAR($K418))+AU418*$AQ418*(AV$2=YEAR($K418)+1)+INDEX([11]核心假设及结论!$E$17:$E$21,MATCH($D418,[11]核心假设及结论!$B$17:$B$21,0))*(AV$2&gt;YEAR($K418)+1)*AU418</f>
        <v>1421.9539743528992</v>
      </c>
      <c r="AW418" s="1809">
        <f>AL418*(AW$2&lt;=YEAR($K418))+AV418*$AQ418*(AW$2=YEAR($K418)+1)+INDEX([11]核心假设及结论!$E$17:$E$21,MATCH($D418,[11]核心假设及结论!$B$17:$B$21,0))*(AW$2&gt;YEAR($K418)+1)*AV418</f>
        <v>1465.4905155947833</v>
      </c>
      <c r="AX418" s="1809">
        <f>AM418*(AX$2&lt;=YEAR($K418))+AW418*$AQ418*(AX$2=YEAR($K418)+1)+INDEX([11]核心假设及结论!$E$17:$E$21,MATCH($D418,[11]核心假设及结论!$B$17:$B$21,0))*(AX$2&gt;YEAR($K418)+1)*AW418</f>
        <v>1510.3600327680219</v>
      </c>
      <c r="AZ418" s="1746">
        <f t="shared" si="172"/>
        <v>45999</v>
      </c>
      <c r="BA418" s="1817">
        <f t="shared" si="173"/>
        <v>45658</v>
      </c>
      <c r="BB418" s="1817">
        <f t="shared" si="174"/>
        <v>45999</v>
      </c>
      <c r="BC418" s="1841">
        <f t="shared" si="175"/>
        <v>46022</v>
      </c>
      <c r="BD418" s="1842">
        <f t="shared" si="176"/>
        <v>342</v>
      </c>
      <c r="BE418" s="1842">
        <f t="shared" si="177"/>
        <v>23</v>
      </c>
      <c r="BG418" s="1843">
        <f t="shared" si="192"/>
        <v>71.008728940903111</v>
      </c>
      <c r="BH418" s="1843">
        <f t="shared" si="188"/>
        <v>76.525738873505844</v>
      </c>
      <c r="BI418" s="1843">
        <f t="shared" si="188"/>
        <v>78.86875844138477</v>
      </c>
      <c r="BJ418" s="1843">
        <f t="shared" si="188"/>
        <v>81.283515189149483</v>
      </c>
      <c r="BK418" s="1843">
        <f t="shared" si="187"/>
        <v>83.772205523116298</v>
      </c>
      <c r="BL418" s="1843">
        <f t="shared" si="187"/>
        <v>86.337093097863914</v>
      </c>
      <c r="BM418" s="1843">
        <f t="shared" si="187"/>
        <v>83.212975657402225</v>
      </c>
      <c r="BO418" s="1739">
        <f t="shared" si="178"/>
        <v>2025</v>
      </c>
      <c r="BP418" s="1742">
        <f>_xlfn.IFNA(INDEX($AR418:$AX418,MATCH(BO418,$AR$2:$AX$2,0))*12/365*[11]核心假设及结论!$C$70*$H418,0)</f>
        <v>58066.530410958912</v>
      </c>
      <c r="BR418" s="1739">
        <f t="shared" si="183"/>
        <v>2028</v>
      </c>
      <c r="BS418" s="1742">
        <f>_xlfn.IFNA(INDEX($AR418:$AX418,MATCH(BR418,$AR$2:$AX$2,0))*12/365*[11]核心假设及结论!$C$70*$H418,0)</f>
        <v>66679.722396358338</v>
      </c>
      <c r="BU418" s="1739">
        <f t="shared" si="184"/>
        <v>2031</v>
      </c>
      <c r="BV418" s="1742">
        <f>_xlfn.IFNA(INDEX($AR418:$AX418,MATCH(BU418,$AR$2:$AX$2,0))*12/365*[11]核心假设及结论!$C$70*$H418,0)</f>
        <v>72993.838295966882</v>
      </c>
      <c r="BX418" s="1739">
        <f t="shared" si="185"/>
        <v>2034</v>
      </c>
      <c r="BY418" s="1742">
        <f>_xlfn.IFNA(INDEX($AR418:$AX418,MATCH(BX418,$AR$2:$AX$2,0))*12/365*[11]核心假设及结论!$C$70*$H418,0)</f>
        <v>0</v>
      </c>
      <c r="CA418" s="1739">
        <f t="shared" si="186"/>
        <v>2037</v>
      </c>
      <c r="CB418" s="1742">
        <f>_xlfn.IFNA(INDEX($AR418:$AX418,MATCH(CA418,$AR$2:$AX$2,0))*12/365*[11]核心假设及结论!$C$70*$H418,0)</f>
        <v>0</v>
      </c>
    </row>
    <row r="419" spans="1:80" ht="30" customHeight="1">
      <c r="A419" s="1763" t="s">
        <v>1662</v>
      </c>
      <c r="B419" s="1757" t="s">
        <v>2535</v>
      </c>
      <c r="C419" s="1764" t="s">
        <v>2536</v>
      </c>
      <c r="D419" s="1764" t="s">
        <v>1685</v>
      </c>
      <c r="E419" s="1764" t="s">
        <v>1871</v>
      </c>
      <c r="F419" s="1765"/>
      <c r="G419" s="1760" t="s">
        <v>1661</v>
      </c>
      <c r="H419" s="1761">
        <v>48</v>
      </c>
      <c r="I419" s="1763" t="s">
        <v>2534</v>
      </c>
      <c r="J419" s="1773">
        <v>45059</v>
      </c>
      <c r="K419" s="1773">
        <v>46154</v>
      </c>
      <c r="L419" s="1764">
        <f t="shared" si="168"/>
        <v>36</v>
      </c>
      <c r="M419" s="1774">
        <f t="shared" si="179"/>
        <v>79884</v>
      </c>
      <c r="N419" s="1775">
        <f t="shared" si="180"/>
        <v>1551.25</v>
      </c>
      <c r="O419" s="1777">
        <v>74460</v>
      </c>
      <c r="P419" s="1763">
        <v>0.18</v>
      </c>
      <c r="Q419" s="1783">
        <f t="shared" si="169"/>
        <v>95</v>
      </c>
      <c r="R419" s="1763">
        <v>4560</v>
      </c>
      <c r="S419" s="1777">
        <f t="shared" si="170"/>
        <v>18</v>
      </c>
      <c r="T419" s="1763">
        <v>864</v>
      </c>
      <c r="U419" s="1763"/>
      <c r="V419" s="1785">
        <v>506278.58333333302</v>
      </c>
      <c r="W419" s="1785">
        <f t="shared" si="171"/>
        <v>10547.470486111104</v>
      </c>
      <c r="X419" s="1786">
        <f t="shared" si="191"/>
        <v>0.15608007646646463</v>
      </c>
      <c r="Y419" s="1789">
        <f>VLOOKUP(E419,[11]核心假设及结论!$C$25:$E$45,3,0)</f>
        <v>0.2</v>
      </c>
      <c r="Z419" s="1790">
        <f t="shared" si="190"/>
        <v>74460</v>
      </c>
      <c r="AA419" s="1790">
        <f t="shared" si="190"/>
        <v>75920.160000000003</v>
      </c>
      <c r="AB419" s="1790">
        <f t="shared" si="190"/>
        <v>0</v>
      </c>
      <c r="AC419" s="1790">
        <f t="shared" si="190"/>
        <v>0</v>
      </c>
      <c r="AD419" s="1790">
        <f t="shared" si="190"/>
        <v>0</v>
      </c>
      <c r="AE419" s="1790">
        <f t="shared" si="190"/>
        <v>0</v>
      </c>
      <c r="AF419" s="1790">
        <f t="shared" si="190"/>
        <v>0</v>
      </c>
      <c r="AG419" s="1794">
        <v>1551.25</v>
      </c>
      <c r="AH419" s="1794">
        <v>1581.67</v>
      </c>
      <c r="AI419" s="1794">
        <v>0</v>
      </c>
      <c r="AJ419" s="1794">
        <v>0</v>
      </c>
      <c r="AK419" s="1794">
        <v>0</v>
      </c>
      <c r="AL419" s="1794">
        <v>0</v>
      </c>
      <c r="AM419" s="1794">
        <v>0</v>
      </c>
      <c r="AN419" s="1764"/>
      <c r="AO419" s="1764"/>
      <c r="AP419" s="1808">
        <f t="shared" si="181"/>
        <v>0.78040038233232312</v>
      </c>
      <c r="AQ419" s="1810">
        <f>IF(AP419&gt;[11]核心假设及结论!$B$59,[11]核心假设及结论!$D$59,IF(AP419&lt;=[11]核心假设及结论!$B$58,[11]核心假设及结论!$D$57,[11]核心假设及结论!$D$58))</f>
        <v>1.0342640124442799</v>
      </c>
      <c r="AR419" s="1809">
        <f t="shared" si="182"/>
        <v>1551.25</v>
      </c>
      <c r="AS419" s="1809">
        <f>AH419*(AS$2&lt;=YEAR($K419))+AR419*$AQ419*(AS$2=YEAR($K419)+1)+INDEX([11]核心假设及结论!$E$17:$E$21,MATCH($D419,[11]核心假设及结论!$B$17:$B$21,0))*(AS$2&gt;YEAR($K419)+1)*AR419</f>
        <v>1581.67</v>
      </c>
      <c r="AT419" s="1811">
        <f>AI419*(AT$2&lt;=YEAR($K419))+AS419*$AQ419*(AT$2=YEAR($K419)+1)+INDEX([11]核心假设及结论!$E$17:$E$21,MATCH($D419,[11]核心假设及结论!$B$17:$B$21,0))*(AT$2&gt;YEAR($K419)+1)*AS419</f>
        <v>1635.8643605627442</v>
      </c>
      <c r="AU419" s="1809">
        <f>AJ419*(AU$2&lt;=YEAR($K419))+AT419*$AQ419*(AU$2=YEAR($K419)+1)+INDEX([11]核心假设及结论!$E$17:$E$21,MATCH($D419,[11]核心假设及结论!$B$17:$B$21,0))*(AU$2&gt;YEAR($K419)+1)*AT419</f>
        <v>1680.1545554818483</v>
      </c>
      <c r="AV419" s="1809">
        <f>AK419*(AV$2&lt;=YEAR($K419))+AU419*$AQ419*(AV$2=YEAR($K419)+1)+INDEX([11]核心假设及结论!$E$17:$E$21,MATCH($D419,[11]核心假设及结论!$B$17:$B$21,0))*(AV$2&gt;YEAR($K419)+1)*AU419</f>
        <v>1725.6438848849982</v>
      </c>
      <c r="AW419" s="1809">
        <f>AL419*(AW$2&lt;=YEAR($K419))+AV419*$AQ419*(AW$2=YEAR($K419)+1)+INDEX([11]核心假设及结论!$E$17:$E$21,MATCH($D419,[11]核心假设及结论!$B$17:$B$21,0))*(AW$2&gt;YEAR($K419)+1)*AV419</f>
        <v>1772.3648147279987</v>
      </c>
      <c r="AX419" s="1809">
        <f>AM419*(AX$2&lt;=YEAR($K419))+AW419*$AQ419*(AX$2=YEAR($K419)+1)+INDEX([11]核心假设及结论!$E$17:$E$21,MATCH($D419,[11]核心假设及结论!$B$17:$B$21,0))*(AX$2&gt;YEAR($K419)+1)*AW419</f>
        <v>1820.3506899658828</v>
      </c>
      <c r="AZ419" s="1746">
        <f t="shared" si="172"/>
        <v>46154</v>
      </c>
      <c r="BA419" s="1817">
        <f t="shared" si="173"/>
        <v>45658</v>
      </c>
      <c r="BB419" s="1817">
        <f t="shared" si="174"/>
        <v>45789</v>
      </c>
      <c r="BC419" s="1841">
        <f t="shared" si="175"/>
        <v>46022</v>
      </c>
      <c r="BD419" s="1842">
        <f t="shared" si="176"/>
        <v>132</v>
      </c>
      <c r="BE419" s="1842">
        <f t="shared" si="177"/>
        <v>233</v>
      </c>
      <c r="BG419" s="1843">
        <f t="shared" si="192"/>
        <v>90.470522564383558</v>
      </c>
      <c r="BH419" s="1843">
        <f t="shared" si="188"/>
        <v>93.096881518467058</v>
      </c>
      <c r="BI419" s="1843">
        <f t="shared" si="188"/>
        <v>95.854307299839562</v>
      </c>
      <c r="BJ419" s="1843">
        <f t="shared" si="188"/>
        <v>98.449513880833351</v>
      </c>
      <c r="BK419" s="1843">
        <f t="shared" si="187"/>
        <v>101.11498435906614</v>
      </c>
      <c r="BL419" s="1843">
        <f t="shared" si="187"/>
        <v>103.85262109379188</v>
      </c>
      <c r="BM419" s="1843">
        <f t="shared" si="187"/>
        <v>37.919151687530409</v>
      </c>
      <c r="BO419" s="1739">
        <f t="shared" si="178"/>
        <v>2026</v>
      </c>
      <c r="BP419" s="1742">
        <f>_xlfn.IFNA(INDEX($AR419:$AX419,MATCH(BO419,$AR$2:$AX$2,0))*12/365*[11]核心假设及结论!$C$70*$H419,0)</f>
        <v>74880.15780821917</v>
      </c>
      <c r="BR419" s="1739">
        <f t="shared" si="183"/>
        <v>2029</v>
      </c>
      <c r="BS419" s="1742">
        <f>_xlfn.IFNA(INDEX($AR419:$AX419,MATCH(BR419,$AR$2:$AX$2,0))*12/365*[11]核心假设及结论!$C$70*$H419,0)</f>
        <v>81696.236522774707</v>
      </c>
      <c r="BU419" s="1739">
        <f t="shared" si="184"/>
        <v>2032</v>
      </c>
      <c r="BV419" s="1742">
        <f>_xlfn.IFNA(INDEX($AR419:$AX419,MATCH(BU419,$AR$2:$AX$2,0))*12/365*[11]核心假设及结论!$C$70*$H419,0)</f>
        <v>0</v>
      </c>
      <c r="BX419" s="1739">
        <f t="shared" si="185"/>
        <v>2035</v>
      </c>
      <c r="BY419" s="1742">
        <f>_xlfn.IFNA(INDEX($AR419:$AX419,MATCH(BX419,$AR$2:$AX$2,0))*12/365*[11]核心假设及结论!$C$70*$H419,0)</f>
        <v>0</v>
      </c>
      <c r="CA419" s="1739">
        <f t="shared" si="186"/>
        <v>2038</v>
      </c>
      <c r="CB419" s="1742">
        <f>_xlfn.IFNA(INDEX($AR419:$AX419,MATCH(CA419,$AR$2:$AX$2,0))*12/365*[11]核心假设及结论!$C$70*$H419,0)</f>
        <v>0</v>
      </c>
    </row>
    <row r="420" spans="1:80" ht="30" customHeight="1">
      <c r="A420" s="1763" t="s">
        <v>1662</v>
      </c>
      <c r="B420" s="1757" t="s">
        <v>2537</v>
      </c>
      <c r="C420" s="1764" t="s">
        <v>2538</v>
      </c>
      <c r="D420" s="1764" t="s">
        <v>1685</v>
      </c>
      <c r="E420" s="1764" t="s">
        <v>1888</v>
      </c>
      <c r="F420" s="1765"/>
      <c r="G420" s="1760" t="s">
        <v>1661</v>
      </c>
      <c r="H420" s="1761">
        <v>48</v>
      </c>
      <c r="I420" s="1763" t="s">
        <v>2534</v>
      </c>
      <c r="J420" s="1773">
        <v>44852</v>
      </c>
      <c r="K420" s="1773">
        <v>46677</v>
      </c>
      <c r="L420" s="1764">
        <f t="shared" si="168"/>
        <v>60</v>
      </c>
      <c r="M420" s="1774">
        <f t="shared" si="179"/>
        <v>60154.559999999998</v>
      </c>
      <c r="N420" s="1775">
        <f t="shared" si="180"/>
        <v>1140.49</v>
      </c>
      <c r="O420" s="1777">
        <v>54743.519999999997</v>
      </c>
      <c r="P420" s="1763">
        <v>0.16</v>
      </c>
      <c r="Q420" s="1783">
        <f t="shared" si="169"/>
        <v>95</v>
      </c>
      <c r="R420" s="1763">
        <v>4560</v>
      </c>
      <c r="S420" s="1777">
        <f t="shared" si="170"/>
        <v>17.73</v>
      </c>
      <c r="T420" s="1763">
        <v>851.04</v>
      </c>
      <c r="U420" s="1763"/>
      <c r="V420" s="1785">
        <v>349219.53916666697</v>
      </c>
      <c r="W420" s="1785">
        <f t="shared" si="171"/>
        <v>7275.4070659722283</v>
      </c>
      <c r="X420" s="1786">
        <f t="shared" si="191"/>
        <v>0.16981730215186233</v>
      </c>
      <c r="Y420" s="1789">
        <f>VLOOKUP(E420,[11]核心假设及结论!$C$25:$E$45,3,0)</f>
        <v>0.3</v>
      </c>
      <c r="Z420" s="1790">
        <f t="shared" si="190"/>
        <v>65700</v>
      </c>
      <c r="AA420" s="1790">
        <f t="shared" si="190"/>
        <v>67160.160000000003</v>
      </c>
      <c r="AB420" s="1790">
        <f t="shared" si="190"/>
        <v>68619.839999999997</v>
      </c>
      <c r="AC420" s="1790">
        <f t="shared" si="190"/>
        <v>0</v>
      </c>
      <c r="AD420" s="1790">
        <f t="shared" si="190"/>
        <v>0</v>
      </c>
      <c r="AE420" s="1790">
        <f t="shared" si="190"/>
        <v>0</v>
      </c>
      <c r="AF420" s="1790">
        <f t="shared" si="190"/>
        <v>0</v>
      </c>
      <c r="AG420" s="1794">
        <v>1368.75</v>
      </c>
      <c r="AH420" s="1794">
        <v>1399.17</v>
      </c>
      <c r="AI420" s="1794">
        <v>1429.58</v>
      </c>
      <c r="AJ420" s="1794">
        <v>0</v>
      </c>
      <c r="AK420" s="1794">
        <v>0</v>
      </c>
      <c r="AL420" s="1794">
        <v>0</v>
      </c>
      <c r="AM420" s="1794">
        <v>0</v>
      </c>
      <c r="AN420" s="1764"/>
      <c r="AO420" s="1764"/>
      <c r="AP420" s="1808">
        <f t="shared" si="181"/>
        <v>0.56605767383954109</v>
      </c>
      <c r="AQ420" s="1810">
        <f>IF(AP420&gt;[11]核心假设及结论!$B$59,[11]核心假设及结论!$D$59,IF(AP420&lt;=[11]核心假设及结论!$B$58,[11]核心假设及结论!$D$57,[11]核心假设及结论!$D$58))</f>
        <v>1.0342640124442799</v>
      </c>
      <c r="AR420" s="1809">
        <f t="shared" si="182"/>
        <v>1368.75</v>
      </c>
      <c r="AS420" s="1809">
        <f>AH420*(AS$2&lt;=YEAR($K420))+AR420*$AQ420*(AS$2=YEAR($K420)+1)+INDEX([11]核心假设及结论!$E$17:$E$21,MATCH($D420,[11]核心假设及结论!$B$17:$B$21,0))*(AS$2&gt;YEAR($K420)+1)*AR420</f>
        <v>1399.17</v>
      </c>
      <c r="AT420" s="1809">
        <f>AI420*(AT$2&lt;=YEAR($K420))+AS420*$AQ420*(AT$2=YEAR($K420)+1)+INDEX([11]核心假设及结论!$E$17:$E$21,MATCH($D420,[11]核心假设及结论!$B$17:$B$21,0))*(AT$2&gt;YEAR($K420)+1)*AS420</f>
        <v>1429.58</v>
      </c>
      <c r="AU420" s="1811">
        <f>AJ420*(AU$2&lt;=YEAR($K420))+AT420*$AQ420*(AU$2=YEAR($K420)+1)+INDEX([11]核心假设及结论!$E$17:$E$21,MATCH($D420,[11]核心假设及结论!$B$17:$B$21,0))*(AU$2&gt;YEAR($K420)+1)*AT420</f>
        <v>1478.5631469100936</v>
      </c>
      <c r="AV420" s="1809">
        <f>AK420*(AV$2&lt;=YEAR($K420))+AU420*$AQ420*(AV$2=YEAR($K420)+1)+INDEX([11]核心假设及结论!$E$17:$E$21,MATCH($D420,[11]核心假设及结论!$B$17:$B$21,0))*(AV$2&gt;YEAR($K420)+1)*AU420</f>
        <v>1518.5944915347327</v>
      </c>
      <c r="AW420" s="1809">
        <f>AL420*(AW$2&lt;=YEAR($K420))+AV420*$AQ420*(AW$2=YEAR($K420)+1)+INDEX([11]核心假设及结论!$E$17:$E$21,MATCH($D420,[11]核心假设及结论!$B$17:$B$21,0))*(AW$2&gt;YEAR($K420)+1)*AV420</f>
        <v>1559.7096644394189</v>
      </c>
      <c r="AX420" s="1809">
        <f>AM420*(AX$2&lt;=YEAR($K420))+AW420*$AQ420*(AX$2=YEAR($K420)+1)+INDEX([11]核心假设及结论!$E$17:$E$21,MATCH($D420,[11]核心假设及结论!$B$17:$B$21,0))*(AX$2&gt;YEAR($K420)+1)*AW420</f>
        <v>1601.9380097231738</v>
      </c>
      <c r="AZ420" s="1746">
        <f t="shared" si="172"/>
        <v>46677</v>
      </c>
      <c r="BA420" s="1817">
        <f t="shared" si="173"/>
        <v>45658</v>
      </c>
      <c r="BB420" s="1817">
        <f t="shared" si="174"/>
        <v>45947</v>
      </c>
      <c r="BC420" s="1841">
        <f t="shared" si="175"/>
        <v>46022</v>
      </c>
      <c r="BD420" s="1842">
        <f t="shared" si="176"/>
        <v>290</v>
      </c>
      <c r="BE420" s="1842">
        <f t="shared" si="177"/>
        <v>75</v>
      </c>
      <c r="BG420" s="1843">
        <f t="shared" si="192"/>
        <v>79.200039452054796</v>
      </c>
      <c r="BH420" s="1843">
        <f t="shared" si="188"/>
        <v>80.952113095890411</v>
      </c>
      <c r="BI420" s="1843">
        <f t="shared" si="188"/>
        <v>82.923553738771517</v>
      </c>
      <c r="BJ420" s="1843">
        <f t="shared" si="188"/>
        <v>85.639032902510266</v>
      </c>
      <c r="BK420" s="1843">
        <f t="shared" si="187"/>
        <v>87.957666128697156</v>
      </c>
      <c r="BL420" s="1843">
        <f t="shared" si="187"/>
        <v>90.339075169315521</v>
      </c>
      <c r="BM420" s="1843">
        <f t="shared" si="187"/>
        <v>73.311705518947647</v>
      </c>
      <c r="BO420" s="1739">
        <f t="shared" si="178"/>
        <v>2027</v>
      </c>
      <c r="BP420" s="1742">
        <f>_xlfn.IFNA(INDEX($AR420:$AX420,MATCH(BO420,$AR$2:$AX$2,0))*12/365*[11]核心假设及结论!$C$70*$H420,0)</f>
        <v>67679.84219178083</v>
      </c>
      <c r="BR420" s="1739">
        <f t="shared" si="183"/>
        <v>2032</v>
      </c>
      <c r="BS420" s="1742">
        <f>_xlfn.IFNA(INDEX($AR420:$AX420,MATCH(BR420,$AR$2:$AX$2,0))*12/365*[11]核心假设及结论!$C$70*$H420,0)</f>
        <v>0</v>
      </c>
      <c r="BU420" s="1739">
        <f t="shared" si="184"/>
        <v>2037</v>
      </c>
      <c r="BV420" s="1742">
        <f>_xlfn.IFNA(INDEX($AR420:$AX420,MATCH(BU420,$AR$2:$AX$2,0))*12/365*[11]核心假设及结论!$C$70*$H420,0)</f>
        <v>0</v>
      </c>
      <c r="BX420" s="1739">
        <f t="shared" si="185"/>
        <v>2042</v>
      </c>
      <c r="BY420" s="1742">
        <f>_xlfn.IFNA(INDEX($AR420:$AX420,MATCH(BX420,$AR$2:$AX$2,0))*12/365*[11]核心假设及结论!$C$70*$H420,0)</f>
        <v>0</v>
      </c>
      <c r="CA420" s="1739">
        <f t="shared" si="186"/>
        <v>2047</v>
      </c>
      <c r="CB420" s="1742">
        <f>_xlfn.IFNA(INDEX($AR420:$AX420,MATCH(CA420,$AR$2:$AX$2,0))*12/365*[11]核心假设及结论!$C$70*$H420,0)</f>
        <v>0</v>
      </c>
    </row>
    <row r="421" spans="1:80" ht="30" customHeight="1">
      <c r="A421" s="1763" t="s">
        <v>1666</v>
      </c>
      <c r="B421" s="1757" t="s">
        <v>2539</v>
      </c>
      <c r="C421" s="1764" t="s">
        <v>2540</v>
      </c>
      <c r="D421" s="1764" t="s">
        <v>1698</v>
      </c>
      <c r="E421" s="1764" t="s">
        <v>1698</v>
      </c>
      <c r="F421" s="1765"/>
      <c r="G421" s="1760" t="s">
        <v>1661</v>
      </c>
      <c r="H421" s="1761">
        <v>48</v>
      </c>
      <c r="I421" s="1763" t="s">
        <v>2534</v>
      </c>
      <c r="J421" s="1773">
        <v>45383</v>
      </c>
      <c r="K421" s="1773">
        <v>45706</v>
      </c>
      <c r="L421" s="1764">
        <f t="shared" si="168"/>
        <v>11</v>
      </c>
      <c r="M421" s="1774">
        <f t="shared" si="179"/>
        <v>59476.32</v>
      </c>
      <c r="N421" s="1775">
        <f t="shared" si="180"/>
        <v>1125.47</v>
      </c>
      <c r="O421" s="1777">
        <v>54022.559999999998</v>
      </c>
      <c r="P421" s="1763">
        <v>0.14000000000000001</v>
      </c>
      <c r="Q421" s="1783">
        <f t="shared" si="169"/>
        <v>95</v>
      </c>
      <c r="R421" s="1763">
        <v>4560</v>
      </c>
      <c r="S421" s="1777">
        <f t="shared" si="170"/>
        <v>18.62</v>
      </c>
      <c r="T421" s="1763">
        <v>893.76</v>
      </c>
      <c r="U421" s="1763"/>
      <c r="V421" s="1785">
        <v>335315.42249999999</v>
      </c>
      <c r="W421" s="1785">
        <f t="shared" si="171"/>
        <v>6985.7379687499997</v>
      </c>
      <c r="X421" s="1786">
        <f t="shared" si="191"/>
        <v>0.17470881465346258</v>
      </c>
      <c r="Y421" s="1789">
        <f>VLOOKUP(E421,[11]核心假设及结论!$C$25:$E$45,3,0)</f>
        <v>0.2</v>
      </c>
      <c r="Z421" s="1790">
        <f t="shared" si="190"/>
        <v>54022.559999999998</v>
      </c>
      <c r="AA421" s="1790">
        <f t="shared" si="190"/>
        <v>0</v>
      </c>
      <c r="AB421" s="1790">
        <f t="shared" si="190"/>
        <v>0</v>
      </c>
      <c r="AC421" s="1790">
        <f t="shared" si="190"/>
        <v>0</v>
      </c>
      <c r="AD421" s="1790">
        <f t="shared" si="190"/>
        <v>0</v>
      </c>
      <c r="AE421" s="1790">
        <f t="shared" si="190"/>
        <v>0</v>
      </c>
      <c r="AF421" s="1790">
        <f t="shared" si="190"/>
        <v>0</v>
      </c>
      <c r="AG421" s="1794">
        <v>1125.47</v>
      </c>
      <c r="AH421" s="1794">
        <v>0</v>
      </c>
      <c r="AI421" s="1794">
        <v>0</v>
      </c>
      <c r="AJ421" s="1794">
        <v>0</v>
      </c>
      <c r="AK421" s="1794">
        <v>0</v>
      </c>
      <c r="AL421" s="1794">
        <v>0</v>
      </c>
      <c r="AM421" s="1794">
        <v>0</v>
      </c>
      <c r="AN421" s="1764"/>
      <c r="AO421" s="1764"/>
      <c r="AP421" s="1808">
        <f t="shared" si="181"/>
        <v>0.87354407326731287</v>
      </c>
      <c r="AQ421" s="1812">
        <f>IF(AP421&gt;[11]核心假设及结论!$B$62,[11]核心假设及结论!$D$62,IF(AP421&lt;=[11]核心假设及结论!$B$61,[11]核心假设及结论!$D$60,[11]核心假设及结论!$D$61))</f>
        <v>1.0811176582269599</v>
      </c>
      <c r="AR421" s="1809">
        <f t="shared" si="182"/>
        <v>1125.47</v>
      </c>
      <c r="AS421" s="1811">
        <f>AH421*(AS$2&lt;=YEAR($K421))+AR421*$AQ421*(AS$2=YEAR($K421)+1)+INDEX([11]核心假设及结论!$E$17:$E$21,MATCH($D421,[11]核心假设及结论!$B$17:$B$21,0))*(AS$2&gt;YEAR($K421)+1)*AR421</f>
        <v>1216.7654908046966</v>
      </c>
      <c r="AT421" s="1809">
        <f>AI421*(AT$2&lt;=YEAR($K421))+AS421*$AQ421*(AT$2=YEAR($K421)+1)+INDEX([11]核心假设及结论!$E$17:$E$21,MATCH($D421,[11]核心假设及结论!$B$17:$B$21,0))*(AT$2&gt;YEAR($K421)+1)*AS421</f>
        <v>1254.0196930697364</v>
      </c>
      <c r="AU421" s="1809">
        <f>AJ421*(AU$2&lt;=YEAR($K421))+AT421*$AQ421*(AU$2=YEAR($K421)+1)+INDEX([11]核心假设及结论!$E$17:$E$21,MATCH($D421,[11]核心假设及结论!$B$17:$B$21,0))*(AU$2&gt;YEAR($K421)+1)*AT421</f>
        <v>1292.4145223470418</v>
      </c>
      <c r="AV421" s="1809">
        <f>AK421*(AV$2&lt;=YEAR($K421))+AU421*$AQ421*(AV$2=YEAR($K421)+1)+INDEX([11]核心假设及结论!$E$17:$E$21,MATCH($D421,[11]核心假设及结论!$B$17:$B$21,0))*(AV$2&gt;YEAR($K421)+1)*AU421</f>
        <v>1331.9849016762166</v>
      </c>
      <c r="AW421" s="1809">
        <f>AL421*(AW$2&lt;=YEAR($K421))+AV421*$AQ421*(AW$2=YEAR($K421)+1)+INDEX([11]核心假设及结论!$E$17:$E$21,MATCH($D421,[11]核心假设及结论!$B$17:$B$21,0))*(AW$2&gt;YEAR($K421)+1)*AV421</f>
        <v>1372.7668233497247</v>
      </c>
      <c r="AX421" s="1809">
        <f>AM421*(AX$2&lt;=YEAR($K421))+AW421*$AQ421*(AX$2=YEAR($K421)+1)+INDEX([11]核心假设及结论!$E$17:$E$21,MATCH($D421,[11]核心假设及结论!$B$17:$B$21,0))*(AX$2&gt;YEAR($K421)+1)*AW421</f>
        <v>1414.7973816506385</v>
      </c>
      <c r="AZ421" s="1746">
        <f t="shared" si="172"/>
        <v>45706</v>
      </c>
      <c r="BA421" s="1817">
        <f t="shared" si="173"/>
        <v>45658</v>
      </c>
      <c r="BB421" s="1817">
        <f t="shared" si="174"/>
        <v>45706</v>
      </c>
      <c r="BC421" s="1841">
        <f t="shared" si="175"/>
        <v>46022</v>
      </c>
      <c r="BD421" s="1842">
        <f t="shared" si="176"/>
        <v>49</v>
      </c>
      <c r="BE421" s="1842">
        <f t="shared" si="177"/>
        <v>316</v>
      </c>
      <c r="BG421" s="1843">
        <f t="shared" si="192"/>
        <v>69.379740508029499</v>
      </c>
      <c r="BH421" s="1843">
        <f t="shared" si="188"/>
        <v>71.943462374315857</v>
      </c>
      <c r="BI421" s="1843">
        <f t="shared" si="188"/>
        <v>74.146184525128604</v>
      </c>
      <c r="BJ421" s="1843">
        <f t="shared" si="188"/>
        <v>76.416348312937288</v>
      </c>
      <c r="BK421" s="1843">
        <f t="shared" si="187"/>
        <v>78.756018625680269</v>
      </c>
      <c r="BL421" s="1843">
        <f t="shared" si="187"/>
        <v>81.167323572806893</v>
      </c>
      <c r="BM421" s="1843">
        <f t="shared" si="187"/>
        <v>10.940066109508937</v>
      </c>
      <c r="BO421" s="1739">
        <f t="shared" si="178"/>
        <v>2025</v>
      </c>
      <c r="BP421" s="1742">
        <f>_xlfn.IFNA(INDEX($AR421:$AX421,MATCH(BO421,$AR$2:$AX$2,0))*12/365*[11]核心假设及结论!$C$70*$H421,0)</f>
        <v>53282.524931506843</v>
      </c>
      <c r="BR421" s="1739">
        <f>BO421+2</f>
        <v>2027</v>
      </c>
      <c r="BS421" s="1742">
        <f>_xlfn.IFNA(INDEX($AR421:$AX421,MATCH(BR421,$AR$2:$AX$2,0))*12/365*[11]核心假设及结论!$C$70*$H421,0)</f>
        <v>59368.384373274086</v>
      </c>
      <c r="BU421" s="1739">
        <f>BR421+2</f>
        <v>2029</v>
      </c>
      <c r="BV421" s="1742">
        <f>_xlfn.IFNA(INDEX($AR421:$AX421,MATCH(BU421,$AR$2:$AX$2,0))*12/365*[11]核心假设及结论!$C$70*$H421,0)</f>
        <v>63059.449591684999</v>
      </c>
      <c r="BX421" s="1739">
        <f>BU421+2</f>
        <v>2031</v>
      </c>
      <c r="BY421" s="1742">
        <f>_xlfn.IFNA(INDEX($AR421:$AX421,MATCH(BX421,$AR$2:$AX$2,0))*12/365*[11]核心假设及结论!$C$70*$H421,0)</f>
        <v>66979.996588830239</v>
      </c>
      <c r="CA421" s="1739">
        <f>BX421+2</f>
        <v>2033</v>
      </c>
      <c r="CB421" s="1742">
        <f>_xlfn.IFNA(INDEX($AR421:$AX421,MATCH(CA421,$AR$2:$AX$2,0))*12/365*[11]核心假设及结论!$C$70*$H421,0)</f>
        <v>0</v>
      </c>
    </row>
    <row r="422" spans="1:80" ht="30" customHeight="1">
      <c r="A422" s="1763" t="s">
        <v>1662</v>
      </c>
      <c r="B422" s="1757" t="s">
        <v>2541</v>
      </c>
      <c r="C422" s="1764" t="s">
        <v>2542</v>
      </c>
      <c r="D422" s="1764" t="s">
        <v>1685</v>
      </c>
      <c r="E422" s="1764" t="s">
        <v>1709</v>
      </c>
      <c r="F422" s="1765"/>
      <c r="G422" s="1760" t="s">
        <v>1661</v>
      </c>
      <c r="H422" s="1761">
        <v>48</v>
      </c>
      <c r="I422" s="1763" t="s">
        <v>2534</v>
      </c>
      <c r="J422" s="1773">
        <v>45015</v>
      </c>
      <c r="K422" s="1773">
        <v>46110</v>
      </c>
      <c r="L422" s="1764">
        <f t="shared" si="168"/>
        <v>36</v>
      </c>
      <c r="M422" s="1774">
        <f t="shared" si="179"/>
        <v>35501.279999999999</v>
      </c>
      <c r="N422" s="1775">
        <f t="shared" si="180"/>
        <v>626.61</v>
      </c>
      <c r="O422" s="1777">
        <v>30077.279999999999</v>
      </c>
      <c r="P422" s="1763">
        <v>0.16</v>
      </c>
      <c r="Q422" s="1783">
        <f t="shared" si="169"/>
        <v>95</v>
      </c>
      <c r="R422" s="1763">
        <v>4560</v>
      </c>
      <c r="S422" s="1777">
        <f t="shared" si="170"/>
        <v>18</v>
      </c>
      <c r="T422" s="1763">
        <v>864</v>
      </c>
      <c r="U422" s="1763"/>
      <c r="V422" s="1785">
        <v>152142.60833333299</v>
      </c>
      <c r="W422" s="1785">
        <f t="shared" si="171"/>
        <v>3169.6376736111038</v>
      </c>
      <c r="X422" s="1786">
        <f>(N422+Q422+S422)*H422/V422</f>
        <v>0.23334212807906757</v>
      </c>
      <c r="Y422" s="1789">
        <f>VLOOKUP(E422,[11]核心假设及结论!$C$25:$E$45,3,0)</f>
        <v>0.2</v>
      </c>
      <c r="Z422" s="1790">
        <f t="shared" si="190"/>
        <v>32120.159999999996</v>
      </c>
      <c r="AA422" s="1790">
        <f t="shared" si="190"/>
        <v>33083.520000000004</v>
      </c>
      <c r="AB422" s="1790">
        <f t="shared" si="190"/>
        <v>0</v>
      </c>
      <c r="AC422" s="1790">
        <f t="shared" si="190"/>
        <v>0</v>
      </c>
      <c r="AD422" s="1790">
        <f t="shared" si="190"/>
        <v>0</v>
      </c>
      <c r="AE422" s="1790">
        <f t="shared" si="190"/>
        <v>0</v>
      </c>
      <c r="AF422" s="1790">
        <f t="shared" si="190"/>
        <v>0</v>
      </c>
      <c r="AG422" s="1794">
        <v>669.17</v>
      </c>
      <c r="AH422" s="1794">
        <v>689.24</v>
      </c>
      <c r="AI422" s="1794">
        <v>0</v>
      </c>
      <c r="AJ422" s="1794">
        <v>0</v>
      </c>
      <c r="AK422" s="1794">
        <v>0</v>
      </c>
      <c r="AL422" s="1794">
        <v>0</v>
      </c>
      <c r="AM422" s="1794">
        <v>0</v>
      </c>
      <c r="AN422" s="1764"/>
      <c r="AO422" s="1764"/>
      <c r="AP422" s="1808">
        <f t="shared" si="181"/>
        <v>1.1667106403953378</v>
      </c>
      <c r="AQ422" s="1810">
        <f>IF(AP422&gt;[11]核心假设及结论!$B$59,[11]核心假设及结论!$D$59,IF(AP422&lt;=[11]核心假设及结论!$B$58,[11]核心假设及结论!$D$57,[11]核心假设及结论!$D$58))</f>
        <v>1.0069999999999999</v>
      </c>
      <c r="AR422" s="1809">
        <f t="shared" si="182"/>
        <v>669.17</v>
      </c>
      <c r="AS422" s="1809">
        <f>AH422*(AS$2&lt;=YEAR($K422))+AR422*$AQ422*(AS$2=YEAR($K422)+1)+INDEX([11]核心假设及结论!$E$17:$E$21,MATCH($D422,[11]核心假设及结论!$B$17:$B$21,0))*(AS$2&gt;YEAR($K422)+1)*AR422</f>
        <v>689.24</v>
      </c>
      <c r="AT422" s="1811">
        <f>AI422*(AT$2&lt;=YEAR($K422))+AS422*$AQ422*(AT$2=YEAR($K422)+1)+INDEX([11]核心假设及结论!$E$17:$E$21,MATCH($D422,[11]核心假设及结论!$B$17:$B$21,0))*(AT$2&gt;YEAR($K422)+1)*AS422</f>
        <v>694.06467999999995</v>
      </c>
      <c r="AU422" s="1809">
        <f>AJ422*(AU$2&lt;=YEAR($K422))+AT422*$AQ422*(AU$2=YEAR($K422)+1)+INDEX([11]核心假设及结论!$E$17:$E$21,MATCH($D422,[11]核心假设及结论!$B$17:$B$21,0))*(AU$2&gt;YEAR($K422)+1)*AT422</f>
        <v>712.85612793709595</v>
      </c>
      <c r="AV422" s="1809">
        <f>AK422*(AV$2&lt;=YEAR($K422))+AU422*$AQ422*(AV$2=YEAR($K422)+1)+INDEX([11]核心假设及结论!$E$17:$E$21,MATCH($D422,[11]核心假设及结论!$B$17:$B$21,0))*(AV$2&gt;YEAR($K422)+1)*AU422</f>
        <v>732.15634476237767</v>
      </c>
      <c r="AW422" s="1809">
        <f>AL422*(AW$2&lt;=YEAR($K422))+AV422*$AQ422*(AW$2=YEAR($K422)+1)+INDEX([11]核心假设及结论!$E$17:$E$21,MATCH($D422,[11]核心假设及结论!$B$17:$B$21,0))*(AW$2&gt;YEAR($K422)+1)*AV422</f>
        <v>751.97910513453303</v>
      </c>
      <c r="AX422" s="1809">
        <f>AM422*(AX$2&lt;=YEAR($K422))+AW422*$AQ422*(AX$2=YEAR($K422)+1)+INDEX([11]核心假设及结论!$E$17:$E$21,MATCH($D422,[11]核心假设及结论!$B$17:$B$21,0))*(AX$2&gt;YEAR($K422)+1)*AW422</f>
        <v>772.33855665412284</v>
      </c>
      <c r="AZ422" s="1746">
        <f t="shared" si="172"/>
        <v>46110</v>
      </c>
      <c r="BA422" s="1817">
        <f t="shared" si="173"/>
        <v>45658</v>
      </c>
      <c r="BB422" s="1817">
        <f t="shared" si="174"/>
        <v>45745</v>
      </c>
      <c r="BC422" s="1841">
        <f t="shared" si="175"/>
        <v>46022</v>
      </c>
      <c r="BD422" s="1842">
        <f t="shared" si="176"/>
        <v>88</v>
      </c>
      <c r="BE422" s="1842">
        <f t="shared" si="177"/>
        <v>277</v>
      </c>
      <c r="BG422" s="1843">
        <f t="shared" si="192"/>
        <v>39.421509435616443</v>
      </c>
      <c r="BH422" s="1843">
        <f t="shared" si="188"/>
        <v>39.911124642016439</v>
      </c>
      <c r="BI422" s="1843">
        <f t="shared" si="188"/>
        <v>40.799553814920429</v>
      </c>
      <c r="BJ422" s="1843">
        <f t="shared" si="188"/>
        <v>41.904180967781485</v>
      </c>
      <c r="BK422" s="1843">
        <f t="shared" si="187"/>
        <v>43.038715338559015</v>
      </c>
      <c r="BL422" s="1843">
        <f t="shared" si="187"/>
        <v>44.203966649955568</v>
      </c>
      <c r="BM422" s="1843">
        <f t="shared" si="187"/>
        <v>10.72556075607786</v>
      </c>
      <c r="BO422" s="1739">
        <f t="shared" si="178"/>
        <v>2026</v>
      </c>
      <c r="BP422" s="1742">
        <f>_xlfn.IFNA(INDEX($AR422:$AX422,MATCH(BO422,$AR$2:$AX$2,0))*12/365*[11]核心假设及结论!$C$70*$H422,0)</f>
        <v>32630.321095890416</v>
      </c>
      <c r="BR422" s="1739">
        <f t="shared" si="183"/>
        <v>2029</v>
      </c>
      <c r="BS422" s="1742">
        <f>_xlfn.IFNA(INDEX($AR422:$AX422,MATCH(BR422,$AR$2:$AX$2,0))*12/365*[11]核心假设及结论!$C$70*$H422,0)</f>
        <v>34662.08667806544</v>
      </c>
      <c r="BU422" s="1739">
        <f t="shared" si="184"/>
        <v>2032</v>
      </c>
      <c r="BV422" s="1742">
        <f>_xlfn.IFNA(INDEX($AR422:$AX422,MATCH(BU422,$AR$2:$AX$2,0))*12/365*[11]核心假设及结论!$C$70*$H422,0)</f>
        <v>0</v>
      </c>
      <c r="BX422" s="1739">
        <f t="shared" si="185"/>
        <v>2035</v>
      </c>
      <c r="BY422" s="1742">
        <f>_xlfn.IFNA(INDEX($AR422:$AX422,MATCH(BX422,$AR$2:$AX$2,0))*12/365*[11]核心假设及结论!$C$70*$H422,0)</f>
        <v>0</v>
      </c>
      <c r="CA422" s="1739">
        <f t="shared" si="186"/>
        <v>2038</v>
      </c>
      <c r="CB422" s="1742">
        <f>_xlfn.IFNA(INDEX($AR422:$AX422,MATCH(CA422,$AR$2:$AX$2,0))*12/365*[11]核心假设及结论!$C$70*$H422,0)</f>
        <v>0</v>
      </c>
    </row>
    <row r="423" spans="1:80" ht="30" customHeight="1">
      <c r="A423" s="1763" t="s">
        <v>1687</v>
      </c>
      <c r="B423" s="1757" t="s">
        <v>2543</v>
      </c>
      <c r="C423" s="1764" t="s">
        <v>2544</v>
      </c>
      <c r="D423" s="1764" t="s">
        <v>1676</v>
      </c>
      <c r="E423" s="1764" t="s">
        <v>1677</v>
      </c>
      <c r="F423" s="1765"/>
      <c r="G423" s="1760" t="s">
        <v>1661</v>
      </c>
      <c r="H423" s="1761">
        <v>47</v>
      </c>
      <c r="I423" s="1763" t="s">
        <v>2534</v>
      </c>
      <c r="J423" s="1773">
        <v>45335</v>
      </c>
      <c r="K423" s="1773">
        <v>46065</v>
      </c>
      <c r="L423" s="1764">
        <f t="shared" si="168"/>
        <v>24</v>
      </c>
      <c r="M423" s="1774">
        <f t="shared" si="179"/>
        <v>22231</v>
      </c>
      <c r="N423" s="1775">
        <f t="shared" si="180"/>
        <v>365</v>
      </c>
      <c r="O423" s="1777">
        <v>17155</v>
      </c>
      <c r="P423" s="1763">
        <v>0.14000000000000001</v>
      </c>
      <c r="Q423" s="1783">
        <f t="shared" si="169"/>
        <v>90</v>
      </c>
      <c r="R423" s="1763">
        <v>4230</v>
      </c>
      <c r="S423" s="1777">
        <f t="shared" si="170"/>
        <v>18</v>
      </c>
      <c r="T423" s="1763">
        <v>846</v>
      </c>
      <c r="U423" s="1763"/>
      <c r="V423" s="1785">
        <v>31716.666666666701</v>
      </c>
      <c r="W423" s="1785">
        <f t="shared" si="171"/>
        <v>674.82269503546172</v>
      </c>
      <c r="X423" s="1786">
        <f>(N423+Q423)*H423/V423</f>
        <v>0.67425118234366721</v>
      </c>
      <c r="Y423" s="1789">
        <f>VLOOKUP(E423,[11]核心假设及结论!$C$25:$E$45,3,0)</f>
        <v>0.25</v>
      </c>
      <c r="Z423" s="1790">
        <f t="shared" si="190"/>
        <v>17155</v>
      </c>
      <c r="AA423" s="1790">
        <f t="shared" si="190"/>
        <v>5146.5</v>
      </c>
      <c r="AB423" s="1790">
        <f t="shared" si="190"/>
        <v>0</v>
      </c>
      <c r="AC423" s="1790">
        <f t="shared" si="190"/>
        <v>0</v>
      </c>
      <c r="AD423" s="1790">
        <f t="shared" si="190"/>
        <v>0</v>
      </c>
      <c r="AE423" s="1790">
        <f t="shared" si="190"/>
        <v>0</v>
      </c>
      <c r="AF423" s="1790">
        <f t="shared" si="190"/>
        <v>0</v>
      </c>
      <c r="AG423" s="1794">
        <v>365</v>
      </c>
      <c r="AH423" s="1794">
        <v>109.5</v>
      </c>
      <c r="AI423" s="1794">
        <v>0</v>
      </c>
      <c r="AJ423" s="1794">
        <v>0</v>
      </c>
      <c r="AK423" s="1794">
        <v>0</v>
      </c>
      <c r="AL423" s="1794">
        <v>0</v>
      </c>
      <c r="AM423" s="1794">
        <v>0</v>
      </c>
      <c r="AN423" s="1764"/>
      <c r="AO423" s="1764"/>
      <c r="AP423" s="1808">
        <f t="shared" si="181"/>
        <v>2.6970047293746688</v>
      </c>
      <c r="AQ423" s="1808">
        <f>IF(AP423&gt;[11]核心假设及结论!$B$65,[11]核心假设及结论!$D$65,IF(AP423&lt;=[11]核心假设及结论!$B$64,[11]核心假设及结论!$D$63,[11]核心假设及结论!$D$64))</f>
        <v>0.72793038402688603</v>
      </c>
      <c r="AR423" s="1809">
        <f t="shared" si="182"/>
        <v>365</v>
      </c>
      <c r="AS423" s="1809">
        <f>AH423*(AS$2&lt;=YEAR($K423))+AR423*$AQ423*(AS$2=YEAR($K423)+1)+INDEX([11]核心假设及结论!$E$17:$E$21,MATCH($D423,[11]核心假设及结论!$B$17:$B$21,0))*(AS$2&gt;YEAR($K423)+1)*AR423</f>
        <v>109.5</v>
      </c>
      <c r="AT423" s="1811">
        <f>AI423*(AT$2&lt;=YEAR($K423))+AS423*$AQ423*(AT$2=YEAR($K423)+1)+INDEX([11]核心假设及结论!$E$17:$E$21,MATCH($D423,[11]核心假设及结论!$B$17:$B$21,0))*(AT$2&gt;YEAR($K423)+1)*AS423</f>
        <v>79.708377050944023</v>
      </c>
      <c r="AU423" s="1809">
        <f>AJ423*(AU$2&lt;=YEAR($K423))+AT423*$AQ423*(AU$2=YEAR($K423)+1)+INDEX([11]核心假设及结论!$E$17:$E$21,MATCH($D423,[11]核心假设及结论!$B$17:$B$21,0))*(AU$2&gt;YEAR($K423)+1)*AT423</f>
        <v>82.464301161764126</v>
      </c>
      <c r="AV423" s="1809">
        <f>AK423*(AV$2&lt;=YEAR($K423))+AU423*$AQ423*(AV$2=YEAR($K423)+1)+INDEX([11]核心假设及结论!$E$17:$E$21,MATCH($D423,[11]核心假设及结论!$B$17:$B$21,0))*(AV$2&gt;YEAR($K423)+1)*AU423</f>
        <v>85.315511589852306</v>
      </c>
      <c r="AW423" s="1809">
        <f>AL423*(AW$2&lt;=YEAR($K423))+AV423*$AQ423*(AW$2=YEAR($K423)+1)+INDEX([11]核心假设及结论!$E$17:$E$21,MATCH($D423,[11]核心假设及结论!$B$17:$B$21,0))*(AW$2&gt;YEAR($K423)+1)*AV423</f>
        <v>88.265302867965417</v>
      </c>
      <c r="AX423" s="1809">
        <f>AM423*(AX$2&lt;=YEAR($K423))+AW423*$AQ423*(AX$2=YEAR($K423)+1)+INDEX([11]核心假设及结论!$E$17:$E$21,MATCH($D423,[11]核心假设及结论!$B$17:$B$21,0))*(AX$2&gt;YEAR($K423)+1)*AW423</f>
        <v>91.317083437618649</v>
      </c>
      <c r="AZ423" s="1746">
        <f t="shared" si="172"/>
        <v>46065</v>
      </c>
      <c r="BA423" s="1817">
        <f t="shared" si="173"/>
        <v>45658</v>
      </c>
      <c r="BB423" s="1817">
        <f t="shared" si="174"/>
        <v>45700</v>
      </c>
      <c r="BC423" s="1841">
        <f t="shared" si="175"/>
        <v>46022</v>
      </c>
      <c r="BD423" s="1842">
        <f t="shared" si="176"/>
        <v>43</v>
      </c>
      <c r="BE423" s="1842">
        <f t="shared" si="177"/>
        <v>322</v>
      </c>
      <c r="BG423" s="1843">
        <f t="shared" si="192"/>
        <v>7.8734399999999996</v>
      </c>
      <c r="BH423" s="1843">
        <f t="shared" si="188"/>
        <v>4.6934994354706419</v>
      </c>
      <c r="BI423" s="1843">
        <f t="shared" si="188"/>
        <v>4.6326751686644254</v>
      </c>
      <c r="BJ423" s="1843">
        <f t="shared" si="188"/>
        <v>4.7928503179684947</v>
      </c>
      <c r="BK423" s="1843">
        <f t="shared" si="187"/>
        <v>4.9585635370746743</v>
      </c>
      <c r="BL423" s="1843">
        <f t="shared" si="187"/>
        <v>5.1300063052309435</v>
      </c>
      <c r="BM423" s="1843">
        <f t="shared" si="187"/>
        <v>0.60674572809017191</v>
      </c>
      <c r="BO423" s="1739">
        <f t="shared" si="178"/>
        <v>2026</v>
      </c>
      <c r="BP423" s="1742">
        <f>_xlfn.IFNA(INDEX($AR423:$AX423,MATCH(BO423,$AR$2:$AX$2,0))*12/365*[11]核心假设及结论!$C$70*$H423,0)</f>
        <v>5076</v>
      </c>
      <c r="BR423" s="1739">
        <f t="shared" si="183"/>
        <v>2028</v>
      </c>
      <c r="BS423" s="1742">
        <f>_xlfn.IFNA(INDEX($AR423:$AX423,MATCH(BR423,$AR$2:$AX$2,0))*12/365*[11]核心假设及结论!$C$70*$H423,0)</f>
        <v>3822.7287004302711</v>
      </c>
      <c r="BU423" s="1739">
        <f t="shared" si="184"/>
        <v>2030</v>
      </c>
      <c r="BV423" s="1742">
        <f>_xlfn.IFNA(INDEX($AR423:$AX423,MATCH(BU423,$AR$2:$AX$2,0))*12/365*[11]核心假设及结论!$C$70*$H423,0)</f>
        <v>4091.6408891122601</v>
      </c>
      <c r="BX423" s="1739">
        <f t="shared" si="185"/>
        <v>2032</v>
      </c>
      <c r="BY423" s="1742">
        <f>_xlfn.IFNA(INDEX($AR423:$AX423,MATCH(BX423,$AR$2:$AX$2,0))*12/365*[11]核心假设及结论!$C$70*$H423,0)</f>
        <v>0</v>
      </c>
      <c r="CA423" s="1739">
        <f t="shared" si="186"/>
        <v>2034</v>
      </c>
      <c r="CB423" s="1742">
        <f>_xlfn.IFNA(INDEX($AR423:$AX423,MATCH(CA423,$AR$2:$AX$2,0))*12/365*[11]核心假设及结论!$C$70*$H423,0)</f>
        <v>0</v>
      </c>
    </row>
    <row r="424" spans="1:80" ht="30" customHeight="1">
      <c r="A424" s="1763" t="s">
        <v>1666</v>
      </c>
      <c r="B424" s="1757" t="s">
        <v>2545</v>
      </c>
      <c r="C424" s="1764" t="s">
        <v>2546</v>
      </c>
      <c r="D424" s="1764" t="s">
        <v>1698</v>
      </c>
      <c r="E424" s="1764" t="s">
        <v>1698</v>
      </c>
      <c r="F424" s="1765"/>
      <c r="G424" s="1760" t="s">
        <v>1661</v>
      </c>
      <c r="H424" s="1761">
        <v>46</v>
      </c>
      <c r="I424" s="1763" t="s">
        <v>2534</v>
      </c>
      <c r="J424" s="1773">
        <v>45637</v>
      </c>
      <c r="K424" s="1773">
        <v>46705</v>
      </c>
      <c r="L424" s="1764">
        <f t="shared" si="168"/>
        <v>36</v>
      </c>
      <c r="M424" s="1774">
        <f t="shared" si="179"/>
        <v>66754.28</v>
      </c>
      <c r="N424" s="1775">
        <f t="shared" si="180"/>
        <v>1338.18</v>
      </c>
      <c r="O424" s="1777">
        <v>61556.28</v>
      </c>
      <c r="P424" s="1763">
        <v>0.17</v>
      </c>
      <c r="Q424" s="1783">
        <f t="shared" si="169"/>
        <v>95</v>
      </c>
      <c r="R424" s="1763">
        <v>4370</v>
      </c>
      <c r="S424" s="1777">
        <f t="shared" si="170"/>
        <v>18</v>
      </c>
      <c r="T424" s="1763">
        <v>828</v>
      </c>
      <c r="U424" s="1763"/>
      <c r="V424" s="1785">
        <v>317422.01583333302</v>
      </c>
      <c r="W424" s="1785">
        <f t="shared" si="171"/>
        <v>6900.478605072457</v>
      </c>
      <c r="X424" s="1786">
        <f>(N424+Q424)*H424/V424</f>
        <v>0.20769284016712797</v>
      </c>
      <c r="Y424" s="1789">
        <f>VLOOKUP(E424,[11]核心假设及结论!$C$25:$E$45,3,0)</f>
        <v>0.2</v>
      </c>
      <c r="Z424" s="1790">
        <f t="shared" si="190"/>
        <v>62962.5</v>
      </c>
      <c r="AA424" s="1790">
        <f t="shared" si="190"/>
        <v>64361.820000000007</v>
      </c>
      <c r="AB424" s="1790">
        <f t="shared" si="190"/>
        <v>65760.679999999993</v>
      </c>
      <c r="AC424" s="1790">
        <f t="shared" si="190"/>
        <v>0</v>
      </c>
      <c r="AD424" s="1790">
        <f t="shared" si="190"/>
        <v>0</v>
      </c>
      <c r="AE424" s="1790">
        <f t="shared" si="190"/>
        <v>0</v>
      </c>
      <c r="AF424" s="1790">
        <f t="shared" si="190"/>
        <v>0</v>
      </c>
      <c r="AG424" s="1794">
        <v>1368.75</v>
      </c>
      <c r="AH424" s="1794">
        <v>1399.17</v>
      </c>
      <c r="AI424" s="1794">
        <v>1429.58</v>
      </c>
      <c r="AJ424" s="1794">
        <v>0</v>
      </c>
      <c r="AK424" s="1794">
        <v>0</v>
      </c>
      <c r="AL424" s="1794">
        <v>0</v>
      </c>
      <c r="AM424" s="1794">
        <v>0</v>
      </c>
      <c r="AN424" s="1764"/>
      <c r="AO424" s="1764"/>
      <c r="AP424" s="1808">
        <f t="shared" si="181"/>
        <v>1.0384642008356397</v>
      </c>
      <c r="AQ424" s="1812">
        <f>IF(AP424&gt;[11]核心假设及结论!$B$62,[11]核心假设及结论!$D$62,IF(AP424&lt;=[11]核心假设及结论!$B$61,[11]核心假设及结论!$D$60,[11]核心假设及结论!$D$61))</f>
        <v>1.0489999999999999</v>
      </c>
      <c r="AR424" s="1809">
        <f t="shared" si="182"/>
        <v>1368.75</v>
      </c>
      <c r="AS424" s="1809">
        <f>AH424*(AS$2&lt;=YEAR($K424))+AR424*$AQ424*(AS$2=YEAR($K424)+1)+INDEX([11]核心假设及结论!$E$17:$E$21,MATCH($D424,[11]核心假设及结论!$B$17:$B$21,0))*(AS$2&gt;YEAR($K424)+1)*AR424</f>
        <v>1399.17</v>
      </c>
      <c r="AT424" s="1809">
        <f>AI424*(AT$2&lt;=YEAR($K424))+AS424*$AQ424*(AT$2=YEAR($K424)+1)+INDEX([11]核心假设及结论!$E$17:$E$21,MATCH($D424,[11]核心假设及结论!$B$17:$B$21,0))*(AT$2&gt;YEAR($K424)+1)*AS424</f>
        <v>1429.58</v>
      </c>
      <c r="AU424" s="1811">
        <f>AJ424*(AU$2&lt;=YEAR($K424))+AT424*$AQ424*(AU$2=YEAR($K424)+1)+INDEX([11]核心假设及结论!$E$17:$E$21,MATCH($D424,[11]核心假设及结论!$B$17:$B$21,0))*(AU$2&gt;YEAR($K424)+1)*AT424</f>
        <v>1499.6294199999998</v>
      </c>
      <c r="AV424" s="1809">
        <f>AK424*(AV$2&lt;=YEAR($K424))+AU424*$AQ424*(AV$2=YEAR($K424)+1)+INDEX([11]核心假设及结论!$E$17:$E$21,MATCH($D424,[11]核心假设及结论!$B$17:$B$21,0))*(AV$2&gt;YEAR($K424)+1)*AU424</f>
        <v>1545.5441818480999</v>
      </c>
      <c r="AW424" s="1809">
        <f>AL424*(AW$2&lt;=YEAR($K424))+AV424*$AQ424*(AW$2=YEAR($K424)+1)+INDEX([11]核心假设及结论!$E$17:$E$21,MATCH($D424,[11]核心假设及结论!$B$17:$B$21,0))*(AW$2&gt;YEAR($K424)+1)*AV424</f>
        <v>1592.8647345719003</v>
      </c>
      <c r="AX424" s="1809">
        <f>AM424*(AX$2&lt;=YEAR($K424))+AW424*$AQ424*(AX$2=YEAR($K424)+1)+INDEX([11]核心假设及结论!$E$17:$E$21,MATCH($D424,[11]核心假设及结论!$B$17:$B$21,0))*(AX$2&gt;YEAR($K424)+1)*AW424</f>
        <v>1641.6341198404994</v>
      </c>
      <c r="AZ424" s="1746">
        <f t="shared" si="172"/>
        <v>46705</v>
      </c>
      <c r="BA424" s="1817">
        <f t="shared" si="173"/>
        <v>45658</v>
      </c>
      <c r="BB424" s="1817">
        <f t="shared" si="174"/>
        <v>45975</v>
      </c>
      <c r="BC424" s="1841">
        <f t="shared" si="175"/>
        <v>46022</v>
      </c>
      <c r="BD424" s="1842">
        <f t="shared" si="176"/>
        <v>318</v>
      </c>
      <c r="BE424" s="1842">
        <f t="shared" si="177"/>
        <v>47</v>
      </c>
      <c r="BG424" s="1843">
        <f t="shared" si="192"/>
        <v>75.771223693150688</v>
      </c>
      <c r="BH424" s="1843">
        <f t="shared" si="188"/>
        <v>77.450336613698624</v>
      </c>
      <c r="BI424" s="1843">
        <f t="shared" si="188"/>
        <v>79.410723439035607</v>
      </c>
      <c r="BJ424" s="1843">
        <f t="shared" si="188"/>
        <v>83.10590359533893</v>
      </c>
      <c r="BK424" s="1843">
        <f t="shared" si="187"/>
        <v>85.650390733868889</v>
      </c>
      <c r="BL424" s="1843">
        <f t="shared" si="187"/>
        <v>88.272783466562998</v>
      </c>
      <c r="BM424" s="1843">
        <f t="shared" si="187"/>
        <v>78.949558043923801</v>
      </c>
      <c r="BO424" s="1739">
        <f t="shared" si="178"/>
        <v>2027</v>
      </c>
      <c r="BP424" s="1742">
        <f>_xlfn.IFNA(INDEX($AR424:$AX424,MATCH(BO424,$AR$2:$AX$2,0))*12/365*[11]核心假设及结论!$C$70*$H424,0)</f>
        <v>64859.848767123294</v>
      </c>
      <c r="BR424" s="1739">
        <f t="shared" si="183"/>
        <v>2030</v>
      </c>
      <c r="BS424" s="1742">
        <f>_xlfn.IFNA(INDEX($AR424:$AX424,MATCH(BR424,$AR$2:$AX$2,0))*12/365*[11]核心假设及结论!$C$70*$H424,0)</f>
        <v>72268.054806878543</v>
      </c>
      <c r="BU424" s="1739">
        <f t="shared" si="184"/>
        <v>2033</v>
      </c>
      <c r="BV424" s="1742">
        <f>_xlfn.IFNA(INDEX($AR424:$AX424,MATCH(BU424,$AR$2:$AX$2,0))*12/365*[11]核心假设及结论!$C$70*$H424,0)</f>
        <v>0</v>
      </c>
      <c r="BX424" s="1739">
        <f t="shared" si="185"/>
        <v>2036</v>
      </c>
      <c r="BY424" s="1742">
        <f>_xlfn.IFNA(INDEX($AR424:$AX424,MATCH(BX424,$AR$2:$AX$2,0))*12/365*[11]核心假设及结论!$C$70*$H424,0)</f>
        <v>0</v>
      </c>
      <c r="CA424" s="1739">
        <f t="shared" si="186"/>
        <v>2039</v>
      </c>
      <c r="CB424" s="1742">
        <f>_xlfn.IFNA(INDEX($AR424:$AX424,MATCH(CA424,$AR$2:$AX$2,0))*12/365*[11]核心假设及结论!$C$70*$H424,0)</f>
        <v>0</v>
      </c>
    </row>
    <row r="425" spans="1:80" ht="30" customHeight="1">
      <c r="A425" s="1763" t="s">
        <v>1662</v>
      </c>
      <c r="B425" s="1757" t="s">
        <v>2547</v>
      </c>
      <c r="C425" s="1764" t="s">
        <v>2548</v>
      </c>
      <c r="D425" s="1764" t="s">
        <v>1685</v>
      </c>
      <c r="E425" s="1764" t="s">
        <v>1718</v>
      </c>
      <c r="F425" s="1765"/>
      <c r="G425" s="1760" t="s">
        <v>1661</v>
      </c>
      <c r="H425" s="1761">
        <v>46</v>
      </c>
      <c r="I425" s="1763" t="s">
        <v>2534</v>
      </c>
      <c r="J425" s="1773">
        <v>45382</v>
      </c>
      <c r="K425" s="1773">
        <v>46476</v>
      </c>
      <c r="L425" s="1764">
        <f t="shared" si="168"/>
        <v>36</v>
      </c>
      <c r="M425" s="1774">
        <f t="shared" si="179"/>
        <v>54168.68</v>
      </c>
      <c r="N425" s="1775">
        <f t="shared" si="180"/>
        <v>1064.58</v>
      </c>
      <c r="O425" s="1777">
        <v>48970.68</v>
      </c>
      <c r="P425" s="1763">
        <v>0.18</v>
      </c>
      <c r="Q425" s="1783">
        <f t="shared" si="169"/>
        <v>95</v>
      </c>
      <c r="R425" s="1763">
        <v>4370</v>
      </c>
      <c r="S425" s="1777">
        <f t="shared" si="170"/>
        <v>18</v>
      </c>
      <c r="T425" s="1763">
        <v>828</v>
      </c>
      <c r="U425" s="1763"/>
      <c r="V425" s="1785">
        <v>168363.60083333301</v>
      </c>
      <c r="W425" s="1785">
        <f t="shared" si="171"/>
        <v>3660.0782789855002</v>
      </c>
      <c r="X425" s="1786">
        <f>(N425+Q425+S425)*H425/V425</f>
        <v>0.32173628819938827</v>
      </c>
      <c r="Y425" s="1789">
        <f>VLOOKUP(E425,[11]核心假设及结论!$C$25:$E$45,3,0)</f>
        <v>0.2</v>
      </c>
      <c r="Z425" s="1790">
        <f t="shared" si="190"/>
        <v>48970.679999999993</v>
      </c>
      <c r="AA425" s="1790">
        <f t="shared" si="190"/>
        <v>49670.34</v>
      </c>
      <c r="AB425" s="1790">
        <f t="shared" si="190"/>
        <v>50370</v>
      </c>
      <c r="AC425" s="1790">
        <f t="shared" si="190"/>
        <v>0</v>
      </c>
      <c r="AD425" s="1790">
        <f t="shared" si="190"/>
        <v>0</v>
      </c>
      <c r="AE425" s="1790">
        <f t="shared" si="190"/>
        <v>0</v>
      </c>
      <c r="AF425" s="1790">
        <f t="shared" si="190"/>
        <v>0</v>
      </c>
      <c r="AG425" s="1794">
        <v>1064.58</v>
      </c>
      <c r="AH425" s="1794">
        <v>1079.79</v>
      </c>
      <c r="AI425" s="1794">
        <v>1095</v>
      </c>
      <c r="AJ425" s="1794">
        <v>0</v>
      </c>
      <c r="AK425" s="1794">
        <v>0</v>
      </c>
      <c r="AL425" s="1794">
        <v>0</v>
      </c>
      <c r="AM425" s="1794">
        <v>0</v>
      </c>
      <c r="AN425" s="1764"/>
      <c r="AO425" s="1764"/>
      <c r="AP425" s="1808">
        <f t="shared" si="181"/>
        <v>1.6086814409969412</v>
      </c>
      <c r="AQ425" s="1810">
        <f>IF(AP425&gt;[11]核心假设及结论!$B$59,[11]核心假设及结论!$D$59,IF(AP425&lt;=[11]核心假设及结论!$B$58,[11]核心假设及结论!$D$57,[11]核心假设及结论!$D$58))</f>
        <v>1</v>
      </c>
      <c r="AR425" s="1809">
        <f t="shared" si="182"/>
        <v>1064.58</v>
      </c>
      <c r="AS425" s="1809">
        <f>AH425*(AS$2&lt;=YEAR($K425))+AR425*$AQ425*(AS$2=YEAR($K425)+1)+INDEX([11]核心假设及结论!$E$17:$E$21,MATCH($D425,[11]核心假设及结论!$B$17:$B$21,0))*(AS$2&gt;YEAR($K425)+1)*AR425</f>
        <v>1079.79</v>
      </c>
      <c r="AT425" s="1809">
        <f>AI425*(AT$2&lt;=YEAR($K425))+AS425*$AQ425*(AT$2=YEAR($K425)+1)+INDEX([11]核心假设及结论!$E$17:$E$21,MATCH($D425,[11]核心假设及结论!$B$17:$B$21,0))*(AT$2&gt;YEAR($K425)+1)*AS425</f>
        <v>1095</v>
      </c>
      <c r="AU425" s="1811">
        <f>AJ425*(AU$2&lt;=YEAR($K425))+AT425*$AQ425*(AU$2=YEAR($K425)+1)+INDEX([11]核心假设及结论!$E$17:$E$21,MATCH($D425,[11]核心假设及结论!$B$17:$B$21,0))*(AU$2&gt;YEAR($K425)+1)*AT425</f>
        <v>1095</v>
      </c>
      <c r="AV425" s="1809">
        <f>AK425*(AV$2&lt;=YEAR($K425))+AU425*$AQ425*(AV$2=YEAR($K425)+1)+INDEX([11]核心假设及结论!$E$17:$E$21,MATCH($D425,[11]核心假设及结论!$B$17:$B$21,0))*(AV$2&gt;YEAR($K425)+1)*AU425</f>
        <v>1124.6465676529169</v>
      </c>
      <c r="AW425" s="1809">
        <f>AL425*(AW$2&lt;=YEAR($K425))+AV425*$AQ425*(AW$2=YEAR($K425)+1)+INDEX([11]核心假设及结论!$E$17:$E$21,MATCH($D425,[11]核心假设及结论!$B$17:$B$21,0))*(AW$2&gt;YEAR($K425)+1)*AV425</f>
        <v>1155.095801035148</v>
      </c>
      <c r="AX425" s="1809">
        <f>AM425*(AX$2&lt;=YEAR($K425))+AW425*$AQ425*(AX$2=YEAR($K425)+1)+INDEX([11]核心假设及结论!$E$17:$E$21,MATCH($D425,[11]核心假设及结论!$B$17:$B$21,0))*(AX$2&gt;YEAR($K425)+1)*AW425</f>
        <v>1186.3694319127633</v>
      </c>
      <c r="AZ425" s="1746">
        <f t="shared" si="172"/>
        <v>46476</v>
      </c>
      <c r="BA425" s="1817">
        <f t="shared" si="173"/>
        <v>45658</v>
      </c>
      <c r="BB425" s="1817">
        <f t="shared" si="174"/>
        <v>45746</v>
      </c>
      <c r="BC425" s="1841">
        <f t="shared" si="175"/>
        <v>46022</v>
      </c>
      <c r="BD425" s="1842">
        <f t="shared" si="176"/>
        <v>89</v>
      </c>
      <c r="BE425" s="1842">
        <f t="shared" si="177"/>
        <v>276</v>
      </c>
      <c r="BG425" s="1843">
        <f t="shared" si="192"/>
        <v>59.399685567123278</v>
      </c>
      <c r="BH425" s="1843">
        <f t="shared" si="188"/>
        <v>60.239277567123281</v>
      </c>
      <c r="BI425" s="1843">
        <f t="shared" si="188"/>
        <v>60.444000000000003</v>
      </c>
      <c r="BJ425" s="1843">
        <f t="shared" si="188"/>
        <v>61.681455856180051</v>
      </c>
      <c r="BK425" s="1843">
        <f t="shared" si="187"/>
        <v>63.351449878071065</v>
      </c>
      <c r="BL425" s="1843">
        <f t="shared" si="187"/>
        <v>65.066658138089878</v>
      </c>
      <c r="BM425" s="1843">
        <f t="shared" si="187"/>
        <v>15.96820752082472</v>
      </c>
      <c r="BO425" s="1739">
        <f t="shared" si="178"/>
        <v>2027</v>
      </c>
      <c r="BP425" s="1742">
        <f>_xlfn.IFNA(INDEX($AR425:$AX425,MATCH(BO425,$AR$2:$AX$2,0))*12/365*[11]核心假设及结论!$C$70*$H425,0)</f>
        <v>49680</v>
      </c>
      <c r="BR425" s="1739">
        <f t="shared" si="183"/>
        <v>2030</v>
      </c>
      <c r="BS425" s="1742">
        <f>_xlfn.IFNA(INDEX($AR425:$AX425,MATCH(BR425,$AR$2:$AX$2,0))*12/365*[11]核心假设及结论!$C$70*$H425,0)</f>
        <v>52406.538260663154</v>
      </c>
      <c r="BU425" s="1739">
        <f t="shared" si="184"/>
        <v>2033</v>
      </c>
      <c r="BV425" s="1742">
        <f>_xlfn.IFNA(INDEX($AR425:$AX425,MATCH(BU425,$AR$2:$AX$2,0))*12/365*[11]核心假设及结论!$C$70*$H425,0)</f>
        <v>0</v>
      </c>
      <c r="BX425" s="1739">
        <f t="shared" si="185"/>
        <v>2036</v>
      </c>
      <c r="BY425" s="1742">
        <f>_xlfn.IFNA(INDEX($AR425:$AX425,MATCH(BX425,$AR$2:$AX$2,0))*12/365*[11]核心假设及结论!$C$70*$H425,0)</f>
        <v>0</v>
      </c>
      <c r="CA425" s="1739">
        <f t="shared" si="186"/>
        <v>2039</v>
      </c>
      <c r="CB425" s="1742">
        <f>_xlfn.IFNA(INDEX($AR425:$AX425,MATCH(CA425,$AR$2:$AX$2,0))*12/365*[11]核心假设及结论!$C$70*$H425,0)</f>
        <v>0</v>
      </c>
    </row>
    <row r="426" spans="1:80" ht="30" customHeight="1">
      <c r="A426" s="1763" t="s">
        <v>1666</v>
      </c>
      <c r="B426" s="1757" t="s">
        <v>2549</v>
      </c>
      <c r="C426" s="1764" t="s">
        <v>2550</v>
      </c>
      <c r="D426" s="1764" t="s">
        <v>1685</v>
      </c>
      <c r="E426" s="1764" t="s">
        <v>1692</v>
      </c>
      <c r="F426" s="1765"/>
      <c r="G426" s="1760" t="s">
        <v>1661</v>
      </c>
      <c r="H426" s="1761">
        <v>46</v>
      </c>
      <c r="I426" s="1763" t="s">
        <v>2534</v>
      </c>
      <c r="J426" s="1773">
        <v>45186</v>
      </c>
      <c r="K426" s="1773">
        <v>46281</v>
      </c>
      <c r="L426" s="1764">
        <f t="shared" si="168"/>
        <v>36</v>
      </c>
      <c r="M426" s="1774">
        <f t="shared" si="179"/>
        <v>41333.760000000002</v>
      </c>
      <c r="N426" s="1775">
        <f t="shared" si="180"/>
        <v>790.83</v>
      </c>
      <c r="O426" s="1777">
        <v>36378.18</v>
      </c>
      <c r="P426" s="1763">
        <v>0.16</v>
      </c>
      <c r="Q426" s="1783">
        <f t="shared" si="169"/>
        <v>90</v>
      </c>
      <c r="R426" s="1763">
        <v>4140</v>
      </c>
      <c r="S426" s="1777">
        <f t="shared" si="170"/>
        <v>17.73</v>
      </c>
      <c r="T426" s="1763">
        <v>815.58</v>
      </c>
      <c r="U426" s="1763"/>
      <c r="V426" s="1785">
        <v>164321.08333333299</v>
      </c>
      <c r="W426" s="1785">
        <f t="shared" si="171"/>
        <v>3572.1974637681087</v>
      </c>
      <c r="X426" s="1786">
        <f>(N426+Q426+S426)*H426/V426</f>
        <v>0.25154264542032345</v>
      </c>
      <c r="Y426" s="1789">
        <f>VLOOKUP(E426,[11]核心假设及结论!$C$25:$E$45,3,0)</f>
        <v>0.2</v>
      </c>
      <c r="Z426" s="1790">
        <f t="shared" si="190"/>
        <v>37077.839999999997</v>
      </c>
      <c r="AA426" s="1790">
        <f t="shared" si="190"/>
        <v>37777.5</v>
      </c>
      <c r="AB426" s="1790">
        <f t="shared" si="190"/>
        <v>0</v>
      </c>
      <c r="AC426" s="1790">
        <f t="shared" si="190"/>
        <v>0</v>
      </c>
      <c r="AD426" s="1790">
        <f t="shared" si="190"/>
        <v>0</v>
      </c>
      <c r="AE426" s="1790">
        <f t="shared" si="190"/>
        <v>0</v>
      </c>
      <c r="AF426" s="1790">
        <f t="shared" si="190"/>
        <v>0</v>
      </c>
      <c r="AG426" s="1794">
        <v>806.04</v>
      </c>
      <c r="AH426" s="1794">
        <v>821.25</v>
      </c>
      <c r="AI426" s="1794">
        <v>0</v>
      </c>
      <c r="AJ426" s="1794">
        <v>0</v>
      </c>
      <c r="AK426" s="1794">
        <v>0</v>
      </c>
      <c r="AL426" s="1794">
        <v>0</v>
      </c>
      <c r="AM426" s="1794">
        <v>0</v>
      </c>
      <c r="AN426" s="1764"/>
      <c r="AO426" s="1764"/>
      <c r="AP426" s="1808">
        <f t="shared" si="181"/>
        <v>1.2577132271016171</v>
      </c>
      <c r="AQ426" s="1810">
        <f>IF(AP426&gt;[11]核心假设及结论!$B$59,[11]核心假设及结论!$D$59,IF(AP426&lt;=[11]核心假设及结论!$B$58,[11]核心假设及结论!$D$57,[11]核心假设及结论!$D$58))</f>
        <v>1.0069999999999999</v>
      </c>
      <c r="AR426" s="1809">
        <f t="shared" si="182"/>
        <v>806.04</v>
      </c>
      <c r="AS426" s="1809">
        <f>AH426*(AS$2&lt;=YEAR($K426))+AR426*$AQ426*(AS$2=YEAR($K426)+1)+INDEX([11]核心假设及结论!$E$17:$E$21,MATCH($D426,[11]核心假设及结论!$B$17:$B$21,0))*(AS$2&gt;YEAR($K426)+1)*AR426</f>
        <v>821.25</v>
      </c>
      <c r="AT426" s="1811">
        <f>AI426*(AT$2&lt;=YEAR($K426))+AS426*$AQ426*(AT$2=YEAR($K426)+1)+INDEX([11]核心假设及结论!$E$17:$E$21,MATCH($D426,[11]核心假设及结论!$B$17:$B$21,0))*(AT$2&gt;YEAR($K426)+1)*AS426</f>
        <v>826.99874999999986</v>
      </c>
      <c r="AU426" s="1809">
        <f>AJ426*(AU$2&lt;=YEAR($K426))+AT426*$AQ426*(AU$2=YEAR($K426)+1)+INDEX([11]核心假设及结论!$E$17:$E$21,MATCH($D426,[11]核心假设及结论!$B$17:$B$21,0))*(AU$2&gt;YEAR($K426)+1)*AT426</f>
        <v>849.38932021986534</v>
      </c>
      <c r="AV426" s="1809">
        <f>AK426*(AV$2&lt;=YEAR($K426))+AU426*$AQ426*(AV$2=YEAR($K426)+1)+INDEX([11]核心假设及结论!$E$17:$E$21,MATCH($D426,[11]核心假设及结论!$B$17:$B$21,0))*(AV$2&gt;YEAR($K426)+1)*AU426</f>
        <v>872.38610373179529</v>
      </c>
      <c r="AW426" s="1809">
        <f>AL426*(AW$2&lt;=YEAR($K426))+AV426*$AQ426*(AW$2=YEAR($K426)+1)+INDEX([11]核心假设及结论!$E$17:$E$21,MATCH($D426,[11]核心假设及结论!$B$17:$B$21,0))*(AW$2&gt;YEAR($K426)+1)*AV426</f>
        <v>896.0055134521142</v>
      </c>
      <c r="AX426" s="1809">
        <f>AM426*(AX$2&lt;=YEAR($K426))+AW426*$AQ426*(AX$2=YEAR($K426)+1)+INDEX([11]核心假设及结论!$E$17:$E$21,MATCH($D426,[11]核心假设及结论!$B$17:$B$21,0))*(AX$2&gt;YEAR($K426)+1)*AW426</f>
        <v>920.26440666850203</v>
      </c>
      <c r="AZ426" s="1746">
        <f t="shared" si="172"/>
        <v>46281</v>
      </c>
      <c r="BA426" s="1817">
        <f t="shared" si="173"/>
        <v>45658</v>
      </c>
      <c r="BB426" s="1817">
        <f t="shared" si="174"/>
        <v>45916</v>
      </c>
      <c r="BC426" s="1841">
        <f t="shared" si="175"/>
        <v>46022</v>
      </c>
      <c r="BD426" s="1842">
        <f t="shared" si="176"/>
        <v>259</v>
      </c>
      <c r="BE426" s="1842">
        <f t="shared" si="177"/>
        <v>106</v>
      </c>
      <c r="BG426" s="1843">
        <f t="shared" si="192"/>
        <v>44.737234717808214</v>
      </c>
      <c r="BH426" s="1843">
        <f t="shared" si="188"/>
        <v>45.425156399999999</v>
      </c>
      <c r="BI426" s="1843">
        <f t="shared" si="188"/>
        <v>46.009267176631433</v>
      </c>
      <c r="BJ426" s="1843">
        <f t="shared" si="188"/>
        <v>47.254944667054389</v>
      </c>
      <c r="BK426" s="1843">
        <f t="shared" si="187"/>
        <v>48.534348241489703</v>
      </c>
      <c r="BL426" s="1843">
        <f t="shared" si="187"/>
        <v>49.848391016495682</v>
      </c>
      <c r="BM426" s="1843">
        <f t="shared" si="187"/>
        <v>36.046126491118464</v>
      </c>
      <c r="BO426" s="1739">
        <f t="shared" si="178"/>
        <v>2026</v>
      </c>
      <c r="BP426" s="1742">
        <f>_xlfn.IFNA(INDEX($AR426:$AX426,MATCH(BO426,$AR$2:$AX$2,0))*12/365*[11]核心假设及结论!$C$70*$H426,0)</f>
        <v>37260</v>
      </c>
      <c r="BR426" s="1739">
        <f t="shared" si="183"/>
        <v>2029</v>
      </c>
      <c r="BS426" s="1742">
        <f>_xlfn.IFNA(INDEX($AR426:$AX426,MATCH(BR426,$AR$2:$AX$2,0))*12/365*[11]核心假设及结论!$C$70*$H426,0)</f>
        <v>39580.038021365835</v>
      </c>
      <c r="BU426" s="1739">
        <f t="shared" si="184"/>
        <v>2032</v>
      </c>
      <c r="BV426" s="1742">
        <f>_xlfn.IFNA(INDEX($AR426:$AX426,MATCH(BU426,$AR$2:$AX$2,0))*12/365*[11]核心假设及结论!$C$70*$H426,0)</f>
        <v>0</v>
      </c>
      <c r="BX426" s="1739">
        <f t="shared" si="185"/>
        <v>2035</v>
      </c>
      <c r="BY426" s="1742">
        <f>_xlfn.IFNA(INDEX($AR426:$AX426,MATCH(BX426,$AR$2:$AX$2,0))*12/365*[11]核心假设及结论!$C$70*$H426,0)</f>
        <v>0</v>
      </c>
      <c r="CA426" s="1739">
        <f t="shared" si="186"/>
        <v>2038</v>
      </c>
      <c r="CB426" s="1742">
        <f>_xlfn.IFNA(INDEX($AR426:$AX426,MATCH(CA426,$AR$2:$AX$2,0))*12/365*[11]核心假设及结论!$C$70*$H426,0)</f>
        <v>0</v>
      </c>
    </row>
    <row r="427" spans="1:80" ht="30" customHeight="1">
      <c r="A427" s="1763" t="s">
        <v>1687</v>
      </c>
      <c r="B427" s="1757" t="s">
        <v>2551</v>
      </c>
      <c r="C427" s="1764" t="s">
        <v>2552</v>
      </c>
      <c r="D427" s="1764" t="s">
        <v>1676</v>
      </c>
      <c r="E427" s="1764" t="s">
        <v>1758</v>
      </c>
      <c r="F427" s="1765"/>
      <c r="G427" s="1760" t="s">
        <v>1661</v>
      </c>
      <c r="H427" s="1761">
        <v>46</v>
      </c>
      <c r="I427" s="1763" t="s">
        <v>2534</v>
      </c>
      <c r="J427" s="1773">
        <v>45323</v>
      </c>
      <c r="K427" s="1773">
        <v>46328</v>
      </c>
      <c r="L427" s="1764">
        <f t="shared" si="168"/>
        <v>34</v>
      </c>
      <c r="M427" s="1774">
        <f t="shared" si="179"/>
        <v>35749.82</v>
      </c>
      <c r="N427" s="1775">
        <f t="shared" si="180"/>
        <v>669.17</v>
      </c>
      <c r="O427" s="1777">
        <v>30781.82</v>
      </c>
      <c r="P427" s="1763">
        <v>0.13</v>
      </c>
      <c r="Q427" s="1783">
        <f t="shared" si="169"/>
        <v>90</v>
      </c>
      <c r="R427" s="1763">
        <v>4140</v>
      </c>
      <c r="S427" s="1777">
        <f t="shared" si="170"/>
        <v>18</v>
      </c>
      <c r="T427" s="1763">
        <v>828</v>
      </c>
      <c r="U427" s="1763"/>
      <c r="V427" s="1785">
        <v>54770.122222222199</v>
      </c>
      <c r="W427" s="1785">
        <f t="shared" si="171"/>
        <v>1190.6548309178738</v>
      </c>
      <c r="X427" s="1786">
        <f t="shared" ref="X427:X444" si="193">(N427+Q427)*H427/V427</f>
        <v>0.63760712196897318</v>
      </c>
      <c r="Y427" s="1789">
        <f>VLOOKUP(E427,[11]核心假设及结论!$C$25:$E$45,3,0)</f>
        <v>0.2</v>
      </c>
      <c r="Z427" s="1790">
        <f t="shared" si="190"/>
        <v>32012.78</v>
      </c>
      <c r="AA427" s="1790">
        <f t="shared" si="190"/>
        <v>33300.32</v>
      </c>
      <c r="AB427" s="1790">
        <f t="shared" si="190"/>
        <v>0</v>
      </c>
      <c r="AC427" s="1790">
        <f t="shared" si="190"/>
        <v>0</v>
      </c>
      <c r="AD427" s="1790">
        <f t="shared" si="190"/>
        <v>0</v>
      </c>
      <c r="AE427" s="1790">
        <f t="shared" si="190"/>
        <v>0</v>
      </c>
      <c r="AF427" s="1790">
        <f t="shared" si="190"/>
        <v>0</v>
      </c>
      <c r="AG427" s="1794">
        <v>695.93</v>
      </c>
      <c r="AH427" s="1794">
        <v>723.92</v>
      </c>
      <c r="AI427" s="1794">
        <v>0</v>
      </c>
      <c r="AJ427" s="1794">
        <v>0</v>
      </c>
      <c r="AK427" s="1794">
        <v>0</v>
      </c>
      <c r="AL427" s="1794">
        <v>0</v>
      </c>
      <c r="AM427" s="1794">
        <v>0</v>
      </c>
      <c r="AN427" s="1764"/>
      <c r="AO427" s="1764"/>
      <c r="AP427" s="1808">
        <f t="shared" si="181"/>
        <v>3.1880356098448659</v>
      </c>
      <c r="AQ427" s="1808">
        <f>IF(AP427&gt;[11]核心假设及结论!$B$65,[11]核心假设及结论!$D$65,IF(AP427&lt;=[11]核心假设及结论!$B$64,[11]核心假设及结论!$D$63,[11]核心假设及结论!$D$64))</f>
        <v>0.72793038402688603</v>
      </c>
      <c r="AR427" s="1809">
        <f t="shared" si="182"/>
        <v>695.93</v>
      </c>
      <c r="AS427" s="1809">
        <f>AH427*(AS$2&lt;=YEAR($K427))+AR427*$AQ427*(AS$2=YEAR($K427)+1)+INDEX([11]核心假设及结论!$E$17:$E$21,MATCH($D427,[11]核心假设及结论!$B$17:$B$21,0))*(AS$2&gt;YEAR($K427)+1)*AR427</f>
        <v>723.92</v>
      </c>
      <c r="AT427" s="1811">
        <f>AI427*(AT$2&lt;=YEAR($K427))+AS427*$AQ427*(AT$2=YEAR($K427)+1)+INDEX([11]核心假设及结论!$E$17:$E$21,MATCH($D427,[11]核心假设及结论!$B$17:$B$21,0))*(AT$2&gt;YEAR($K427)+1)*AS427</f>
        <v>526.96336360474334</v>
      </c>
      <c r="AU427" s="1809">
        <f>AJ427*(AU$2&lt;=YEAR($K427))+AT427*$AQ427*(AU$2=YEAR($K427)+1)+INDEX([11]核心假设及结论!$E$17:$E$21,MATCH($D427,[11]核心假设及结论!$B$17:$B$21,0))*(AU$2&gt;YEAR($K427)+1)*AT427</f>
        <v>545.18316800935418</v>
      </c>
      <c r="AV427" s="1809">
        <f>AK427*(AV$2&lt;=YEAR($K427))+AU427*$AQ427*(AV$2=YEAR($K427)+1)+INDEX([11]核心假设及结论!$E$17:$E$21,MATCH($D427,[11]核心假设及结论!$B$17:$B$21,0))*(AV$2&gt;YEAR($K427)+1)*AU427</f>
        <v>564.03292374544185</v>
      </c>
      <c r="AW427" s="1809">
        <f>AL427*(AW$2&lt;=YEAR($K427))+AV427*$AQ427*(AW$2=YEAR($K427)+1)+INDEX([11]核心假设及结论!$E$17:$E$21,MATCH($D427,[11]核心假设及结论!$B$17:$B$21,0))*(AW$2&gt;YEAR($K427)+1)*AV427</f>
        <v>583.53441143541124</v>
      </c>
      <c r="AX427" s="1809">
        <f>AM427*(AX$2&lt;=YEAR($K427))+AW427*$AQ427*(AX$2=YEAR($K427)+1)+INDEX([11]核心假设及结论!$E$17:$E$21,MATCH($D427,[11]核心假设及结论!$B$17:$B$21,0))*(AX$2&gt;YEAR($K427)+1)*AW427</f>
        <v>603.71016476859268</v>
      </c>
      <c r="AZ427" s="1746">
        <f t="shared" si="172"/>
        <v>46328</v>
      </c>
      <c r="BA427" s="1817">
        <f t="shared" si="173"/>
        <v>45658</v>
      </c>
      <c r="BB427" s="1817">
        <f t="shared" si="174"/>
        <v>45963</v>
      </c>
      <c r="BC427" s="1841">
        <f t="shared" si="175"/>
        <v>46022</v>
      </c>
      <c r="BD427" s="1842">
        <f t="shared" si="176"/>
        <v>306</v>
      </c>
      <c r="BE427" s="1842">
        <f t="shared" si="177"/>
        <v>59</v>
      </c>
      <c r="BG427" s="1843">
        <f t="shared" si="192"/>
        <v>38.665083484931507</v>
      </c>
      <c r="BH427" s="1843">
        <f t="shared" si="188"/>
        <v>38.202991196131308</v>
      </c>
      <c r="BI427" s="1843">
        <f t="shared" si="188"/>
        <v>29.250948243543302</v>
      </c>
      <c r="BJ427" s="1843">
        <f t="shared" si="188"/>
        <v>30.262302338448656</v>
      </c>
      <c r="BK427" s="1843">
        <f t="shared" si="187"/>
        <v>31.308624089676318</v>
      </c>
      <c r="BL427" s="1843">
        <f t="shared" si="187"/>
        <v>32.391122507003203</v>
      </c>
      <c r="BM427" s="1843">
        <f t="shared" si="187"/>
        <v>27.938052425039054</v>
      </c>
      <c r="BO427" s="1739">
        <f t="shared" si="178"/>
        <v>2026</v>
      </c>
      <c r="BP427" s="1742">
        <f>_xlfn.IFNA(INDEX($AR427:$AX427,MATCH(BO427,$AR$2:$AX$2,0))*12/365*[11]核心假设及结论!$C$70*$H427,0)</f>
        <v>32844.151232876706</v>
      </c>
      <c r="BR427" s="1739">
        <f t="shared" si="183"/>
        <v>2029</v>
      </c>
      <c r="BS427" s="1742">
        <f>_xlfn.IFNA(INDEX($AR427:$AX427,MATCH(BR427,$AR$2:$AX$2,0))*12/365*[11]核心假设及结论!$C$70*$H427,0)</f>
        <v>25590.096485546619</v>
      </c>
      <c r="BU427" s="1739">
        <f t="shared" si="184"/>
        <v>2032</v>
      </c>
      <c r="BV427" s="1742">
        <f>_xlfn.IFNA(INDEX($AR427:$AX427,MATCH(BU427,$AR$2:$AX$2,0))*12/365*[11]核心假设及结论!$C$70*$H427,0)</f>
        <v>0</v>
      </c>
      <c r="BX427" s="1739">
        <f t="shared" si="185"/>
        <v>2035</v>
      </c>
      <c r="BY427" s="1742">
        <f>_xlfn.IFNA(INDEX($AR427:$AX427,MATCH(BX427,$AR$2:$AX$2,0))*12/365*[11]核心假设及结论!$C$70*$H427,0)</f>
        <v>0</v>
      </c>
      <c r="CA427" s="1739">
        <f t="shared" si="186"/>
        <v>2038</v>
      </c>
      <c r="CB427" s="1742">
        <f>_xlfn.IFNA(INDEX($AR427:$AX427,MATCH(CA427,$AR$2:$AX$2,0))*12/365*[11]核心假设及结论!$C$70*$H427,0)</f>
        <v>0</v>
      </c>
    </row>
    <row r="428" spans="1:80" ht="30" customHeight="1">
      <c r="A428" s="1763" t="s">
        <v>1687</v>
      </c>
      <c r="B428" s="1757" t="s">
        <v>2553</v>
      </c>
      <c r="C428" s="1764" t="s">
        <v>2554</v>
      </c>
      <c r="D428" s="1764" t="s">
        <v>1685</v>
      </c>
      <c r="E428" s="1764" t="s">
        <v>1838</v>
      </c>
      <c r="F428" s="1765"/>
      <c r="G428" s="1760" t="s">
        <v>1661</v>
      </c>
      <c r="H428" s="1761">
        <v>45</v>
      </c>
      <c r="I428" s="1763" t="s">
        <v>2534</v>
      </c>
      <c r="J428" s="1773">
        <v>45397</v>
      </c>
      <c r="K428" s="1773">
        <v>46730</v>
      </c>
      <c r="L428" s="1764">
        <f t="shared" si="168"/>
        <v>44</v>
      </c>
      <c r="M428" s="1774">
        <f t="shared" si="179"/>
        <v>61207.199999999997</v>
      </c>
      <c r="N428" s="1775">
        <f t="shared" si="180"/>
        <v>1247.1599999999999</v>
      </c>
      <c r="O428" s="1777">
        <v>56122.2</v>
      </c>
      <c r="P428" s="1763">
        <v>0.15</v>
      </c>
      <c r="Q428" s="1783">
        <f t="shared" si="169"/>
        <v>95</v>
      </c>
      <c r="R428" s="1763">
        <v>4275</v>
      </c>
      <c r="S428" s="1777">
        <f t="shared" si="170"/>
        <v>18</v>
      </c>
      <c r="T428" s="1763">
        <v>810</v>
      </c>
      <c r="U428" s="1763"/>
      <c r="V428" s="1785">
        <v>145303.75</v>
      </c>
      <c r="W428" s="1785">
        <f t="shared" si="171"/>
        <v>3228.9722222222222</v>
      </c>
      <c r="X428" s="1786">
        <f t="shared" si="193"/>
        <v>0.41566167425135275</v>
      </c>
      <c r="Y428" s="1789">
        <f>VLOOKUP(E428,[11]核心假设及结论!$C$25:$E$45,3,0)</f>
        <v>0.2</v>
      </c>
      <c r="Z428" s="1790">
        <f t="shared" si="190"/>
        <v>58856.4</v>
      </c>
      <c r="AA428" s="1790">
        <f t="shared" si="190"/>
        <v>60224.85</v>
      </c>
      <c r="AB428" s="1790">
        <f t="shared" si="190"/>
        <v>61593.75</v>
      </c>
      <c r="AC428" s="1790">
        <f t="shared" si="190"/>
        <v>0</v>
      </c>
      <c r="AD428" s="1790">
        <f t="shared" si="190"/>
        <v>0</v>
      </c>
      <c r="AE428" s="1790">
        <f t="shared" si="190"/>
        <v>0</v>
      </c>
      <c r="AF428" s="1790">
        <f t="shared" si="190"/>
        <v>0</v>
      </c>
      <c r="AG428" s="1794">
        <v>1307.92</v>
      </c>
      <c r="AH428" s="1794">
        <v>1338.33</v>
      </c>
      <c r="AI428" s="1794">
        <v>1368.75</v>
      </c>
      <c r="AJ428" s="1794">
        <v>0</v>
      </c>
      <c r="AK428" s="1794">
        <v>0</v>
      </c>
      <c r="AL428" s="1794">
        <v>0</v>
      </c>
      <c r="AM428" s="1794">
        <v>0</v>
      </c>
      <c r="AN428" s="1764"/>
      <c r="AO428" s="1764"/>
      <c r="AP428" s="1808">
        <f t="shared" si="181"/>
        <v>2.0783083712567638</v>
      </c>
      <c r="AQ428" s="1810">
        <f>IF(AP428&gt;[11]核心假设及结论!$B$59,[11]核心假设及结论!$D$59,IF(AP428&lt;=[11]核心假设及结论!$B$58,[11]核心假设及结论!$D$57,[11]核心假设及结论!$D$58))</f>
        <v>1</v>
      </c>
      <c r="AR428" s="1809">
        <f t="shared" si="182"/>
        <v>1307.92</v>
      </c>
      <c r="AS428" s="1809">
        <f>AH428*(AS$2&lt;=YEAR($K428))+AR428*$AQ428*(AS$2=YEAR($K428)+1)+INDEX([11]核心假设及结论!$E$17:$E$21,MATCH($D428,[11]核心假设及结论!$B$17:$B$21,0))*(AS$2&gt;YEAR($K428)+1)*AR428</f>
        <v>1338.33</v>
      </c>
      <c r="AT428" s="1809">
        <f>AI428*(AT$2&lt;=YEAR($K428))+AS428*$AQ428*(AT$2=YEAR($K428)+1)+INDEX([11]核心假设及结论!$E$17:$E$21,MATCH($D428,[11]核心假设及结论!$B$17:$B$21,0))*(AT$2&gt;YEAR($K428)+1)*AS428</f>
        <v>1368.75</v>
      </c>
      <c r="AU428" s="1811">
        <f>AJ428*(AU$2&lt;=YEAR($K428))+AT428*$AQ428*(AU$2=YEAR($K428)+1)+INDEX([11]核心假设及结论!$E$17:$E$21,MATCH($D428,[11]核心假设及结论!$B$17:$B$21,0))*(AU$2&gt;YEAR($K428)+1)*AT428</f>
        <v>1368.75</v>
      </c>
      <c r="AV428" s="1809">
        <f>AK428*(AV$2&lt;=YEAR($K428))+AU428*$AQ428*(AV$2=YEAR($K428)+1)+INDEX([11]核心假设及结论!$E$17:$E$21,MATCH($D428,[11]核心假设及结论!$B$17:$B$21,0))*(AV$2&gt;YEAR($K428)+1)*AU428</f>
        <v>1405.8082095661462</v>
      </c>
      <c r="AW428" s="1809">
        <f>AL428*(AW$2&lt;=YEAR($K428))+AV428*$AQ428*(AW$2=YEAR($K428)+1)+INDEX([11]核心假设及结论!$E$17:$E$21,MATCH($D428,[11]核心假设及结论!$B$17:$B$21,0))*(AW$2&gt;YEAR($K428)+1)*AV428</f>
        <v>1443.869751293935</v>
      </c>
      <c r="AX428" s="1809">
        <f>AM428*(AX$2&lt;=YEAR($K428))+AW428*$AQ428*(AX$2=YEAR($K428)+1)+INDEX([11]核心假设及结论!$E$17:$E$21,MATCH($D428,[11]核心假设及结论!$B$17:$B$21,0))*(AX$2&gt;YEAR($K428)+1)*AW428</f>
        <v>1482.9617898909542</v>
      </c>
      <c r="AZ428" s="1746">
        <f t="shared" si="172"/>
        <v>46730</v>
      </c>
      <c r="BA428" s="1817">
        <f t="shared" si="173"/>
        <v>45658</v>
      </c>
      <c r="BB428" s="1817">
        <f t="shared" si="174"/>
        <v>46000</v>
      </c>
      <c r="BC428" s="1841">
        <f t="shared" si="175"/>
        <v>46022</v>
      </c>
      <c r="BD428" s="1842">
        <f t="shared" si="176"/>
        <v>343</v>
      </c>
      <c r="BE428" s="1842">
        <f t="shared" si="177"/>
        <v>22</v>
      </c>
      <c r="BG428" s="1843">
        <f t="shared" si="192"/>
        <v>70.726658301369852</v>
      </c>
      <c r="BH428" s="1843">
        <f t="shared" si="188"/>
        <v>72.368830849315074</v>
      </c>
      <c r="BI428" s="1843">
        <f t="shared" si="188"/>
        <v>73.912499999999994</v>
      </c>
      <c r="BJ428" s="1843">
        <f t="shared" si="188"/>
        <v>74.033116857437207</v>
      </c>
      <c r="BK428" s="1843">
        <f t="shared" si="187"/>
        <v>76.037525814031113</v>
      </c>
      <c r="BL428" s="1843">
        <f t="shared" si="187"/>
        <v>78.096203122895119</v>
      </c>
      <c r="BM428" s="1843">
        <f t="shared" si="187"/>
        <v>75.253200746192476</v>
      </c>
      <c r="BO428" s="1739">
        <f t="shared" si="178"/>
        <v>2027</v>
      </c>
      <c r="BP428" s="1742">
        <f>_xlfn.IFNA(INDEX($AR428:$AX428,MATCH(BO428,$AR$2:$AX$2,0))*12/365*[11]核心假设及结论!$C$70*$H428,0)</f>
        <v>60750</v>
      </c>
      <c r="BR428" s="1739">
        <f t="shared" si="183"/>
        <v>2031</v>
      </c>
      <c r="BS428" s="1742">
        <f>_xlfn.IFNA(INDEX($AR428:$AX428,MATCH(BR428,$AR$2:$AX$2,0))*12/365*[11]核心假设及结论!$C$70*$H428,0)</f>
        <v>65819.126017077957</v>
      </c>
      <c r="BU428" s="1739">
        <f t="shared" si="184"/>
        <v>2035</v>
      </c>
      <c r="BV428" s="1742">
        <f>_xlfn.IFNA(INDEX($AR428:$AX428,MATCH(BU428,$AR$2:$AX$2,0))*12/365*[11]核心假设及结论!$C$70*$H428,0)</f>
        <v>0</v>
      </c>
      <c r="BX428" s="1739">
        <f t="shared" si="185"/>
        <v>2039</v>
      </c>
      <c r="BY428" s="1742">
        <f>_xlfn.IFNA(INDEX($AR428:$AX428,MATCH(BX428,$AR$2:$AX$2,0))*12/365*[11]核心假设及结论!$C$70*$H428,0)</f>
        <v>0</v>
      </c>
      <c r="CA428" s="1739">
        <f t="shared" si="186"/>
        <v>2043</v>
      </c>
      <c r="CB428" s="1742">
        <f>_xlfn.IFNA(INDEX($AR428:$AX428,MATCH(CA428,$AR$2:$AX$2,0))*12/365*[11]核心假设及结论!$C$70*$H428,0)</f>
        <v>0</v>
      </c>
    </row>
    <row r="429" spans="1:80" ht="30" customHeight="1">
      <c r="A429" s="1763" t="s">
        <v>1687</v>
      </c>
      <c r="B429" s="1757" t="s">
        <v>2555</v>
      </c>
      <c r="C429" s="1764" t="s">
        <v>2556</v>
      </c>
      <c r="D429" s="1764" t="s">
        <v>1698</v>
      </c>
      <c r="E429" s="1764" t="s">
        <v>1698</v>
      </c>
      <c r="F429" s="1765"/>
      <c r="G429" s="1760" t="s">
        <v>1661</v>
      </c>
      <c r="H429" s="1761">
        <v>45</v>
      </c>
      <c r="I429" s="1763" t="s">
        <v>2534</v>
      </c>
      <c r="J429" s="1773">
        <v>44221</v>
      </c>
      <c r="K429" s="1773">
        <v>46046</v>
      </c>
      <c r="L429" s="1764">
        <f t="shared" si="168"/>
        <v>60</v>
      </c>
      <c r="M429" s="1774">
        <f t="shared" si="179"/>
        <v>21422.25</v>
      </c>
      <c r="N429" s="1775">
        <f t="shared" si="180"/>
        <v>367.42999999999995</v>
      </c>
      <c r="O429" s="1777">
        <v>16534.349999999999</v>
      </c>
      <c r="P429" s="1763">
        <v>0.15</v>
      </c>
      <c r="Q429" s="1783">
        <f t="shared" si="169"/>
        <v>90</v>
      </c>
      <c r="R429" s="1763">
        <v>4050</v>
      </c>
      <c r="S429" s="1777">
        <f t="shared" si="170"/>
        <v>18.62</v>
      </c>
      <c r="T429" s="1763">
        <v>837.9</v>
      </c>
      <c r="U429" s="1763"/>
      <c r="V429" s="1785">
        <v>175428.405</v>
      </c>
      <c r="W429" s="1785">
        <f t="shared" si="171"/>
        <v>3898.4090000000001</v>
      </c>
      <c r="X429" s="1786">
        <f t="shared" si="193"/>
        <v>0.11733761131784787</v>
      </c>
      <c r="Y429" s="1789">
        <f>VLOOKUP(E429,[11]核心假设及结论!$C$25:$E$45,3,0)</f>
        <v>0.2</v>
      </c>
      <c r="Z429" s="1790">
        <f t="shared" si="190"/>
        <v>17109.45</v>
      </c>
      <c r="AA429" s="1790">
        <f t="shared" si="190"/>
        <v>17793.900000000001</v>
      </c>
      <c r="AB429" s="1790">
        <f t="shared" si="190"/>
        <v>0</v>
      </c>
      <c r="AC429" s="1790">
        <f t="shared" si="190"/>
        <v>0</v>
      </c>
      <c r="AD429" s="1790">
        <f t="shared" si="190"/>
        <v>0</v>
      </c>
      <c r="AE429" s="1790">
        <f t="shared" si="190"/>
        <v>0</v>
      </c>
      <c r="AF429" s="1790">
        <f t="shared" si="190"/>
        <v>0</v>
      </c>
      <c r="AG429" s="1794">
        <v>380.21</v>
      </c>
      <c r="AH429" s="1794">
        <v>395.42</v>
      </c>
      <c r="AI429" s="1794">
        <v>0</v>
      </c>
      <c r="AJ429" s="1794">
        <v>0</v>
      </c>
      <c r="AK429" s="1794">
        <v>0</v>
      </c>
      <c r="AL429" s="1794">
        <v>0</v>
      </c>
      <c r="AM429" s="1794">
        <v>0</v>
      </c>
      <c r="AN429" s="1764"/>
      <c r="AO429" s="1764"/>
      <c r="AP429" s="1808">
        <f t="shared" si="181"/>
        <v>0.58668805658923928</v>
      </c>
      <c r="AQ429" s="1812">
        <f>IF(AP429&gt;[11]核心假设及结论!$B$62,[11]核心假设及结论!$D$62,IF(AP429&lt;=[11]核心假设及结论!$B$61,[11]核心假设及结论!$D$60,[11]核心假设及结论!$D$61))</f>
        <v>1.0811176582269599</v>
      </c>
      <c r="AR429" s="1809">
        <f t="shared" si="182"/>
        <v>380.21</v>
      </c>
      <c r="AS429" s="1809">
        <f>AH429*(AS$2&lt;=YEAR($K429))+AR429*$AQ429*(AS$2=YEAR($K429)+1)+INDEX([11]核心假设及结论!$E$17:$E$21,MATCH($D429,[11]核心假设及结论!$B$17:$B$21,0))*(AS$2&gt;YEAR($K429)+1)*AR429</f>
        <v>395.42</v>
      </c>
      <c r="AT429" s="1811">
        <f>AI429*(AT$2&lt;=YEAR($K429))+AS429*$AQ429*(AT$2=YEAR($K429)+1)+INDEX([11]核心假设及结论!$E$17:$E$21,MATCH($D429,[11]核心假设及结论!$B$17:$B$21,0))*(AT$2&gt;YEAR($K429)+1)*AS429</f>
        <v>427.49554441610451</v>
      </c>
      <c r="AU429" s="1809">
        <f>AJ429*(AU$2&lt;=YEAR($K429))+AT429*$AQ429*(AU$2=YEAR($K429)+1)+INDEX([11]核心假设及结论!$E$17:$E$21,MATCH($D429,[11]核心假设及结论!$B$17:$B$21,0))*(AU$2&gt;YEAR($K429)+1)*AT429</f>
        <v>440.58434879084751</v>
      </c>
      <c r="AV429" s="1809">
        <f>AK429*(AV$2&lt;=YEAR($K429))+AU429*$AQ429*(AV$2=YEAR($K429)+1)+INDEX([11]核心假设及结论!$E$17:$E$21,MATCH($D429,[11]核心假设及结论!$B$17:$B$21,0))*(AV$2&gt;YEAR($K429)+1)*AU429</f>
        <v>454.0738983948637</v>
      </c>
      <c r="AW429" s="1809">
        <f>AL429*(AW$2&lt;=YEAR($K429))+AV429*$AQ429*(AW$2=YEAR($K429)+1)+INDEX([11]核心假设及结论!$E$17:$E$21,MATCH($D429,[11]核心假设及结论!$B$17:$B$21,0))*(AW$2&gt;YEAR($K429)+1)*AV429</f>
        <v>467.97646300728547</v>
      </c>
      <c r="AX429" s="1809">
        <f>AM429*(AX$2&lt;=YEAR($K429))+AW429*$AQ429*(AX$2=YEAR($K429)+1)+INDEX([11]核心假设及结论!$E$17:$E$21,MATCH($D429,[11]核心假设及结论!$B$17:$B$21,0))*(AX$2&gt;YEAR($K429)+1)*AW429</f>
        <v>482.3046880760466</v>
      </c>
      <c r="AZ429" s="1746">
        <f t="shared" si="172"/>
        <v>46046</v>
      </c>
      <c r="BA429" s="1817">
        <f t="shared" si="173"/>
        <v>45658</v>
      </c>
      <c r="BB429" s="1817">
        <f t="shared" si="174"/>
        <v>45681</v>
      </c>
      <c r="BC429" s="1841">
        <f t="shared" si="175"/>
        <v>46022</v>
      </c>
      <c r="BD429" s="1842">
        <f t="shared" si="176"/>
        <v>24</v>
      </c>
      <c r="BE429" s="1842">
        <f t="shared" si="177"/>
        <v>341</v>
      </c>
      <c r="BG429" s="1843">
        <f t="shared" si="192"/>
        <v>21.298674082191784</v>
      </c>
      <c r="BH429" s="1843">
        <f t="shared" si="188"/>
        <v>22.970869246241499</v>
      </c>
      <c r="BI429" s="1843">
        <f t="shared" si="188"/>
        <v>23.745080614240926</v>
      </c>
      <c r="BJ429" s="1843">
        <f t="shared" si="188"/>
        <v>24.472093372810843</v>
      </c>
      <c r="BK429" s="1843">
        <f t="shared" si="187"/>
        <v>25.221365375714786</v>
      </c>
      <c r="BL429" s="1843">
        <f t="shared" si="187"/>
        <v>25.993578143259626</v>
      </c>
      <c r="BM429" s="1843">
        <f t="shared" si="187"/>
        <v>1.7125119883467297</v>
      </c>
      <c r="BO429" s="1739">
        <f t="shared" si="178"/>
        <v>2026</v>
      </c>
      <c r="BP429" s="1742">
        <f>_xlfn.IFNA(INDEX($AR429:$AX429,MATCH(BO429,$AR$2:$AX$2,0))*12/365*[11]核心假设及结论!$C$70*$H429,0)</f>
        <v>17550.147945205477</v>
      </c>
      <c r="BR429" s="1739">
        <f t="shared" si="183"/>
        <v>2031</v>
      </c>
      <c r="BS429" s="1742">
        <f>_xlfn.IFNA(INDEX($AR429:$AX429,MATCH(BR429,$AR$2:$AX$2,0))*12/365*[11]核心假设及结论!$C$70*$H429,0)</f>
        <v>21406.399854334122</v>
      </c>
      <c r="BU429" s="1739">
        <f t="shared" si="184"/>
        <v>2036</v>
      </c>
      <c r="BV429" s="1742">
        <f>_xlfn.IFNA(INDEX($AR429:$AX429,MATCH(BU429,$AR$2:$AX$2,0))*12/365*[11]核心假设及结论!$C$70*$H429,0)</f>
        <v>0</v>
      </c>
      <c r="BX429" s="1739">
        <f t="shared" si="185"/>
        <v>2041</v>
      </c>
      <c r="BY429" s="1742">
        <f>_xlfn.IFNA(INDEX($AR429:$AX429,MATCH(BX429,$AR$2:$AX$2,0))*12/365*[11]核心假设及结论!$C$70*$H429,0)</f>
        <v>0</v>
      </c>
      <c r="CA429" s="1739">
        <f t="shared" si="186"/>
        <v>2046</v>
      </c>
      <c r="CB429" s="1742">
        <f>_xlfn.IFNA(INDEX($AR429:$AX429,MATCH(CA429,$AR$2:$AX$2,0))*12/365*[11]核心假设及结论!$C$70*$H429,0)</f>
        <v>0</v>
      </c>
    </row>
    <row r="430" spans="1:80" ht="30" customHeight="1">
      <c r="A430" s="1763" t="s">
        <v>1662</v>
      </c>
      <c r="B430" s="1757" t="s">
        <v>2557</v>
      </c>
      <c r="C430" s="1764" t="s">
        <v>2558</v>
      </c>
      <c r="D430" s="1764" t="s">
        <v>1676</v>
      </c>
      <c r="E430" s="1764" t="s">
        <v>1758</v>
      </c>
      <c r="F430" s="1765"/>
      <c r="G430" s="1763" t="s">
        <v>1682</v>
      </c>
      <c r="H430" s="1761">
        <v>44</v>
      </c>
      <c r="I430" s="1763" t="s">
        <v>2534</v>
      </c>
      <c r="J430" s="1773">
        <v>45484</v>
      </c>
      <c r="K430" s="1773">
        <v>46578</v>
      </c>
      <c r="L430" s="1764">
        <f t="shared" si="168"/>
        <v>36</v>
      </c>
      <c r="M430" s="1774">
        <f t="shared" si="179"/>
        <v>47129.72</v>
      </c>
      <c r="N430" s="1775">
        <f t="shared" si="180"/>
        <v>958.13</v>
      </c>
      <c r="O430" s="1777">
        <v>42157.72</v>
      </c>
      <c r="P430" s="1763">
        <v>0</v>
      </c>
      <c r="Q430" s="1783">
        <f t="shared" si="169"/>
        <v>95</v>
      </c>
      <c r="R430" s="1763">
        <v>4180</v>
      </c>
      <c r="S430" s="1777">
        <f t="shared" si="170"/>
        <v>18</v>
      </c>
      <c r="T430" s="1763">
        <v>792</v>
      </c>
      <c r="U430" s="1763"/>
      <c r="V430" s="1785">
        <v>1207011.83166667</v>
      </c>
      <c r="W430" s="1785">
        <f t="shared" si="171"/>
        <v>27432.087083333408</v>
      </c>
      <c r="X430" s="1786">
        <f t="shared" si="193"/>
        <v>3.8390443891519938E-2</v>
      </c>
      <c r="Y430" s="1789">
        <f>VLOOKUP(E430,[11]核心假设及结论!$C$25:$E$45,3,0)</f>
        <v>0.2</v>
      </c>
      <c r="Z430" s="1790">
        <f t="shared" si="190"/>
        <v>42157.72</v>
      </c>
      <c r="AA430" s="1790">
        <f t="shared" si="190"/>
        <v>43422.28</v>
      </c>
      <c r="AB430" s="1790">
        <f t="shared" si="190"/>
        <v>44724.68</v>
      </c>
      <c r="AC430" s="1790">
        <f t="shared" si="190"/>
        <v>0</v>
      </c>
      <c r="AD430" s="1790">
        <f t="shared" si="190"/>
        <v>0</v>
      </c>
      <c r="AE430" s="1790">
        <f t="shared" si="190"/>
        <v>0</v>
      </c>
      <c r="AF430" s="1790">
        <f t="shared" si="190"/>
        <v>0</v>
      </c>
      <c r="AG430" s="1794">
        <v>958.13</v>
      </c>
      <c r="AH430" s="1794">
        <v>986.87</v>
      </c>
      <c r="AI430" s="1794">
        <v>1016.47</v>
      </c>
      <c r="AJ430" s="1794">
        <v>0</v>
      </c>
      <c r="AK430" s="1794">
        <v>0</v>
      </c>
      <c r="AL430" s="1794">
        <v>0</v>
      </c>
      <c r="AM430" s="1794">
        <v>0</v>
      </c>
      <c r="AN430" s="1764"/>
      <c r="AO430" s="1764"/>
      <c r="AP430" s="1808">
        <f t="shared" si="181"/>
        <v>0.19195221945759969</v>
      </c>
      <c r="AQ430" s="1808">
        <f>IF(AP430&gt;[11]核心假设及结论!$B$65,[11]核心假设及结论!$D$65,IF(AP430&lt;=[11]核心假设及结论!$B$64,[11]核心假设及结论!$D$63,[11]核心假设及结论!$D$64))</f>
        <v>1</v>
      </c>
      <c r="AR430" s="1809">
        <f t="shared" si="182"/>
        <v>958.13</v>
      </c>
      <c r="AS430" s="1809">
        <f>AH430*(AS$2&lt;=YEAR($K430))+AR430*$AQ430*(AS$2=YEAR($K430)+1)+INDEX([11]核心假设及结论!$E$17:$E$21,MATCH($D430,[11]核心假设及结论!$B$17:$B$21,0))*(AS$2&gt;YEAR($K430)+1)*AR430</f>
        <v>986.87</v>
      </c>
      <c r="AT430" s="1809">
        <f>AI430*(AT$2&lt;=YEAR($K430))+AS430*$AQ430*(AT$2=YEAR($K430)+1)+INDEX([11]核心假设及结论!$E$17:$E$21,MATCH($D430,[11]核心假设及结论!$B$17:$B$21,0))*(AT$2&gt;YEAR($K430)+1)*AS430</f>
        <v>1016.47</v>
      </c>
      <c r="AU430" s="1811">
        <f>AJ430*(AU$2&lt;=YEAR($K430))+AT430*$AQ430*(AU$2=YEAR($K430)+1)+INDEX([11]核心假设及结论!$E$17:$E$21,MATCH($D430,[11]核心假设及结论!$B$17:$B$21,0))*(AU$2&gt;YEAR($K430)+1)*AT430</f>
        <v>1016.47</v>
      </c>
      <c r="AV430" s="1809">
        <f>AK430*(AV$2&lt;=YEAR($K430))+AU430*$AQ430*(AV$2=YEAR($K430)+1)+INDEX([11]核心假设及结论!$E$17:$E$21,MATCH($D430,[11]核心假设及结论!$B$17:$B$21,0))*(AV$2&gt;YEAR($K430)+1)*AU430</f>
        <v>1051.6145391885839</v>
      </c>
      <c r="AW430" s="1809">
        <f>AL430*(AW$2&lt;=YEAR($K430))+AV430*$AQ430*(AW$2=YEAR($K430)+1)+INDEX([11]核心假设及结论!$E$17:$E$21,MATCH($D430,[11]核心假设及结论!$B$17:$B$21,0))*(AW$2&gt;YEAR($K430)+1)*AV430</f>
        <v>1087.9742038946722</v>
      </c>
      <c r="AX430" s="1809">
        <f>AM430*(AX$2&lt;=YEAR($K430))+AW430*$AQ430*(AX$2=YEAR($K430)+1)+INDEX([11]核心假设及结论!$E$17:$E$21,MATCH($D430,[11]核心假设及结论!$B$17:$B$21,0))*(AX$2&gt;YEAR($K430)+1)*AW430</f>
        <v>1125.5910071893534</v>
      </c>
      <c r="AZ430" s="1746">
        <f t="shared" si="172"/>
        <v>46578</v>
      </c>
      <c r="BA430" s="1817">
        <f t="shared" si="173"/>
        <v>45658</v>
      </c>
      <c r="BB430" s="1817">
        <f t="shared" si="174"/>
        <v>45848</v>
      </c>
      <c r="BC430" s="1841">
        <f t="shared" si="175"/>
        <v>46022</v>
      </c>
      <c r="BD430" s="1842">
        <f t="shared" si="176"/>
        <v>191</v>
      </c>
      <c r="BE430" s="1842">
        <f t="shared" si="177"/>
        <v>174</v>
      </c>
      <c r="BG430" s="1843">
        <f t="shared" si="192"/>
        <v>51.312661610958905</v>
      </c>
      <c r="BH430" s="1843">
        <f t="shared" si="188"/>
        <v>52.851780164383563</v>
      </c>
      <c r="BI430" s="1843">
        <f t="shared" si="188"/>
        <v>53.669616000000005</v>
      </c>
      <c r="BJ430" s="1843">
        <f t="shared" si="188"/>
        <v>54.554218494337974</v>
      </c>
      <c r="BK430" s="1843">
        <f t="shared" si="187"/>
        <v>56.440435372137429</v>
      </c>
      <c r="BL430" s="1843">
        <f t="shared" si="187"/>
        <v>58.391868363526079</v>
      </c>
      <c r="BM430" s="1843">
        <f t="shared" si="187"/>
        <v>31.09961695699505</v>
      </c>
      <c r="BO430" s="1739">
        <f t="shared" si="178"/>
        <v>2027</v>
      </c>
      <c r="BP430" s="1742">
        <f>_xlfn.IFNA(INDEX($AR430:$AX430,MATCH(BO430,$AR$2:$AX$2,0))*12/365*[11]核心假设及结论!$C$70*$H430,0)</f>
        <v>44112.013150684928</v>
      </c>
      <c r="BR430" s="1739">
        <f t="shared" si="183"/>
        <v>2030</v>
      </c>
      <c r="BS430" s="1742">
        <f>_xlfn.IFNA(INDEX($AR430:$AX430,MATCH(BR430,$AR$2:$AX$2,0))*12/365*[11]核心假设及结论!$C$70*$H430,0)</f>
        <v>47215.099697785226</v>
      </c>
      <c r="BU430" s="1739">
        <f t="shared" si="184"/>
        <v>2033</v>
      </c>
      <c r="BV430" s="1742">
        <f>_xlfn.IFNA(INDEX($AR430:$AX430,MATCH(BU430,$AR$2:$AX$2,0))*12/365*[11]核心假设及结论!$C$70*$H430,0)</f>
        <v>0</v>
      </c>
      <c r="BX430" s="1739">
        <f t="shared" si="185"/>
        <v>2036</v>
      </c>
      <c r="BY430" s="1742">
        <f>_xlfn.IFNA(INDEX($AR430:$AX430,MATCH(BX430,$AR$2:$AX$2,0))*12/365*[11]核心假设及结论!$C$70*$H430,0)</f>
        <v>0</v>
      </c>
      <c r="CA430" s="1739">
        <f t="shared" si="186"/>
        <v>2039</v>
      </c>
      <c r="CB430" s="1742">
        <f>_xlfn.IFNA(INDEX($AR430:$AX430,MATCH(CA430,$AR$2:$AX$2,0))*12/365*[11]核心假设及结论!$C$70*$H430,0)</f>
        <v>0</v>
      </c>
    </row>
    <row r="431" spans="1:80" ht="30" customHeight="1">
      <c r="A431" s="1763" t="s">
        <v>1662</v>
      </c>
      <c r="B431" s="1757" t="s">
        <v>2559</v>
      </c>
      <c r="C431" s="1764" t="s">
        <v>2560</v>
      </c>
      <c r="D431" s="1764" t="s">
        <v>1685</v>
      </c>
      <c r="E431" s="1764" t="s">
        <v>1871</v>
      </c>
      <c r="F431" s="1765"/>
      <c r="G431" s="1760" t="s">
        <v>1661</v>
      </c>
      <c r="H431" s="1761">
        <v>43</v>
      </c>
      <c r="I431" s="1763" t="s">
        <v>2534</v>
      </c>
      <c r="J431" s="1773">
        <v>44774</v>
      </c>
      <c r="K431" s="1773">
        <v>45869</v>
      </c>
      <c r="L431" s="1764">
        <f t="shared" si="168"/>
        <v>36</v>
      </c>
      <c r="M431" s="1774">
        <f t="shared" si="179"/>
        <v>48022.400000000001</v>
      </c>
      <c r="N431" s="1775">
        <f t="shared" si="180"/>
        <v>1003.8000000000001</v>
      </c>
      <c r="O431" s="1777">
        <v>43163.4</v>
      </c>
      <c r="P431" s="1763">
        <v>0.14000000000000001</v>
      </c>
      <c r="Q431" s="1783">
        <f t="shared" si="169"/>
        <v>95</v>
      </c>
      <c r="R431" s="1763">
        <v>4085</v>
      </c>
      <c r="S431" s="1777">
        <f t="shared" si="170"/>
        <v>18</v>
      </c>
      <c r="T431" s="1763">
        <v>774</v>
      </c>
      <c r="U431" s="1763"/>
      <c r="V431" s="1785">
        <v>169514.061666667</v>
      </c>
      <c r="W431" s="1785">
        <f t="shared" si="171"/>
        <v>3942.1874806201627</v>
      </c>
      <c r="X431" s="1786">
        <f t="shared" si="193"/>
        <v>0.27872849919028791</v>
      </c>
      <c r="Y431" s="1789">
        <f>VLOOKUP(E431,[11]核心假设及结论!$C$25:$E$45,3,0)</f>
        <v>0.2</v>
      </c>
      <c r="Z431" s="1790">
        <f t="shared" si="190"/>
        <v>44467.590000000004</v>
      </c>
      <c r="AA431" s="1790">
        <f t="shared" si="190"/>
        <v>0</v>
      </c>
      <c r="AB431" s="1790">
        <f t="shared" si="190"/>
        <v>0</v>
      </c>
      <c r="AC431" s="1790">
        <f t="shared" si="190"/>
        <v>0</v>
      </c>
      <c r="AD431" s="1790">
        <f t="shared" si="190"/>
        <v>0</v>
      </c>
      <c r="AE431" s="1790">
        <f t="shared" si="190"/>
        <v>0</v>
      </c>
      <c r="AF431" s="1790">
        <f t="shared" si="190"/>
        <v>0</v>
      </c>
      <c r="AG431" s="1794">
        <v>1034.1300000000001</v>
      </c>
      <c r="AH431" s="1794">
        <v>0</v>
      </c>
      <c r="AI431" s="1794">
        <v>0</v>
      </c>
      <c r="AJ431" s="1794">
        <v>0</v>
      </c>
      <c r="AK431" s="1794">
        <v>0</v>
      </c>
      <c r="AL431" s="1794">
        <v>0</v>
      </c>
      <c r="AM431" s="1794">
        <v>0</v>
      </c>
      <c r="AN431" s="1764"/>
      <c r="AO431" s="1764"/>
      <c r="AP431" s="1808">
        <f t="shared" si="181"/>
        <v>1.3936424959514395</v>
      </c>
      <c r="AQ431" s="1810">
        <f>IF(AP431&gt;[11]核心假设及结论!$B$59,[11]核心假设及结论!$D$59,IF(AP431&lt;=[11]核心假设及结论!$B$58,[11]核心假设及结论!$D$57,[11]核心假设及结论!$D$58))</f>
        <v>1.0069999999999999</v>
      </c>
      <c r="AR431" s="1809">
        <f t="shared" si="182"/>
        <v>1034.1300000000001</v>
      </c>
      <c r="AS431" s="1811">
        <f>AH431*(AS$2&lt;=YEAR($K431))+AR431*$AQ431*(AS$2=YEAR($K431)+1)+INDEX([11]核心假设及结论!$E$17:$E$21,MATCH($D431,[11]核心假设及结论!$B$17:$B$21,0))*(AS$2&gt;YEAR($K431)+1)*AR431</f>
        <v>1041.3689099999999</v>
      </c>
      <c r="AT431" s="1809">
        <f>AI431*(AT$2&lt;=YEAR($K431))+AS431*$AQ431*(AT$2=YEAR($K431)+1)+INDEX([11]核心假设及结论!$E$17:$E$21,MATCH($D431,[11]核心假设及结论!$B$17:$B$21,0))*(AT$2&gt;YEAR($K431)+1)*AS431</f>
        <v>1069.5634431890039</v>
      </c>
      <c r="AU431" s="1809">
        <f>AJ431*(AU$2&lt;=YEAR($K431))+AT431*$AQ431*(AU$2=YEAR($K431)+1)+INDEX([11]核心假设及结论!$E$17:$E$21,MATCH($D431,[11]核心假设及结论!$B$17:$B$21,0))*(AU$2&gt;YEAR($K431)+1)*AT431</f>
        <v>1098.5213290132865</v>
      </c>
      <c r="AV431" s="1809">
        <f>AK431*(AV$2&lt;=YEAR($K431))+AU431*$AQ431*(AV$2=YEAR($K431)+1)+INDEX([11]核心假设及结论!$E$17:$E$21,MATCH($D431,[11]核心假设及结论!$B$17:$B$21,0))*(AV$2&gt;YEAR($K431)+1)*AU431</f>
        <v>1128.263234856907</v>
      </c>
      <c r="AW431" s="1809">
        <f>AL431*(AW$2&lt;=YEAR($K431))+AV431*$AQ431*(AW$2=YEAR($K431)+1)+INDEX([11]核心假设及结论!$E$17:$E$21,MATCH($D431,[11]核心假设及结论!$B$17:$B$21,0))*(AW$2&gt;YEAR($K431)+1)*AV431</f>
        <v>1158.8103876628286</v>
      </c>
      <c r="AX431" s="1809">
        <f>AM431*(AX$2&lt;=YEAR($K431))+AW431*$AQ431*(AX$2=YEAR($K431)+1)+INDEX([11]核心假设及结论!$E$17:$E$21,MATCH($D431,[11]核心假设及结论!$B$17:$B$21,0))*(AX$2&gt;YEAR($K431)+1)*AW431</f>
        <v>1190.1845890826905</v>
      </c>
      <c r="AZ431" s="1746">
        <f t="shared" si="172"/>
        <v>45869</v>
      </c>
      <c r="BA431" s="1817">
        <f t="shared" si="173"/>
        <v>45658</v>
      </c>
      <c r="BB431" s="1817">
        <f t="shared" si="174"/>
        <v>45869</v>
      </c>
      <c r="BC431" s="1841">
        <f t="shared" si="175"/>
        <v>46022</v>
      </c>
      <c r="BD431" s="1842">
        <f t="shared" si="176"/>
        <v>212</v>
      </c>
      <c r="BE431" s="1842">
        <f t="shared" si="177"/>
        <v>153</v>
      </c>
      <c r="BG431" s="1843">
        <f t="shared" si="192"/>
        <v>53.517682648405476</v>
      </c>
      <c r="BH431" s="1843">
        <f t="shared" si="188"/>
        <v>54.344471922083684</v>
      </c>
      <c r="BI431" s="1843">
        <f t="shared" si="188"/>
        <v>55.815820838430803</v>
      </c>
      <c r="BJ431" s="1843">
        <f t="shared" si="188"/>
        <v>57.327005777782063</v>
      </c>
      <c r="BK431" s="1843">
        <f t="shared" si="187"/>
        <v>58.879105280184049</v>
      </c>
      <c r="BL431" s="1843">
        <f t="shared" si="187"/>
        <v>60.47322708660613</v>
      </c>
      <c r="BM431" s="1843">
        <f t="shared" si="187"/>
        <v>35.670321251762644</v>
      </c>
      <c r="BO431" s="1739">
        <f t="shared" si="178"/>
        <v>2025</v>
      </c>
      <c r="BP431" s="1742">
        <f>_xlfn.IFNA(INDEX($AR431:$AX431,MATCH(BO431,$AR$2:$AX$2,0))*12/365*[11]核心假设及结论!$C$70*$H431,0)</f>
        <v>43858.444931506849</v>
      </c>
      <c r="BR431" s="1739">
        <f t="shared" si="183"/>
        <v>2028</v>
      </c>
      <c r="BS431" s="1742">
        <f>_xlfn.IFNA(INDEX($AR431:$AX431,MATCH(BR431,$AR$2:$AX$2,0))*12/365*[11]核心假设及结论!$C$70*$H431,0)</f>
        <v>46589.342940070339</v>
      </c>
      <c r="BU431" s="1739">
        <f t="shared" si="184"/>
        <v>2031</v>
      </c>
      <c r="BV431" s="1742">
        <f>_xlfn.IFNA(INDEX($AR431:$AX431,MATCH(BU431,$AR$2:$AX$2,0))*12/365*[11]核心假设及结论!$C$70*$H431,0)</f>
        <v>50476.869695890542</v>
      </c>
      <c r="BX431" s="1739">
        <f t="shared" si="185"/>
        <v>2034</v>
      </c>
      <c r="BY431" s="1742">
        <f>_xlfn.IFNA(INDEX($AR431:$AX431,MATCH(BX431,$AR$2:$AX$2,0))*12/365*[11]核心假设及结论!$C$70*$H431,0)</f>
        <v>0</v>
      </c>
      <c r="CA431" s="1739">
        <f t="shared" si="186"/>
        <v>2037</v>
      </c>
      <c r="CB431" s="1742">
        <f>_xlfn.IFNA(INDEX($AR431:$AX431,MATCH(CA431,$AR$2:$AX$2,0))*12/365*[11]核心假设及结论!$C$70*$H431,0)</f>
        <v>0</v>
      </c>
    </row>
    <row r="432" spans="1:80" ht="30" customHeight="1">
      <c r="A432" s="1763" t="s">
        <v>1687</v>
      </c>
      <c r="B432" s="1757" t="s">
        <v>2561</v>
      </c>
      <c r="C432" s="1764" t="s">
        <v>2562</v>
      </c>
      <c r="D432" s="1764" t="s">
        <v>1698</v>
      </c>
      <c r="E432" s="1764" t="s">
        <v>1698</v>
      </c>
      <c r="F432" s="1765"/>
      <c r="G432" s="1760" t="s">
        <v>1661</v>
      </c>
      <c r="H432" s="1761">
        <v>41</v>
      </c>
      <c r="I432" s="1763" t="s">
        <v>2534</v>
      </c>
      <c r="J432" s="1773">
        <v>45251</v>
      </c>
      <c r="K432" s="1773">
        <v>46346</v>
      </c>
      <c r="L432" s="1764">
        <f t="shared" si="168"/>
        <v>36</v>
      </c>
      <c r="M432" s="1774">
        <f t="shared" si="179"/>
        <v>55558.28</v>
      </c>
      <c r="N432" s="1775">
        <f t="shared" si="180"/>
        <v>1247.08</v>
      </c>
      <c r="O432" s="1777">
        <v>51130.28</v>
      </c>
      <c r="P432" s="1763">
        <v>0.13</v>
      </c>
      <c r="Q432" s="1783">
        <f t="shared" si="169"/>
        <v>90</v>
      </c>
      <c r="R432" s="1763">
        <v>3690</v>
      </c>
      <c r="S432" s="1777">
        <f t="shared" si="170"/>
        <v>18</v>
      </c>
      <c r="T432" s="1763">
        <v>738</v>
      </c>
      <c r="U432" s="1763"/>
      <c r="V432" s="1785">
        <v>260567.055555556</v>
      </c>
      <c r="W432" s="1785">
        <f t="shared" si="171"/>
        <v>6355.2940379403899</v>
      </c>
      <c r="X432" s="1786">
        <f t="shared" si="193"/>
        <v>0.2103883773146896</v>
      </c>
      <c r="Y432" s="1789">
        <f>VLOOKUP(E432,[11]核心假设及结论!$C$25:$E$45,3,0)</f>
        <v>0.2</v>
      </c>
      <c r="Z432" s="1790">
        <f t="shared" si="190"/>
        <v>52377.5</v>
      </c>
      <c r="AA432" s="1790">
        <f t="shared" si="190"/>
        <v>53624.72</v>
      </c>
      <c r="AB432" s="1790">
        <f t="shared" si="190"/>
        <v>0</v>
      </c>
      <c r="AC432" s="1790">
        <f t="shared" si="190"/>
        <v>0</v>
      </c>
      <c r="AD432" s="1790">
        <f t="shared" si="190"/>
        <v>0</v>
      </c>
      <c r="AE432" s="1790">
        <f t="shared" si="190"/>
        <v>0</v>
      </c>
      <c r="AF432" s="1790">
        <f t="shared" si="190"/>
        <v>0</v>
      </c>
      <c r="AG432" s="1794">
        <v>1277.5</v>
      </c>
      <c r="AH432" s="1794">
        <v>1307.92</v>
      </c>
      <c r="AI432" s="1794">
        <v>0</v>
      </c>
      <c r="AJ432" s="1794">
        <v>0</v>
      </c>
      <c r="AK432" s="1794">
        <v>0</v>
      </c>
      <c r="AL432" s="1794">
        <v>0</v>
      </c>
      <c r="AM432" s="1794">
        <v>0</v>
      </c>
      <c r="AN432" s="1764"/>
      <c r="AO432" s="1764"/>
      <c r="AP432" s="1808">
        <f t="shared" si="181"/>
        <v>1.051941886573448</v>
      </c>
      <c r="AQ432" s="1812">
        <f>IF(AP432&gt;[11]核心假设及结论!$B$62,[11]核心假设及结论!$D$62,IF(AP432&lt;=[11]核心假设及结论!$B$61,[11]核心假设及结论!$D$60,[11]核心假设及结论!$D$61))</f>
        <v>1.0489999999999999</v>
      </c>
      <c r="AR432" s="1809">
        <f t="shared" si="182"/>
        <v>1277.5</v>
      </c>
      <c r="AS432" s="1809">
        <f>AH432*(AS$2&lt;=YEAR($K432))+AR432*$AQ432*(AS$2=YEAR($K432)+1)+INDEX([11]核心假设及结论!$E$17:$E$21,MATCH($D432,[11]核心假设及结论!$B$17:$B$21,0))*(AS$2&gt;YEAR($K432)+1)*AR432</f>
        <v>1307.92</v>
      </c>
      <c r="AT432" s="1811">
        <f>AI432*(AT$2&lt;=YEAR($K432))+AS432*$AQ432*(AT$2=YEAR($K432)+1)+INDEX([11]核心假设及结论!$E$17:$E$21,MATCH($D432,[11]核心假设及结论!$B$17:$B$21,0))*(AT$2&gt;YEAR($K432)+1)*AS432</f>
        <v>1372.0080800000001</v>
      </c>
      <c r="AU432" s="1809">
        <f>AJ432*(AU$2&lt;=YEAR($K432))+AT432*$AQ432*(AU$2=YEAR($K432)+1)+INDEX([11]核心假设及结论!$E$17:$E$21,MATCH($D432,[11]核心假设及结论!$B$17:$B$21,0))*(AU$2&gt;YEAR($K432)+1)*AT432</f>
        <v>1414.015407548208</v>
      </c>
      <c r="AV432" s="1809">
        <f>AK432*(AV$2&lt;=YEAR($K432))+AU432*$AQ432*(AV$2=YEAR($K432)+1)+INDEX([11]核心假设及结论!$E$17:$E$21,MATCH($D432,[11]核心假设及结论!$B$17:$B$21,0))*(AV$2&gt;YEAR($K432)+1)*AU432</f>
        <v>1457.3088904722229</v>
      </c>
      <c r="AW432" s="1809">
        <f>AL432*(AW$2&lt;=YEAR($K432))+AV432*$AQ432*(AW$2=YEAR($K432)+1)+INDEX([11]核心假设及结论!$E$17:$E$21,MATCH($D432,[11]核心假设及结论!$B$17:$B$21,0))*(AW$2&gt;YEAR($K432)+1)*AV432</f>
        <v>1501.9279075125469</v>
      </c>
      <c r="AX432" s="1809">
        <f>AM432*(AX$2&lt;=YEAR($K432))+AW432*$AQ432*(AX$2=YEAR($K432)+1)+INDEX([11]核心假设及结论!$E$17:$E$21,MATCH($D432,[11]核心假设及结论!$B$17:$B$21,0))*(AX$2&gt;YEAR($K432)+1)*AW432</f>
        <v>1547.913043084543</v>
      </c>
      <c r="AZ432" s="1746">
        <f t="shared" si="172"/>
        <v>46346</v>
      </c>
      <c r="BA432" s="1817">
        <f t="shared" si="173"/>
        <v>45658</v>
      </c>
      <c r="BB432" s="1817">
        <f t="shared" si="174"/>
        <v>45981</v>
      </c>
      <c r="BC432" s="1841">
        <f t="shared" si="175"/>
        <v>46022</v>
      </c>
      <c r="BD432" s="1842">
        <f t="shared" si="176"/>
        <v>324</v>
      </c>
      <c r="BE432" s="1842">
        <f t="shared" si="177"/>
        <v>41</v>
      </c>
      <c r="BG432" s="1843">
        <f t="shared" si="192"/>
        <v>63.021118421917805</v>
      </c>
      <c r="BH432" s="1843">
        <f t="shared" si="188"/>
        <v>64.703851602673979</v>
      </c>
      <c r="BI432" s="1843">
        <f t="shared" si="188"/>
        <v>67.73495419663081</v>
      </c>
      <c r="BJ432" s="1843">
        <f t="shared" si="188"/>
        <v>69.808822746589158</v>
      </c>
      <c r="BK432" s="1843">
        <f t="shared" si="187"/>
        <v>71.946187770613477</v>
      </c>
      <c r="BL432" s="1843">
        <f t="shared" si="187"/>
        <v>74.148993365989469</v>
      </c>
      <c r="BM432" s="1843">
        <f t="shared" si="187"/>
        <v>67.602663663567355</v>
      </c>
      <c r="BO432" s="1739">
        <f t="shared" si="178"/>
        <v>2026</v>
      </c>
      <c r="BP432" s="1742">
        <f>_xlfn.IFNA(INDEX($AR432:$AX432,MATCH(BO432,$AR$2:$AX$2,0))*12/365*[11]核心假设及结论!$C$70*$H432,0)</f>
        <v>52890.134794520542</v>
      </c>
      <c r="BR432" s="1739">
        <f t="shared" si="183"/>
        <v>2029</v>
      </c>
      <c r="BS432" s="1742">
        <f>_xlfn.IFNA(INDEX($AR432:$AX432,MATCH(BR432,$AR$2:$AX$2,0))*12/365*[11]核心假设及结论!$C$70*$H432,0)</f>
        <v>58931.175954438389</v>
      </c>
      <c r="BU432" s="1739">
        <f t="shared" si="184"/>
        <v>2032</v>
      </c>
      <c r="BV432" s="1742">
        <f>_xlfn.IFNA(INDEX($AR432:$AX432,MATCH(BU432,$AR$2:$AX$2,0))*12/365*[11]核心假设及结论!$C$70*$H432,0)</f>
        <v>0</v>
      </c>
      <c r="BX432" s="1739">
        <f t="shared" si="185"/>
        <v>2035</v>
      </c>
      <c r="BY432" s="1742">
        <f>_xlfn.IFNA(INDEX($AR432:$AX432,MATCH(BX432,$AR$2:$AX$2,0))*12/365*[11]核心假设及结论!$C$70*$H432,0)</f>
        <v>0</v>
      </c>
      <c r="CA432" s="1739">
        <f t="shared" si="186"/>
        <v>2038</v>
      </c>
      <c r="CB432" s="1742">
        <f>_xlfn.IFNA(INDEX($AR432:$AX432,MATCH(CA432,$AR$2:$AX$2,0))*12/365*[11]核心假设及结论!$C$70*$H432,0)</f>
        <v>0</v>
      </c>
    </row>
    <row r="433" spans="1:80" ht="30" customHeight="1">
      <c r="A433" s="1763" t="s">
        <v>1662</v>
      </c>
      <c r="B433" s="1757" t="s">
        <v>2563</v>
      </c>
      <c r="C433" s="1764" t="s">
        <v>2564</v>
      </c>
      <c r="D433" s="1764" t="s">
        <v>1698</v>
      </c>
      <c r="E433" s="1764" t="s">
        <v>1698</v>
      </c>
      <c r="F433" s="1765"/>
      <c r="G433" s="1760" t="s">
        <v>1661</v>
      </c>
      <c r="H433" s="1761">
        <v>41</v>
      </c>
      <c r="I433" s="1763" t="s">
        <v>2534</v>
      </c>
      <c r="J433" s="1773">
        <v>45433</v>
      </c>
      <c r="K433" s="1773">
        <v>46161</v>
      </c>
      <c r="L433" s="1764">
        <f t="shared" si="168"/>
        <v>24</v>
      </c>
      <c r="M433" s="1774">
        <f t="shared" si="179"/>
        <v>25832.87</v>
      </c>
      <c r="N433" s="1775">
        <f t="shared" si="180"/>
        <v>517.06999999999994</v>
      </c>
      <c r="O433" s="1777">
        <v>21199.87</v>
      </c>
      <c r="P433" s="1763">
        <v>0.13</v>
      </c>
      <c r="Q433" s="1783">
        <f t="shared" si="169"/>
        <v>95</v>
      </c>
      <c r="R433" s="1763">
        <v>3895</v>
      </c>
      <c r="S433" s="1777">
        <f t="shared" si="170"/>
        <v>18</v>
      </c>
      <c r="T433" s="1763">
        <v>738</v>
      </c>
      <c r="U433" s="1763"/>
      <c r="V433" s="1785">
        <v>144773.150833333</v>
      </c>
      <c r="W433" s="1785">
        <f t="shared" si="171"/>
        <v>3531.0524593495852</v>
      </c>
      <c r="X433" s="1786">
        <f t="shared" si="193"/>
        <v>0.1733392542439719</v>
      </c>
      <c r="Y433" s="1789">
        <f>VLOOKUP(E433,[11]核心假设及结论!$C$25:$E$45,3,0)</f>
        <v>0.2</v>
      </c>
      <c r="Z433" s="1790">
        <f t="shared" si="190"/>
        <v>22447.5</v>
      </c>
      <c r="AA433" s="1790">
        <f t="shared" si="190"/>
        <v>23121.129999999997</v>
      </c>
      <c r="AB433" s="1790">
        <f t="shared" si="190"/>
        <v>0</v>
      </c>
      <c r="AC433" s="1790">
        <f t="shared" si="190"/>
        <v>0</v>
      </c>
      <c r="AD433" s="1790">
        <f t="shared" si="190"/>
        <v>0</v>
      </c>
      <c r="AE433" s="1790">
        <f t="shared" si="190"/>
        <v>0</v>
      </c>
      <c r="AF433" s="1790">
        <f t="shared" si="190"/>
        <v>0</v>
      </c>
      <c r="AG433" s="1794">
        <v>547.5</v>
      </c>
      <c r="AH433" s="1794">
        <v>563.92999999999995</v>
      </c>
      <c r="AI433" s="1794">
        <v>0</v>
      </c>
      <c r="AJ433" s="1794">
        <v>0</v>
      </c>
      <c r="AK433" s="1794">
        <v>0</v>
      </c>
      <c r="AL433" s="1794">
        <v>0</v>
      </c>
      <c r="AM433" s="1794">
        <v>0</v>
      </c>
      <c r="AN433" s="1764"/>
      <c r="AO433" s="1764"/>
      <c r="AP433" s="1808">
        <f t="shared" si="181"/>
        <v>0.86669627121985948</v>
      </c>
      <c r="AQ433" s="1812">
        <f>IF(AP433&gt;[11]核心假设及结论!$B$62,[11]核心假设及结论!$D$62,IF(AP433&lt;=[11]核心假设及结论!$B$61,[11]核心假设及结论!$D$60,[11]核心假设及结论!$D$61))</f>
        <v>1.0811176582269599</v>
      </c>
      <c r="AR433" s="1809">
        <f t="shared" si="182"/>
        <v>547.5</v>
      </c>
      <c r="AS433" s="1809">
        <f>AH433*(AS$2&lt;=YEAR($K433))+AR433*$AQ433*(AS$2=YEAR($K433)+1)+INDEX([11]核心假设及结论!$E$17:$E$21,MATCH($D433,[11]核心假设及结论!$B$17:$B$21,0))*(AS$2&gt;YEAR($K433)+1)*AR433</f>
        <v>563.92999999999995</v>
      </c>
      <c r="AT433" s="1811">
        <f>AI433*(AT$2&lt;=YEAR($K433))+AS433*$AQ433*(AT$2=YEAR($K433)+1)+INDEX([11]核心假设及结论!$E$17:$E$21,MATCH($D433,[11]核心假设及结论!$B$17:$B$21,0))*(AT$2&gt;YEAR($K433)+1)*AS433</f>
        <v>609.67468100392944</v>
      </c>
      <c r="AU433" s="1809">
        <f>AJ433*(AU$2&lt;=YEAR($K433))+AT433*$AQ433*(AU$2=YEAR($K433)+1)+INDEX([11]核心假设及结论!$E$17:$E$21,MATCH($D433,[11]核心假设及结论!$B$17:$B$21,0))*(AU$2&gt;YEAR($K433)+1)*AT433</f>
        <v>628.34133785246729</v>
      </c>
      <c r="AV433" s="1809">
        <f>AK433*(AV$2&lt;=YEAR($K433))+AU433*$AQ433*(AV$2=YEAR($K433)+1)+INDEX([11]核心假设及结论!$E$17:$E$21,MATCH($D433,[11]核心假设及结论!$B$17:$B$21,0))*(AV$2&gt;YEAR($K433)+1)*AU433</f>
        <v>647.57951930052968</v>
      </c>
      <c r="AW433" s="1809">
        <f>AL433*(AW$2&lt;=YEAR($K433))+AV433*$AQ433*(AW$2=YEAR($K433)+1)+INDEX([11]核心假设及结论!$E$17:$E$21,MATCH($D433,[11]核心假设及结论!$B$17:$B$21,0))*(AW$2&gt;YEAR($K433)+1)*AV433</f>
        <v>667.40672394845592</v>
      </c>
      <c r="AX433" s="1809">
        <f>AM433*(AX$2&lt;=YEAR($K433))+AW433*$AQ433*(AX$2=YEAR($K433)+1)+INDEX([11]核心假设及结论!$E$17:$E$21,MATCH($D433,[11]核心假设及结论!$B$17:$B$21,0))*(AX$2&gt;YEAR($K433)+1)*AW433</f>
        <v>687.84098615832511</v>
      </c>
      <c r="AZ433" s="1746">
        <f t="shared" si="172"/>
        <v>46161</v>
      </c>
      <c r="BA433" s="1817">
        <f t="shared" si="173"/>
        <v>45658</v>
      </c>
      <c r="BB433" s="1817">
        <f t="shared" si="174"/>
        <v>45796</v>
      </c>
      <c r="BC433" s="1841">
        <f t="shared" si="175"/>
        <v>46022</v>
      </c>
      <c r="BD433" s="1842">
        <f t="shared" si="176"/>
        <v>139</v>
      </c>
      <c r="BE433" s="1842">
        <f t="shared" si="177"/>
        <v>226</v>
      </c>
      <c r="BG433" s="1843">
        <f t="shared" si="192"/>
        <v>27.437516317808221</v>
      </c>
      <c r="BH433" s="1843">
        <f t="shared" si="188"/>
        <v>29.138901909640797</v>
      </c>
      <c r="BI433" s="1843">
        <f t="shared" si="188"/>
        <v>30.564647156983089</v>
      </c>
      <c r="BJ433" s="1843">
        <f t="shared" si="188"/>
        <v>31.500457348799742</v>
      </c>
      <c r="BK433" s="1843">
        <f t="shared" si="187"/>
        <v>32.464919620603105</v>
      </c>
      <c r="BL433" s="1843">
        <f t="shared" si="187"/>
        <v>33.458911224740689</v>
      </c>
      <c r="BM433" s="1843">
        <f t="shared" si="187"/>
        <v>12.887690235998777</v>
      </c>
      <c r="BO433" s="1739">
        <f t="shared" si="178"/>
        <v>2026</v>
      </c>
      <c r="BP433" s="1742">
        <f>_xlfn.IFNA(INDEX($AR433:$AX433,MATCH(BO433,$AR$2:$AX$2,0))*12/365*[11]核心假设及结论!$C$70*$H433,0)</f>
        <v>22804.402191780817</v>
      </c>
      <c r="BR433" s="1739">
        <f t="shared" si="183"/>
        <v>2028</v>
      </c>
      <c r="BS433" s="1742">
        <f>_xlfn.IFNA(INDEX($AR433:$AX433,MATCH(BR433,$AR$2:$AX$2,0))*12/365*[11]核心假设及结论!$C$70*$H433,0)</f>
        <v>25409.090812883333</v>
      </c>
      <c r="BU433" s="1739">
        <f t="shared" si="184"/>
        <v>2030</v>
      </c>
      <c r="BV433" s="1742">
        <f>_xlfn.IFNA(INDEX($AR433:$AX433,MATCH(BU433,$AR$2:$AX$2,0))*12/365*[11]核心假设及结论!$C$70*$H433,0)</f>
        <v>26988.830809532079</v>
      </c>
      <c r="BX433" s="1739">
        <f t="shared" si="185"/>
        <v>2032</v>
      </c>
      <c r="BY433" s="1742">
        <f>_xlfn.IFNA(INDEX($AR433:$AX433,MATCH(BX433,$AR$2:$AX$2,0))*12/365*[11]核心假设及结论!$C$70*$H433,0)</f>
        <v>0</v>
      </c>
      <c r="CA433" s="1739">
        <f t="shared" si="186"/>
        <v>2034</v>
      </c>
      <c r="CB433" s="1742">
        <f>_xlfn.IFNA(INDEX($AR433:$AX433,MATCH(CA433,$AR$2:$AX$2,0))*12/365*[11]核心假设及结论!$C$70*$H433,0)</f>
        <v>0</v>
      </c>
    </row>
    <row r="434" spans="1:80" ht="30" customHeight="1">
      <c r="A434" s="1763" t="s">
        <v>1687</v>
      </c>
      <c r="B434" s="1757" t="s">
        <v>2565</v>
      </c>
      <c r="C434" s="1764" t="s">
        <v>2566</v>
      </c>
      <c r="D434" s="1764" t="s">
        <v>1685</v>
      </c>
      <c r="E434" s="1764" t="s">
        <v>1920</v>
      </c>
      <c r="F434" s="1765"/>
      <c r="G434" s="1760" t="s">
        <v>1661</v>
      </c>
      <c r="H434" s="1761">
        <v>40</v>
      </c>
      <c r="I434" s="1763" t="s">
        <v>2534</v>
      </c>
      <c r="J434" s="1773">
        <v>45336</v>
      </c>
      <c r="K434" s="1773">
        <v>45699</v>
      </c>
      <c r="L434" s="1764">
        <f t="shared" si="168"/>
        <v>12</v>
      </c>
      <c r="M434" s="1774">
        <f t="shared" si="179"/>
        <v>17084.400000000001</v>
      </c>
      <c r="N434" s="1775">
        <f t="shared" si="180"/>
        <v>319.38</v>
      </c>
      <c r="O434" s="1777">
        <v>12775.2</v>
      </c>
      <c r="P434" s="1763">
        <v>0.11</v>
      </c>
      <c r="Q434" s="1783">
        <f t="shared" si="169"/>
        <v>90</v>
      </c>
      <c r="R434" s="1763">
        <v>3600</v>
      </c>
      <c r="S434" s="1777">
        <f t="shared" si="170"/>
        <v>17.73</v>
      </c>
      <c r="T434" s="1763">
        <v>709.2</v>
      </c>
      <c r="U434" s="1763"/>
      <c r="V434" s="1785">
        <v>108000.12833333301</v>
      </c>
      <c r="W434" s="1785">
        <f t="shared" si="171"/>
        <v>2700.0032083333253</v>
      </c>
      <c r="X434" s="1786">
        <f t="shared" si="193"/>
        <v>0.15162204205405544</v>
      </c>
      <c r="Y434" s="1789">
        <f>VLOOKUP(E434,[11]核心假设及结论!$C$25:$E$45,3,0)</f>
        <v>0.25</v>
      </c>
      <c r="Z434" s="1790">
        <f t="shared" si="190"/>
        <v>12775.2</v>
      </c>
      <c r="AA434" s="1790">
        <f t="shared" si="190"/>
        <v>0</v>
      </c>
      <c r="AB434" s="1790">
        <f t="shared" si="190"/>
        <v>0</v>
      </c>
      <c r="AC434" s="1790">
        <f t="shared" si="190"/>
        <v>0</v>
      </c>
      <c r="AD434" s="1790">
        <f t="shared" si="190"/>
        <v>0</v>
      </c>
      <c r="AE434" s="1790">
        <f t="shared" si="190"/>
        <v>0</v>
      </c>
      <c r="AF434" s="1790">
        <f t="shared" si="190"/>
        <v>0</v>
      </c>
      <c r="AG434" s="1794">
        <v>319.38</v>
      </c>
      <c r="AH434" s="1794">
        <v>0</v>
      </c>
      <c r="AI434" s="1794">
        <v>0</v>
      </c>
      <c r="AJ434" s="1794">
        <v>0</v>
      </c>
      <c r="AK434" s="1794">
        <v>0</v>
      </c>
      <c r="AL434" s="1794">
        <v>0</v>
      </c>
      <c r="AM434" s="1794">
        <v>0</v>
      </c>
      <c r="AN434" s="1764"/>
      <c r="AO434" s="1764"/>
      <c r="AP434" s="1808">
        <f t="shared" si="181"/>
        <v>0.60648816821622176</v>
      </c>
      <c r="AQ434" s="1810">
        <f>IF(AP434&gt;[11]核心假设及结论!$B$59,[11]核心假设及结论!$D$59,IF(AP434&lt;=[11]核心假设及结论!$B$58,[11]核心假设及结论!$D$57,[11]核心假设及结论!$D$58))</f>
        <v>1.0342640124442799</v>
      </c>
      <c r="AR434" s="1809">
        <f t="shared" si="182"/>
        <v>319.38</v>
      </c>
      <c r="AS434" s="1811">
        <f>AH434*(AS$2&lt;=YEAR($K434))+AR434*$AQ434*(AS$2=YEAR($K434)+1)+INDEX([11]核心假设及结论!$E$17:$E$21,MATCH($D434,[11]核心假设及结论!$B$17:$B$21,0))*(AS$2&gt;YEAR($K434)+1)*AR434</f>
        <v>330.32324029445414</v>
      </c>
      <c r="AT434" s="1809">
        <f>AI434*(AT$2&lt;=YEAR($K434))+AS434*$AQ434*(AT$2=YEAR($K434)+1)+INDEX([11]核心假设及结论!$E$17:$E$21,MATCH($D434,[11]核心假设及结论!$B$17:$B$21,0))*(AT$2&gt;YEAR($K434)+1)*AS434</f>
        <v>339.2665738932854</v>
      </c>
      <c r="AU434" s="1809">
        <f>AJ434*(AU$2&lt;=YEAR($K434))+AT434*$AQ434*(AU$2=YEAR($K434)+1)+INDEX([11]核心假设及结论!$E$17:$E$21,MATCH($D434,[11]核心假设及结论!$B$17:$B$21,0))*(AU$2&gt;YEAR($K434)+1)*AT434</f>
        <v>348.4520436972129</v>
      </c>
      <c r="AV434" s="1809">
        <f>AK434*(AV$2&lt;=YEAR($K434))+AU434*$AQ434*(AV$2=YEAR($K434)+1)+INDEX([11]核心假设及结论!$E$17:$E$21,MATCH($D434,[11]核心假设及结论!$B$17:$B$21,0))*(AV$2&gt;YEAR($K434)+1)*AU434</f>
        <v>357.88620542074403</v>
      </c>
      <c r="AW434" s="1809">
        <f>AL434*(AW$2&lt;=YEAR($K434))+AV434*$AQ434*(AW$2=YEAR($K434)+1)+INDEX([11]核心假设及结论!$E$17:$E$21,MATCH($D434,[11]核心假设及结论!$B$17:$B$21,0))*(AW$2&gt;YEAR($K434)+1)*AV434</f>
        <v>367.57579227101962</v>
      </c>
      <c r="AX434" s="1809">
        <f>AM434*(AX$2&lt;=YEAR($K434))+AW434*$AQ434*(AX$2=YEAR($K434)+1)+INDEX([11]核心假设及结论!$E$17:$E$21,MATCH($D434,[11]核心假设及结论!$B$17:$B$21,0))*(AX$2&gt;YEAR($K434)+1)*AW434</f>
        <v>377.52771975333678</v>
      </c>
      <c r="AZ434" s="1746">
        <f t="shared" si="172"/>
        <v>45699</v>
      </c>
      <c r="BA434" s="1817">
        <f t="shared" si="173"/>
        <v>45658</v>
      </c>
      <c r="BB434" s="1817">
        <f t="shared" si="174"/>
        <v>45699</v>
      </c>
      <c r="BC434" s="1841">
        <f t="shared" si="175"/>
        <v>46022</v>
      </c>
      <c r="BD434" s="1842">
        <f t="shared" si="176"/>
        <v>42</v>
      </c>
      <c r="BE434" s="1842">
        <f t="shared" si="177"/>
        <v>323</v>
      </c>
      <c r="BG434" s="1843">
        <f t="shared" si="192"/>
        <v>15.795072869932101</v>
      </c>
      <c r="BH434" s="1843">
        <f t="shared" si="188"/>
        <v>16.235398942671551</v>
      </c>
      <c r="BI434" s="1843">
        <f t="shared" si="188"/>
        <v>16.674964105343701</v>
      </c>
      <c r="BJ434" s="1843">
        <f t="shared" si="188"/>
        <v>17.126430271059714</v>
      </c>
      <c r="BK434" s="1843">
        <f t="shared" si="187"/>
        <v>17.590119653419475</v>
      </c>
      <c r="BL434" s="1843">
        <f t="shared" si="187"/>
        <v>18.066363189792082</v>
      </c>
      <c r="BM434" s="1843">
        <f t="shared" si="187"/>
        <v>2.0851942000622654</v>
      </c>
      <c r="BO434" s="1739">
        <f t="shared" si="178"/>
        <v>2025</v>
      </c>
      <c r="BP434" s="1742">
        <f>_xlfn.IFNA(INDEX($AR434:$AX434,MATCH(BO434,$AR$2:$AX$2,0))*12/365*[11]核心假设及结论!$C$70*$H434,0)</f>
        <v>12600.197260273973</v>
      </c>
      <c r="BR434" s="1739">
        <f t="shared" si="183"/>
        <v>2026</v>
      </c>
      <c r="BS434" s="1742">
        <f>_xlfn.IFNA(INDEX($AR434:$AX434,MATCH(BR434,$AR$2:$AX$2,0))*12/365*[11]核心假设及结论!$C$70*$H434,0)</f>
        <v>13031.930576000384</v>
      </c>
      <c r="BU434" s="1739">
        <f t="shared" si="184"/>
        <v>2027</v>
      </c>
      <c r="BV434" s="1742">
        <f>_xlfn.IFNA(INDEX($AR434:$AX434,MATCH(BU434,$AR$2:$AX$2,0))*12/365*[11]核心假设及结论!$C$70*$H434,0)</f>
        <v>13384.763463187152</v>
      </c>
      <c r="BX434" s="1739">
        <f t="shared" si="185"/>
        <v>2028</v>
      </c>
      <c r="BY434" s="1742">
        <f>_xlfn.IFNA(INDEX($AR434:$AX434,MATCH(BX434,$AR$2:$AX$2,0))*12/365*[11]核心假设及结论!$C$70*$H434,0)</f>
        <v>13747.149121205111</v>
      </c>
      <c r="CA434" s="1739">
        <f t="shared" si="186"/>
        <v>2029</v>
      </c>
      <c r="CB434" s="1742">
        <f>_xlfn.IFNA(INDEX($AR434:$AX434,MATCH(CA434,$AR$2:$AX$2,0))*12/365*[11]核心假设及结论!$C$70*$H434,0)</f>
        <v>14119.34618646223</v>
      </c>
    </row>
    <row r="435" spans="1:80" ht="30" customHeight="1">
      <c r="A435" s="1763" t="s">
        <v>1666</v>
      </c>
      <c r="B435" s="1757" t="s">
        <v>2567</v>
      </c>
      <c r="C435" s="1764" t="s">
        <v>2568</v>
      </c>
      <c r="D435" s="1764" t="s">
        <v>1698</v>
      </c>
      <c r="E435" s="1764" t="s">
        <v>1698</v>
      </c>
      <c r="F435" s="1765"/>
      <c r="G435" s="1760" t="s">
        <v>1661</v>
      </c>
      <c r="H435" s="1761">
        <v>38</v>
      </c>
      <c r="I435" s="1763" t="s">
        <v>2534</v>
      </c>
      <c r="J435" s="1773">
        <v>45108</v>
      </c>
      <c r="K435" s="1773">
        <v>46203</v>
      </c>
      <c r="L435" s="1764">
        <f t="shared" si="168"/>
        <v>36</v>
      </c>
      <c r="M435" s="1774">
        <f t="shared" si="179"/>
        <v>55150</v>
      </c>
      <c r="N435" s="1775">
        <f t="shared" si="180"/>
        <v>1338.3157894736842</v>
      </c>
      <c r="O435" s="1777">
        <v>50856</v>
      </c>
      <c r="P435" s="1763">
        <v>0.19</v>
      </c>
      <c r="Q435" s="1783">
        <f t="shared" si="169"/>
        <v>95</v>
      </c>
      <c r="R435" s="1763">
        <v>3610</v>
      </c>
      <c r="S435" s="1777">
        <f t="shared" si="170"/>
        <v>18</v>
      </c>
      <c r="T435" s="1763">
        <v>684</v>
      </c>
      <c r="U435" s="1763"/>
      <c r="V435" s="1785">
        <v>306955.63750000001</v>
      </c>
      <c r="W435" s="1785">
        <f t="shared" si="171"/>
        <v>8077.7799342105263</v>
      </c>
      <c r="X435" s="1786">
        <f t="shared" si="193"/>
        <v>0.17743932134167106</v>
      </c>
      <c r="Y435" s="1789">
        <f>VLOOKUP(E435,[11]核心假设及结论!$C$25:$E$45,3,0)</f>
        <v>0.2</v>
      </c>
      <c r="Z435" s="1790">
        <f t="shared" si="190"/>
        <v>51433.999999999854</v>
      </c>
      <c r="AA435" s="1790">
        <f t="shared" si="190"/>
        <v>52589.999999999898</v>
      </c>
      <c r="AB435" s="1790">
        <f t="shared" si="190"/>
        <v>0</v>
      </c>
      <c r="AC435" s="1790">
        <f t="shared" si="190"/>
        <v>0</v>
      </c>
      <c r="AD435" s="1790">
        <f t="shared" si="190"/>
        <v>0</v>
      </c>
      <c r="AE435" s="1790">
        <f t="shared" si="190"/>
        <v>0</v>
      </c>
      <c r="AF435" s="1790">
        <f t="shared" si="190"/>
        <v>0</v>
      </c>
      <c r="AG435" s="1794">
        <v>1353.5263157894699</v>
      </c>
      <c r="AH435" s="1794">
        <v>1383.94736842105</v>
      </c>
      <c r="AI435" s="1794">
        <v>0</v>
      </c>
      <c r="AJ435" s="1794">
        <v>0</v>
      </c>
      <c r="AK435" s="1794">
        <v>0</v>
      </c>
      <c r="AL435" s="1794">
        <v>0</v>
      </c>
      <c r="AM435" s="1794">
        <v>0</v>
      </c>
      <c r="AN435" s="1764"/>
      <c r="AO435" s="1764"/>
      <c r="AP435" s="1808">
        <f t="shared" si="181"/>
        <v>0.88719660670835532</v>
      </c>
      <c r="AQ435" s="1812">
        <f>IF(AP435&gt;[11]核心假设及结论!$B$62,[11]核心假设及结论!$D$62,IF(AP435&lt;=[11]核心假设及结论!$B$61,[11]核心假设及结论!$D$60,[11]核心假设及结论!$D$61))</f>
        <v>1.0811176582269599</v>
      </c>
      <c r="AR435" s="1809">
        <f t="shared" si="182"/>
        <v>1353.5263157894699</v>
      </c>
      <c r="AS435" s="1809">
        <f>AH435*(AS$2&lt;=YEAR($K435))+AR435*$AQ435*(AS$2=YEAR($K435)+1)+INDEX([11]核心假设及结论!$E$17:$E$21,MATCH($D435,[11]核心假设及结论!$B$17:$B$21,0))*(AS$2&gt;YEAR($K435)+1)*AR435</f>
        <v>1383.94736842105</v>
      </c>
      <c r="AT435" s="1811">
        <f>AI435*(AT$2&lt;=YEAR($K435))+AS435*$AQ435*(AT$2=YEAR($K435)+1)+INDEX([11]核心假设及结论!$E$17:$E$21,MATCH($D435,[11]核心假设及结论!$B$17:$B$21,0))*(AT$2&gt;YEAR($K435)+1)*AS435</f>
        <v>1496.2099380567292</v>
      </c>
      <c r="AU435" s="1809">
        <f>AJ435*(AU$2&lt;=YEAR($K435))+AT435*$AQ435*(AU$2=YEAR($K435)+1)+INDEX([11]核心假设及结论!$E$17:$E$21,MATCH($D435,[11]核心假设及结论!$B$17:$B$21,0))*(AU$2&gt;YEAR($K435)+1)*AT435</f>
        <v>1542.020004240037</v>
      </c>
      <c r="AV435" s="1809">
        <f>AK435*(AV$2&lt;=YEAR($K435))+AU435*$AQ435*(AV$2=YEAR($K435)+1)+INDEX([11]核心假设及结论!$E$17:$E$21,MATCH($D435,[11]核心假设及结论!$B$17:$B$21,0))*(AV$2&gt;YEAR($K435)+1)*AU435</f>
        <v>1589.2326557894362</v>
      </c>
      <c r="AW435" s="1809">
        <f>AL435*(AW$2&lt;=YEAR($K435))+AV435*$AQ435*(AW$2=YEAR($K435)+1)+INDEX([11]核心假设及结论!$E$17:$E$21,MATCH($D435,[11]核心假设及结论!$B$17:$B$21,0))*(AW$2&gt;YEAR($K435)+1)*AV435</f>
        <v>1637.8908362296384</v>
      </c>
      <c r="AX435" s="1809">
        <f>AM435*(AX$2&lt;=YEAR($K435))+AW435*$AQ435*(AX$2=YEAR($K435)+1)+INDEX([11]核心假设及结论!$E$17:$E$21,MATCH($D435,[11]核心假设及结论!$B$17:$B$21,0))*(AX$2&gt;YEAR($K435)+1)*AW435</f>
        <v>1688.0388039046586</v>
      </c>
      <c r="AZ435" s="1746">
        <f t="shared" si="172"/>
        <v>46203</v>
      </c>
      <c r="BA435" s="1817">
        <f t="shared" si="173"/>
        <v>45658</v>
      </c>
      <c r="BB435" s="1817">
        <f t="shared" si="174"/>
        <v>45838</v>
      </c>
      <c r="BC435" s="1841">
        <f t="shared" si="175"/>
        <v>46022</v>
      </c>
      <c r="BD435" s="1842">
        <f t="shared" si="176"/>
        <v>181</v>
      </c>
      <c r="BE435" s="1842">
        <f t="shared" si="177"/>
        <v>184</v>
      </c>
      <c r="BG435" s="1843">
        <f t="shared" si="192"/>
        <v>62.420100821917664</v>
      </c>
      <c r="BH435" s="1843">
        <f t="shared" si="188"/>
        <v>65.688624285674408</v>
      </c>
      <c r="BI435" s="1843">
        <f t="shared" si="188"/>
        <v>69.280227365261993</v>
      </c>
      <c r="BJ435" s="1843">
        <f t="shared" si="188"/>
        <v>71.401408170222638</v>
      </c>
      <c r="BK435" s="1843">
        <f t="shared" si="187"/>
        <v>73.587534027739309</v>
      </c>
      <c r="BL435" s="1843">
        <f t="shared" si="187"/>
        <v>75.840593386812571</v>
      </c>
      <c r="BM435" s="1843">
        <f t="shared" si="187"/>
        <v>38.170950881938325</v>
      </c>
      <c r="BO435" s="1739">
        <f t="shared" si="178"/>
        <v>2026</v>
      </c>
      <c r="BP435" s="1742">
        <f>_xlfn.IFNA(INDEX($AR435:$AX435,MATCH(BO435,$AR$2:$AX$2,0))*12/365*[11]核心假设及结论!$C$70*$H435,0)</f>
        <v>51869.589041095795</v>
      </c>
      <c r="BR435" s="1739">
        <f t="shared" si="183"/>
        <v>2029</v>
      </c>
      <c r="BS435" s="1742">
        <f>_xlfn.IFNA(INDEX($AR435:$AX435,MATCH(BR435,$AR$2:$AX$2,0))*12/365*[11]核心假设及结论!$C$70*$H435,0)</f>
        <v>59563.569126573944</v>
      </c>
      <c r="BU435" s="1739">
        <f t="shared" si="184"/>
        <v>2032</v>
      </c>
      <c r="BV435" s="1742">
        <f>_xlfn.IFNA(INDEX($AR435:$AX435,MATCH(BU435,$AR$2:$AX$2,0))*12/365*[11]核心假设及结论!$C$70*$H435,0)</f>
        <v>0</v>
      </c>
      <c r="BX435" s="1739">
        <f t="shared" si="185"/>
        <v>2035</v>
      </c>
      <c r="BY435" s="1742">
        <f>_xlfn.IFNA(INDEX($AR435:$AX435,MATCH(BX435,$AR$2:$AX$2,0))*12/365*[11]核心假设及结论!$C$70*$H435,0)</f>
        <v>0</v>
      </c>
      <c r="CA435" s="1739">
        <f t="shared" si="186"/>
        <v>2038</v>
      </c>
      <c r="CB435" s="1742">
        <f>_xlfn.IFNA(INDEX($AR435:$AX435,MATCH(CA435,$AR$2:$AX$2,0))*12/365*[11]核心假设及结论!$C$70*$H435,0)</f>
        <v>0</v>
      </c>
    </row>
    <row r="436" spans="1:80" ht="30" customHeight="1">
      <c r="A436" s="1763" t="s">
        <v>1666</v>
      </c>
      <c r="B436" s="1757" t="s">
        <v>2569</v>
      </c>
      <c r="C436" s="1764" t="s">
        <v>2570</v>
      </c>
      <c r="D436" s="1764" t="s">
        <v>1698</v>
      </c>
      <c r="E436" s="1764" t="s">
        <v>1698</v>
      </c>
      <c r="F436" s="1765"/>
      <c r="G436" s="1760" t="s">
        <v>1661</v>
      </c>
      <c r="H436" s="1761">
        <v>38</v>
      </c>
      <c r="I436" s="1763" t="s">
        <v>2534</v>
      </c>
      <c r="J436" s="1773">
        <v>45170</v>
      </c>
      <c r="K436" s="1773">
        <v>45900</v>
      </c>
      <c r="L436" s="1764">
        <f t="shared" si="168"/>
        <v>24</v>
      </c>
      <c r="M436" s="1774">
        <f t="shared" si="179"/>
        <v>52638.74</v>
      </c>
      <c r="N436" s="1775">
        <f t="shared" si="180"/>
        <v>1277.5</v>
      </c>
      <c r="O436" s="1777">
        <v>48545</v>
      </c>
      <c r="P436" s="1763">
        <v>0.16</v>
      </c>
      <c r="Q436" s="1783">
        <f t="shared" si="169"/>
        <v>90</v>
      </c>
      <c r="R436" s="1763">
        <v>3420</v>
      </c>
      <c r="S436" s="1777">
        <f t="shared" si="170"/>
        <v>17.73</v>
      </c>
      <c r="T436" s="1763">
        <v>673.74</v>
      </c>
      <c r="U436" s="1763"/>
      <c r="V436" s="1785">
        <v>167465.51416666701</v>
      </c>
      <c r="W436" s="1785">
        <f t="shared" si="171"/>
        <v>4406.9872149122893</v>
      </c>
      <c r="X436" s="1786">
        <f t="shared" si="193"/>
        <v>0.31030269281759576</v>
      </c>
      <c r="Y436" s="1789">
        <f>VLOOKUP(E436,[11]核心假设及结论!$C$25:$E$45,3,0)</f>
        <v>0.2</v>
      </c>
      <c r="Z436" s="1790">
        <f t="shared" si="190"/>
        <v>50856.539999999994</v>
      </c>
      <c r="AA436" s="1790">
        <f t="shared" si="190"/>
        <v>0</v>
      </c>
      <c r="AB436" s="1790">
        <f t="shared" si="190"/>
        <v>0</v>
      </c>
      <c r="AC436" s="1790">
        <f t="shared" si="190"/>
        <v>0</v>
      </c>
      <c r="AD436" s="1790">
        <f t="shared" si="190"/>
        <v>0</v>
      </c>
      <c r="AE436" s="1790">
        <f t="shared" si="190"/>
        <v>0</v>
      </c>
      <c r="AF436" s="1790">
        <f t="shared" si="190"/>
        <v>0</v>
      </c>
      <c r="AG436" s="1794">
        <v>1338.33</v>
      </c>
      <c r="AH436" s="1794">
        <v>0</v>
      </c>
      <c r="AI436" s="1794">
        <v>0</v>
      </c>
      <c r="AJ436" s="1794">
        <v>0</v>
      </c>
      <c r="AK436" s="1794">
        <v>0</v>
      </c>
      <c r="AL436" s="1794">
        <v>0</v>
      </c>
      <c r="AM436" s="1794">
        <v>0</v>
      </c>
      <c r="AN436" s="1764"/>
      <c r="AO436" s="1764"/>
      <c r="AP436" s="1808">
        <f t="shared" si="181"/>
        <v>1.5515134640879786</v>
      </c>
      <c r="AQ436" s="1812">
        <f>IF(AP436&gt;[11]核心假设及结论!$B$62,[11]核心假设及结论!$D$62,IF(AP436&lt;=[11]核心假设及结论!$B$61,[11]核心假设及结论!$D$60,[11]核心假设及结论!$D$61))</f>
        <v>1</v>
      </c>
      <c r="AR436" s="1809">
        <f t="shared" si="182"/>
        <v>1338.33</v>
      </c>
      <c r="AS436" s="1811">
        <f>AH436*(AS$2&lt;=YEAR($K436))+AR436*$AQ436*(AS$2=YEAR($K436)+1)+INDEX([11]核心假设及结论!$E$17:$E$21,MATCH($D436,[11]核心假设及结论!$B$17:$B$21,0))*(AS$2&gt;YEAR($K436)+1)*AR436</f>
        <v>1338.33</v>
      </c>
      <c r="AT436" s="1809">
        <f>AI436*(AT$2&lt;=YEAR($K436))+AS436*$AQ436*(AT$2=YEAR($K436)+1)+INDEX([11]核心假设及结论!$E$17:$E$21,MATCH($D436,[11]核心假设及结论!$B$17:$B$21,0))*(AT$2&gt;YEAR($K436)+1)*AS436</f>
        <v>1379.3061921209626</v>
      </c>
      <c r="AU436" s="1809">
        <f>AJ436*(AU$2&lt;=YEAR($K436))+AT436*$AQ436*(AU$2=YEAR($K436)+1)+INDEX([11]核心假设及结论!$E$17:$E$21,MATCH($D436,[11]核心假设及结论!$B$17:$B$21,0))*(AU$2&gt;YEAR($K436)+1)*AT436</f>
        <v>1421.5369689263707</v>
      </c>
      <c r="AV436" s="1809">
        <f>AK436*(AV$2&lt;=YEAR($K436))+AU436*$AQ436*(AV$2=YEAR($K436)+1)+INDEX([11]核心假设及结论!$E$17:$E$21,MATCH($D436,[11]核心假设及结论!$B$17:$B$21,0))*(AV$2&gt;YEAR($K436)+1)*AU436</f>
        <v>1465.0607425440717</v>
      </c>
      <c r="AW436" s="1809">
        <f>AL436*(AW$2&lt;=YEAR($K436))+AV436*$AQ436*(AW$2=YEAR($K436)+1)+INDEX([11]核心假设及结论!$E$17:$E$21,MATCH($D436,[11]核心假设及结论!$B$17:$B$21,0))*(AW$2&gt;YEAR($K436)+1)*AV436</f>
        <v>1509.917101181602</v>
      </c>
      <c r="AX436" s="1809">
        <f>AM436*(AX$2&lt;=YEAR($K436))+AW436*$AQ436*(AX$2=YEAR($K436)+1)+INDEX([11]核心假设及结论!$E$17:$E$21,MATCH($D436,[11]核心假设及结论!$B$17:$B$21,0))*(AX$2&gt;YEAR($K436)+1)*AW436</f>
        <v>1556.1468451346959</v>
      </c>
      <c r="AZ436" s="1746">
        <f t="shared" si="172"/>
        <v>45900</v>
      </c>
      <c r="BA436" s="1817">
        <f t="shared" si="173"/>
        <v>45658</v>
      </c>
      <c r="BB436" s="1817">
        <f t="shared" si="174"/>
        <v>45900</v>
      </c>
      <c r="BC436" s="1841">
        <f t="shared" si="175"/>
        <v>46022</v>
      </c>
      <c r="BD436" s="1842">
        <f t="shared" si="176"/>
        <v>243</v>
      </c>
      <c r="BE436" s="1842">
        <f t="shared" si="177"/>
        <v>122</v>
      </c>
      <c r="BG436" s="1843">
        <f t="shared" si="192"/>
        <v>61.027847999999999</v>
      </c>
      <c r="BH436" s="1843">
        <f t="shared" si="188"/>
        <v>61.6523925260475</v>
      </c>
      <c r="BI436" s="1843">
        <f t="shared" si="188"/>
        <v>63.54002881968534</v>
      </c>
      <c r="BJ436" s="1843">
        <f t="shared" si="188"/>
        <v>65.485459638905496</v>
      </c>
      <c r="BK436" s="1843">
        <f t="shared" si="187"/>
        <v>67.490454502125587</v>
      </c>
      <c r="BL436" s="1843">
        <f t="shared" si="187"/>
        <v>69.556837105825849</v>
      </c>
      <c r="BM436" s="1843">
        <f t="shared" si="187"/>
        <v>47.242060168680929</v>
      </c>
      <c r="BO436" s="1739">
        <f t="shared" si="178"/>
        <v>2025</v>
      </c>
      <c r="BP436" s="1742">
        <f>_xlfn.IFNA(INDEX($AR436:$AX436,MATCH(BO436,$AR$2:$AX$2,0))*12/365*[11]核心假设及结论!$C$70*$H436,0)</f>
        <v>50159.875068493151</v>
      </c>
      <c r="BR436" s="1739">
        <f t="shared" si="183"/>
        <v>2027</v>
      </c>
      <c r="BS436" s="1742">
        <f>_xlfn.IFNA(INDEX($AR436:$AX436,MATCH(BR436,$AR$2:$AX$2,0))*12/365*[11]核心假设及结论!$C$70*$H436,0)</f>
        <v>51695.640296478814</v>
      </c>
      <c r="BU436" s="1739">
        <f t="shared" si="184"/>
        <v>2029</v>
      </c>
      <c r="BV436" s="1742">
        <f>_xlfn.IFNA(INDEX($AR436:$AX436,MATCH(BU436,$AR$2:$AX$2,0))*12/365*[11]核心假设及结论!$C$70*$H436,0)</f>
        <v>54909.673857542184</v>
      </c>
      <c r="BX436" s="1739">
        <f t="shared" si="185"/>
        <v>2031</v>
      </c>
      <c r="BY436" s="1742">
        <f>_xlfn.IFNA(INDEX($AR436:$AX436,MATCH(BX436,$AR$2:$AX$2,0))*12/365*[11]核心假设及结论!$C$70*$H436,0)</f>
        <v>58323.531072445592</v>
      </c>
      <c r="CA436" s="1739">
        <f t="shared" si="186"/>
        <v>2033</v>
      </c>
      <c r="CB436" s="1742">
        <f>_xlfn.IFNA(INDEX($AR436:$AX436,MATCH(CA436,$AR$2:$AX$2,0))*12/365*[11]核心假设及结论!$C$70*$H436,0)</f>
        <v>0</v>
      </c>
    </row>
    <row r="437" spans="1:80" ht="30" customHeight="1">
      <c r="A437" s="1763" t="s">
        <v>1662</v>
      </c>
      <c r="B437" s="1757" t="s">
        <v>1969</v>
      </c>
      <c r="C437" s="1764" t="s">
        <v>2571</v>
      </c>
      <c r="D437" s="1764" t="s">
        <v>1676</v>
      </c>
      <c r="E437" s="1764" t="s">
        <v>1758</v>
      </c>
      <c r="F437" s="1765"/>
      <c r="G437" s="1760" t="s">
        <v>1661</v>
      </c>
      <c r="H437" s="1761">
        <v>37</v>
      </c>
      <c r="I437" s="1763" t="s">
        <v>2534</v>
      </c>
      <c r="J437" s="1773">
        <v>45667</v>
      </c>
      <c r="K437" s="1773">
        <v>47074</v>
      </c>
      <c r="L437" s="1764">
        <f t="shared" si="168"/>
        <v>47</v>
      </c>
      <c r="M437" s="1774">
        <f t="shared" si="179"/>
        <v>30083.219999999998</v>
      </c>
      <c r="N437" s="1775">
        <f t="shared" si="180"/>
        <v>699.43999999999994</v>
      </c>
      <c r="O437" s="1777">
        <v>25879.279999999999</v>
      </c>
      <c r="P437" s="1763" t="s">
        <v>1971</v>
      </c>
      <c r="Q437" s="1783">
        <f t="shared" si="169"/>
        <v>95</v>
      </c>
      <c r="R437" s="1763">
        <v>3515</v>
      </c>
      <c r="S437" s="1777">
        <f t="shared" si="170"/>
        <v>18.62</v>
      </c>
      <c r="T437" s="1763">
        <v>688.94</v>
      </c>
      <c r="U437" s="1763"/>
      <c r="V437" s="1785">
        <v>149222.41666666701</v>
      </c>
      <c r="W437" s="1785">
        <f t="shared" si="171"/>
        <v>4033.0382882882973</v>
      </c>
      <c r="X437" s="1786">
        <f t="shared" si="193"/>
        <v>0.1969830046759056</v>
      </c>
      <c r="Y437" s="1789">
        <f>VLOOKUP(E437,[11]核心假设及结论!$C$25:$E$45,3,0)</f>
        <v>0.2</v>
      </c>
      <c r="Z437" s="1790">
        <f t="shared" si="190"/>
        <v>30842.369999999981</v>
      </c>
      <c r="AA437" s="1790">
        <f t="shared" si="190"/>
        <v>31767.839999999989</v>
      </c>
      <c r="AB437" s="1790">
        <f t="shared" si="190"/>
        <v>32716.709999999985</v>
      </c>
      <c r="AC437" s="1790">
        <f t="shared" si="190"/>
        <v>33701.459999999992</v>
      </c>
      <c r="AD437" s="1790">
        <f t="shared" si="190"/>
        <v>0</v>
      </c>
      <c r="AE437" s="1790">
        <f t="shared" si="190"/>
        <v>0</v>
      </c>
      <c r="AF437" s="1790">
        <f t="shared" si="190"/>
        <v>0</v>
      </c>
      <c r="AG437" s="1794">
        <v>833.57756756756703</v>
      </c>
      <c r="AH437" s="1794">
        <v>858.59027027027003</v>
      </c>
      <c r="AI437" s="1794">
        <v>884.235405405405</v>
      </c>
      <c r="AJ437" s="1794">
        <v>910.85027027027002</v>
      </c>
      <c r="AK437" s="1794">
        <v>0</v>
      </c>
      <c r="AL437" s="1794">
        <v>0</v>
      </c>
      <c r="AM437" s="1794">
        <v>0</v>
      </c>
      <c r="AN437" s="1764"/>
      <c r="AO437" s="1764"/>
      <c r="AP437" s="1808">
        <f t="shared" si="181"/>
        <v>0.98491502337952797</v>
      </c>
      <c r="AQ437" s="1808">
        <f>IF(AP437&gt;[11]核心假设及结论!$B$65,[11]核心假设及结论!$D$65,IF(AP437&lt;=[11]核心假设及结论!$B$64,[11]核心假设及结论!$D$63,[11]核心假设及结论!$D$64))</f>
        <v>1</v>
      </c>
      <c r="AR437" s="1809">
        <f t="shared" si="182"/>
        <v>833.57756756756703</v>
      </c>
      <c r="AS437" s="1809">
        <f>AH437*(AS$2&lt;=YEAR($K437))+AR437*$AQ437*(AS$2=YEAR($K437)+1)+INDEX([11]核心假设及结论!$E$17:$E$21,MATCH($D437,[11]核心假设及结论!$B$17:$B$21,0))*(AS$2&gt;YEAR($K437)+1)*AR437</f>
        <v>858.59027027027003</v>
      </c>
      <c r="AT437" s="1809">
        <f>AI437*(AT$2&lt;=YEAR($K437))+AS437*$AQ437*(AT$2=YEAR($K437)+1)+INDEX([11]核心假设及结论!$E$17:$E$21,MATCH($D437,[11]核心假设及结论!$B$17:$B$21,0))*(AT$2&gt;YEAR($K437)+1)*AS437</f>
        <v>884.235405405405</v>
      </c>
      <c r="AU437" s="1809">
        <f>AJ437*(AU$2&lt;=YEAR($K437))+AT437*$AQ437*(AU$2=YEAR($K437)+1)+INDEX([11]核心假设及结论!$E$17:$E$21,MATCH($D437,[11]核心假设及结论!$B$17:$B$21,0))*(AU$2&gt;YEAR($K437)+1)*AT437</f>
        <v>910.85027027027002</v>
      </c>
      <c r="AV437" s="1811">
        <f>AK437*(AV$2&lt;=YEAR($K437))+AU437*$AQ437*(AV$2=YEAR($K437)+1)+INDEX([11]核心假设及结论!$E$17:$E$21,MATCH($D437,[11]核心假设及结论!$B$17:$B$21,0))*(AV$2&gt;YEAR($K437)+1)*AU437</f>
        <v>910.85027027027002</v>
      </c>
      <c r="AW437" s="1809">
        <f>AL437*(AW$2&lt;=YEAR($K437))+AV437*$AQ437*(AW$2=YEAR($K437)+1)+INDEX([11]核心假设及结论!$E$17:$E$21,MATCH($D437,[11]核心假设及结论!$B$17:$B$21,0))*(AW$2&gt;YEAR($K437)+1)*AV437</f>
        <v>942.34299806198601</v>
      </c>
      <c r="AX437" s="1809">
        <f>AM437*(AX$2&lt;=YEAR($K437))+AW437*$AQ437*(AX$2=YEAR($K437)+1)+INDEX([11]核心假设及结论!$E$17:$E$21,MATCH($D437,[11]核心假设及结论!$B$17:$B$21,0))*(AX$2&gt;YEAR($K437)+1)*AW437</f>
        <v>974.92458967263553</v>
      </c>
      <c r="AZ437" s="1746">
        <f t="shared" si="172"/>
        <v>47074</v>
      </c>
      <c r="BA437" s="1817">
        <f t="shared" si="173"/>
        <v>45658</v>
      </c>
      <c r="BB437" s="1817">
        <f t="shared" si="174"/>
        <v>45978</v>
      </c>
      <c r="BC437" s="1841">
        <f t="shared" si="175"/>
        <v>46022</v>
      </c>
      <c r="BD437" s="1842">
        <f t="shared" si="176"/>
        <v>321</v>
      </c>
      <c r="BE437" s="1842">
        <f t="shared" si="177"/>
        <v>44</v>
      </c>
      <c r="BG437" s="1843">
        <f t="shared" si="192"/>
        <v>37.144720208219155</v>
      </c>
      <c r="BH437" s="1843">
        <f t="shared" si="188"/>
        <v>38.258669194520536</v>
      </c>
      <c r="BI437" s="1843">
        <f t="shared" si="188"/>
        <v>39.402503506849307</v>
      </c>
      <c r="BJ437" s="1843">
        <f t="shared" si="188"/>
        <v>40.441751999999987</v>
      </c>
      <c r="BK437" s="1843">
        <f t="shared" si="187"/>
        <v>40.61031143291477</v>
      </c>
      <c r="BL437" s="1843">
        <f t="shared" si="187"/>
        <v>42.014416504008523</v>
      </c>
      <c r="BM437" s="1843">
        <f t="shared" si="187"/>
        <v>38.068534854384311</v>
      </c>
      <c r="BO437" s="1739">
        <f t="shared" si="178"/>
        <v>2028</v>
      </c>
      <c r="BP437" s="1742">
        <f>_xlfn.IFNA(INDEX($AR437:$AX437,MATCH(BO437,$AR$2:$AX$2,0))*12/365*[11]核心假设及结论!$C$70*$H437,0)</f>
        <v>33239.796164383552</v>
      </c>
      <c r="BR437" s="1739">
        <f t="shared" si="183"/>
        <v>2032</v>
      </c>
      <c r="BS437" s="1742">
        <f>_xlfn.IFNA(INDEX($AR437:$AX437,MATCH(BR437,$AR$2:$AX$2,0))*12/365*[11]核心假设及结论!$C$70*$H437,0)</f>
        <v>0</v>
      </c>
      <c r="BU437" s="1739">
        <f t="shared" si="184"/>
        <v>2036</v>
      </c>
      <c r="BV437" s="1742">
        <f>_xlfn.IFNA(INDEX($AR437:$AX437,MATCH(BU437,$AR$2:$AX$2,0))*12/365*[11]核心假设及结论!$C$70*$H437,0)</f>
        <v>0</v>
      </c>
      <c r="BX437" s="1739">
        <f t="shared" si="185"/>
        <v>2040</v>
      </c>
      <c r="BY437" s="1742">
        <f>_xlfn.IFNA(INDEX($AR437:$AX437,MATCH(BX437,$AR$2:$AX$2,0))*12/365*[11]核心假设及结论!$C$70*$H437,0)</f>
        <v>0</v>
      </c>
      <c r="CA437" s="1739">
        <f t="shared" si="186"/>
        <v>2044</v>
      </c>
      <c r="CB437" s="1742">
        <f>_xlfn.IFNA(INDEX($AR437:$AX437,MATCH(CA437,$AR$2:$AX$2,0))*12/365*[11]核心假设及结论!$C$70*$H437,0)</f>
        <v>0</v>
      </c>
    </row>
    <row r="438" spans="1:80" ht="30" customHeight="1">
      <c r="A438" s="1763" t="s">
        <v>1662</v>
      </c>
      <c r="B438" s="1757" t="s">
        <v>2572</v>
      </c>
      <c r="C438" s="1764" t="s">
        <v>2573</v>
      </c>
      <c r="D438" s="1764" t="s">
        <v>1685</v>
      </c>
      <c r="E438" s="1764" t="s">
        <v>1871</v>
      </c>
      <c r="F438" s="1765"/>
      <c r="G438" s="1760" t="s">
        <v>1661</v>
      </c>
      <c r="H438" s="1761">
        <v>36</v>
      </c>
      <c r="I438" s="1763" t="s">
        <v>2534</v>
      </c>
      <c r="J438" s="1773">
        <v>45014</v>
      </c>
      <c r="K438" s="1773">
        <v>45744</v>
      </c>
      <c r="L438" s="1764">
        <f t="shared" si="168"/>
        <v>24</v>
      </c>
      <c r="M438" s="1774">
        <f t="shared" si="179"/>
        <v>53811.72</v>
      </c>
      <c r="N438" s="1775">
        <f t="shared" si="180"/>
        <v>1386.77</v>
      </c>
      <c r="O438" s="1777">
        <v>49923.72</v>
      </c>
      <c r="P438" s="1763" t="s">
        <v>2574</v>
      </c>
      <c r="Q438" s="1783">
        <f t="shared" si="169"/>
        <v>90</v>
      </c>
      <c r="R438" s="1763">
        <v>3240</v>
      </c>
      <c r="S438" s="1777">
        <f t="shared" si="170"/>
        <v>18</v>
      </c>
      <c r="T438" s="1763">
        <v>648</v>
      </c>
      <c r="U438" s="1763"/>
      <c r="V438" s="1785">
        <v>860046.98916666699</v>
      </c>
      <c r="W438" s="1785">
        <f t="shared" si="171"/>
        <v>23890.194143518529</v>
      </c>
      <c r="X438" s="1786">
        <f t="shared" si="193"/>
        <v>6.1814901592193702E-2</v>
      </c>
      <c r="Y438" s="1789">
        <f>VLOOKUP(E438,[11]核心假设及结论!$C$25:$E$45,3,0)</f>
        <v>0.2</v>
      </c>
      <c r="Z438" s="1790">
        <f t="shared" si="190"/>
        <v>49923.72</v>
      </c>
      <c r="AA438" s="1790">
        <f t="shared" si="190"/>
        <v>0</v>
      </c>
      <c r="AB438" s="1790">
        <f t="shared" si="190"/>
        <v>0</v>
      </c>
      <c r="AC438" s="1790">
        <f t="shared" si="190"/>
        <v>0</v>
      </c>
      <c r="AD438" s="1790">
        <f t="shared" si="190"/>
        <v>0</v>
      </c>
      <c r="AE438" s="1790">
        <f t="shared" si="190"/>
        <v>0</v>
      </c>
      <c r="AF438" s="1790">
        <f t="shared" si="190"/>
        <v>0</v>
      </c>
      <c r="AG438" s="1794">
        <v>1386.77</v>
      </c>
      <c r="AH438" s="1794">
        <v>0</v>
      </c>
      <c r="AI438" s="1794">
        <v>0</v>
      </c>
      <c r="AJ438" s="1794">
        <v>0</v>
      </c>
      <c r="AK438" s="1794">
        <v>0</v>
      </c>
      <c r="AL438" s="1794">
        <v>0</v>
      </c>
      <c r="AM438" s="1794">
        <v>0</v>
      </c>
      <c r="AN438" s="1764"/>
      <c r="AO438" s="1764"/>
      <c r="AP438" s="1808">
        <f t="shared" si="181"/>
        <v>0.30907450796096847</v>
      </c>
      <c r="AQ438" s="1810">
        <f>IF(AP438&gt;[11]核心假设及结论!$B$59,[11]核心假设及结论!$D$59,IF(AP438&lt;=[11]核心假设及结论!$B$58,[11]核心假设及结论!$D$57,[11]核心假设及结论!$D$58))</f>
        <v>1.0342640124442799</v>
      </c>
      <c r="AR438" s="1809">
        <f t="shared" si="182"/>
        <v>1386.77</v>
      </c>
      <c r="AS438" s="1811">
        <f>AH438*(AS$2&lt;=YEAR($K438))+AR438*$AQ438*(AS$2=YEAR($K438)+1)+INDEX([11]核心假设及结论!$E$17:$E$21,MATCH($D438,[11]核心假设及结论!$B$17:$B$21,0))*(AS$2&gt;YEAR($K438)+1)*AR438</f>
        <v>1434.286304537354</v>
      </c>
      <c r="AT438" s="1809">
        <f>AI438*(AT$2&lt;=YEAR($K438))+AS438*$AQ438*(AT$2=YEAR($K438)+1)+INDEX([11]核心假设及结论!$E$17:$E$21,MATCH($D438,[11]核心假设及结论!$B$17:$B$21,0))*(AT$2&gt;YEAR($K438)+1)*AS438</f>
        <v>1473.1188761913438</v>
      </c>
      <c r="AU438" s="1809">
        <f>AJ438*(AU$2&lt;=YEAR($K438))+AT438*$AQ438*(AU$2=YEAR($K438)+1)+INDEX([11]核心假设及结论!$E$17:$E$21,MATCH($D438,[11]核心假设及结论!$B$17:$B$21,0))*(AU$2&gt;YEAR($K438)+1)*AT438</f>
        <v>1513.0028199573671</v>
      </c>
      <c r="AV438" s="1809">
        <f>AK438*(AV$2&lt;=YEAR($K438))+AU438*$AQ438*(AV$2=YEAR($K438)+1)+INDEX([11]核心假设及结论!$E$17:$E$21,MATCH($D438,[11]核心假设及结论!$B$17:$B$21,0))*(AV$2&gt;YEAR($K438)+1)*AU438</f>
        <v>1553.9666012002165</v>
      </c>
      <c r="AW438" s="1809">
        <f>AL438*(AW$2&lt;=YEAR($K438))+AV438*$AQ438*(AW$2=YEAR($K438)+1)+INDEX([11]核心假设及结论!$E$17:$E$21,MATCH($D438,[11]核心假设及结论!$B$17:$B$21,0))*(AW$2&gt;YEAR($K438)+1)*AV438</f>
        <v>1596.0394559699475</v>
      </c>
      <c r="AX438" s="1809">
        <f>AM438*(AX$2&lt;=YEAR($K438))+AW438*$AQ438*(AX$2=YEAR($K438)+1)+INDEX([11]核心假设及结论!$E$17:$E$21,MATCH($D438,[11]核心假设及结论!$B$17:$B$21,0))*(AX$2&gt;YEAR($K438)+1)*AW438</f>
        <v>1639.2514118677902</v>
      </c>
      <c r="AZ438" s="1746">
        <f t="shared" si="172"/>
        <v>45744</v>
      </c>
      <c r="BA438" s="1817">
        <f t="shared" si="173"/>
        <v>45658</v>
      </c>
      <c r="BB438" s="1817">
        <f t="shared" si="174"/>
        <v>45744</v>
      </c>
      <c r="BC438" s="1841">
        <f t="shared" si="175"/>
        <v>46022</v>
      </c>
      <c r="BD438" s="1842">
        <f t="shared" si="176"/>
        <v>87</v>
      </c>
      <c r="BE438" s="1842">
        <f t="shared" si="177"/>
        <v>278</v>
      </c>
      <c r="BG438" s="1843">
        <f t="shared" si="192"/>
        <v>61.47189361910084</v>
      </c>
      <c r="BH438" s="1843">
        <f t="shared" si="188"/>
        <v>63.238876993097946</v>
      </c>
      <c r="BI438" s="1843">
        <f t="shared" si="188"/>
        <v>64.95103739955492</v>
      </c>
      <c r="BJ438" s="1843">
        <f t="shared" si="188"/>
        <v>66.709553677539418</v>
      </c>
      <c r="BK438" s="1843">
        <f t="shared" si="187"/>
        <v>68.51568088867829</v>
      </c>
      <c r="BL438" s="1843">
        <f t="shared" si="187"/>
        <v>70.370708074753054</v>
      </c>
      <c r="BM438" s="1843">
        <f t="shared" si="187"/>
        <v>16.879349332503843</v>
      </c>
      <c r="BO438" s="1739">
        <f t="shared" si="178"/>
        <v>2025</v>
      </c>
      <c r="BP438" s="1742">
        <f>_xlfn.IFNA(INDEX($AR438:$AX438,MATCH(BO438,$AR$2:$AX$2,0))*12/365*[11]核心假设及结论!$C$70*$H438,0)</f>
        <v>49239.833424657525</v>
      </c>
      <c r="BR438" s="1739">
        <f t="shared" si="183"/>
        <v>2027</v>
      </c>
      <c r="BS438" s="1742">
        <f>_xlfn.IFNA(INDEX($AR438:$AX438,MATCH(BR438,$AR$2:$AX$2,0))*12/365*[11]核心假设及结论!$C$70*$H438,0)</f>
        <v>52305.809960109087</v>
      </c>
      <c r="BU438" s="1739">
        <f t="shared" si="184"/>
        <v>2029</v>
      </c>
      <c r="BV438" s="1742">
        <f>_xlfn.IFNA(INDEX($AR438:$AX438,MATCH(BU438,$AR$2:$AX$2,0))*12/365*[11]核心假设及结论!$C$70*$H438,0)</f>
        <v>55176.457949465221</v>
      </c>
      <c r="BX438" s="1739">
        <f t="shared" si="185"/>
        <v>2031</v>
      </c>
      <c r="BY438" s="1742">
        <f>_xlfn.IFNA(INDEX($AR438:$AX438,MATCH(BX438,$AR$2:$AX$2,0))*12/365*[11]核心假设及结论!$C$70*$H438,0)</f>
        <v>58204.652870702914</v>
      </c>
      <c r="CA438" s="1739">
        <f t="shared" si="186"/>
        <v>2033</v>
      </c>
      <c r="CB438" s="1742">
        <f>_xlfn.IFNA(INDEX($AR438:$AX438,MATCH(CA438,$AR$2:$AX$2,0))*12/365*[11]核心假设及结论!$C$70*$H438,0)</f>
        <v>0</v>
      </c>
    </row>
    <row r="439" spans="1:80" ht="30" customHeight="1">
      <c r="A439" s="1763" t="s">
        <v>1666</v>
      </c>
      <c r="B439" s="1757" t="s">
        <v>2575</v>
      </c>
      <c r="C439" s="1764" t="s">
        <v>2576</v>
      </c>
      <c r="D439" s="1764" t="s">
        <v>1698</v>
      </c>
      <c r="E439" s="1764" t="s">
        <v>1698</v>
      </c>
      <c r="F439" s="1765"/>
      <c r="G439" s="1760" t="s">
        <v>1661</v>
      </c>
      <c r="H439" s="1761">
        <v>36</v>
      </c>
      <c r="I439" s="1763" t="s">
        <v>2534</v>
      </c>
      <c r="J439" s="1773">
        <v>44890</v>
      </c>
      <c r="K439" s="1773">
        <v>46350</v>
      </c>
      <c r="L439" s="1764">
        <f t="shared" si="168"/>
        <v>48</v>
      </c>
      <c r="M439" s="1774">
        <f t="shared" si="179"/>
        <v>50058</v>
      </c>
      <c r="N439" s="1775">
        <f t="shared" si="180"/>
        <v>1277.5</v>
      </c>
      <c r="O439" s="1777">
        <v>45990</v>
      </c>
      <c r="P439" s="1763">
        <v>0.15</v>
      </c>
      <c r="Q439" s="1783">
        <f t="shared" si="169"/>
        <v>95</v>
      </c>
      <c r="R439" s="1763">
        <v>3420</v>
      </c>
      <c r="S439" s="1777">
        <f t="shared" si="170"/>
        <v>18</v>
      </c>
      <c r="T439" s="1763">
        <v>648</v>
      </c>
      <c r="U439" s="1763"/>
      <c r="V439" s="1785">
        <v>226806.57500000001</v>
      </c>
      <c r="W439" s="1785">
        <f t="shared" si="171"/>
        <v>6300.1826388888894</v>
      </c>
      <c r="X439" s="1786">
        <f t="shared" si="193"/>
        <v>0.2178508272963427</v>
      </c>
      <c r="Y439" s="1789">
        <f>VLOOKUP(E439,[11]核心假设及结论!$C$25:$E$45,3,0)</f>
        <v>0.2</v>
      </c>
      <c r="Z439" s="1790">
        <f t="shared" si="190"/>
        <v>47084.76</v>
      </c>
      <c r="AA439" s="1790">
        <f t="shared" si="190"/>
        <v>48179.88</v>
      </c>
      <c r="AB439" s="1790">
        <f t="shared" si="190"/>
        <v>0</v>
      </c>
      <c r="AC439" s="1790">
        <f t="shared" si="190"/>
        <v>0</v>
      </c>
      <c r="AD439" s="1790">
        <f t="shared" si="190"/>
        <v>0</v>
      </c>
      <c r="AE439" s="1790">
        <f t="shared" si="190"/>
        <v>0</v>
      </c>
      <c r="AF439" s="1790">
        <f t="shared" si="190"/>
        <v>0</v>
      </c>
      <c r="AG439" s="1794">
        <v>1307.9100000000001</v>
      </c>
      <c r="AH439" s="1794">
        <v>1338.33</v>
      </c>
      <c r="AI439" s="1794">
        <v>0</v>
      </c>
      <c r="AJ439" s="1794">
        <v>0</v>
      </c>
      <c r="AK439" s="1794">
        <v>0</v>
      </c>
      <c r="AL439" s="1794">
        <v>0</v>
      </c>
      <c r="AM439" s="1794">
        <v>0</v>
      </c>
      <c r="AN439" s="1764"/>
      <c r="AO439" s="1764"/>
      <c r="AP439" s="1808">
        <f t="shared" si="181"/>
        <v>1.0892541364817134</v>
      </c>
      <c r="AQ439" s="1812">
        <f>IF(AP439&gt;[11]核心假设及结论!$B$62,[11]核心假设及结论!$D$62,IF(AP439&lt;=[11]核心假设及结论!$B$61,[11]核心假设及结论!$D$60,[11]核心假设及结论!$D$61))</f>
        <v>1.0489999999999999</v>
      </c>
      <c r="AR439" s="1809">
        <f t="shared" si="182"/>
        <v>1307.9100000000001</v>
      </c>
      <c r="AS439" s="1809">
        <f>AH439*(AS$2&lt;=YEAR($K439))+AR439*$AQ439*(AS$2=YEAR($K439)+1)+INDEX([11]核心假设及结论!$E$17:$E$21,MATCH($D439,[11]核心假设及结论!$B$17:$B$21,0))*(AS$2&gt;YEAR($K439)+1)*AR439</f>
        <v>1338.33</v>
      </c>
      <c r="AT439" s="1811">
        <f>AI439*(AT$2&lt;=YEAR($K439))+AS439*$AQ439*(AT$2=YEAR($K439)+1)+INDEX([11]核心假设及结论!$E$17:$E$21,MATCH($D439,[11]核心假设及结论!$B$17:$B$21,0))*(AT$2&gt;YEAR($K439)+1)*AS439</f>
        <v>1403.9081699999999</v>
      </c>
      <c r="AU439" s="1809">
        <f>AJ439*(AU$2&lt;=YEAR($K439))+AT439*$AQ439*(AU$2=YEAR($K439)+1)+INDEX([11]核心假设及结论!$E$17:$E$21,MATCH($D439,[11]核心假设及结论!$B$17:$B$21,0))*(AU$2&gt;YEAR($K439)+1)*AT439</f>
        <v>1446.8921955348897</v>
      </c>
      <c r="AV439" s="1809">
        <f>AK439*(AV$2&lt;=YEAR($K439))+AU439*$AQ439*(AV$2=YEAR($K439)+1)+INDEX([11]核心假设及结论!$E$17:$E$21,MATCH($D439,[11]核心假设及结论!$B$17:$B$21,0))*(AV$2&gt;YEAR($K439)+1)*AU439</f>
        <v>1491.1922804037629</v>
      </c>
      <c r="AW439" s="1809">
        <f>AL439*(AW$2&lt;=YEAR($K439))+AV439*$AQ439*(AW$2=YEAR($K439)+1)+INDEX([11]核心假设及结论!$E$17:$E$21,MATCH($D439,[11]核心假设及结论!$B$17:$B$21,0))*(AW$2&gt;YEAR($K439)+1)*AV439</f>
        <v>1536.8487189287314</v>
      </c>
      <c r="AX439" s="1809">
        <f>AM439*(AX$2&lt;=YEAR($K439))+AW439*$AQ439*(AX$2=YEAR($K439)+1)+INDEX([11]核心假设及结论!$E$17:$E$21,MATCH($D439,[11]核心假设及结论!$B$17:$B$21,0))*(AX$2&gt;YEAR($K439)+1)*AW439</f>
        <v>1583.9030391395008</v>
      </c>
      <c r="AZ439" s="1746">
        <f t="shared" si="172"/>
        <v>46350</v>
      </c>
      <c r="BA439" s="1817">
        <f t="shared" si="173"/>
        <v>45658</v>
      </c>
      <c r="BB439" s="1817">
        <f t="shared" si="174"/>
        <v>45985</v>
      </c>
      <c r="BC439" s="1841">
        <f t="shared" si="175"/>
        <v>46022</v>
      </c>
      <c r="BD439" s="1842">
        <f t="shared" si="176"/>
        <v>328</v>
      </c>
      <c r="BE439" s="1842">
        <f t="shared" si="177"/>
        <v>37</v>
      </c>
      <c r="BG439" s="1843">
        <f t="shared" si="192"/>
        <v>56.634926597260275</v>
      </c>
      <c r="BH439" s="1843">
        <f t="shared" si="188"/>
        <v>58.103034484734245</v>
      </c>
      <c r="BI439" s="1843">
        <f t="shared" si="188"/>
        <v>60.837067646506753</v>
      </c>
      <c r="BJ439" s="1843">
        <f t="shared" si="188"/>
        <v>62.699740807804247</v>
      </c>
      <c r="BK439" s="1843">
        <f t="shared" si="187"/>
        <v>64.619444188342044</v>
      </c>
      <c r="BL439" s="1843">
        <f t="shared" si="187"/>
        <v>66.597923905460632</v>
      </c>
      <c r="BM439" s="1843">
        <f t="shared" si="187"/>
        <v>61.488417817509777</v>
      </c>
      <c r="BO439" s="1739">
        <f t="shared" si="178"/>
        <v>2026</v>
      </c>
      <c r="BP439" s="1742">
        <f>_xlfn.IFNA(INDEX($AR439:$AX439,MATCH(BO439,$AR$2:$AX$2,0))*12/365*[11]核心假设及结论!$C$70*$H439,0)</f>
        <v>47519.881643835623</v>
      </c>
      <c r="BR439" s="1739">
        <f t="shared" si="183"/>
        <v>2030</v>
      </c>
      <c r="BS439" s="1742">
        <f>_xlfn.IFNA(INDEX($AR439:$AX439,MATCH(BR439,$AR$2:$AX$2,0))*12/365*[11]核心假设及结论!$C$70*$H439,0)</f>
        <v>54568.655883058513</v>
      </c>
      <c r="BU439" s="1739">
        <f t="shared" si="184"/>
        <v>2034</v>
      </c>
      <c r="BV439" s="1742">
        <f>_xlfn.IFNA(INDEX($AR439:$AX439,MATCH(BU439,$AR$2:$AX$2,0))*12/365*[11]核心假设及结论!$C$70*$H439,0)</f>
        <v>0</v>
      </c>
      <c r="BX439" s="1739">
        <f t="shared" si="185"/>
        <v>2038</v>
      </c>
      <c r="BY439" s="1742">
        <f>_xlfn.IFNA(INDEX($AR439:$AX439,MATCH(BX439,$AR$2:$AX$2,0))*12/365*[11]核心假设及结论!$C$70*$H439,0)</f>
        <v>0</v>
      </c>
      <c r="CA439" s="1739">
        <f t="shared" si="186"/>
        <v>2042</v>
      </c>
      <c r="CB439" s="1742">
        <f>_xlfn.IFNA(INDEX($AR439:$AX439,MATCH(CA439,$AR$2:$AX$2,0))*12/365*[11]核心假设及结论!$C$70*$H439,0)</f>
        <v>0</v>
      </c>
    </row>
    <row r="440" spans="1:80" ht="30" customHeight="1">
      <c r="A440" s="1763" t="s">
        <v>1666</v>
      </c>
      <c r="B440" s="1757" t="s">
        <v>2577</v>
      </c>
      <c r="C440" s="1764" t="s">
        <v>2578</v>
      </c>
      <c r="D440" s="1764" t="s">
        <v>1685</v>
      </c>
      <c r="E440" s="1764" t="s">
        <v>1692</v>
      </c>
      <c r="F440" s="1765"/>
      <c r="G440" s="1760" t="s">
        <v>1661</v>
      </c>
      <c r="H440" s="1761">
        <v>35</v>
      </c>
      <c r="I440" s="1763" t="s">
        <v>2534</v>
      </c>
      <c r="J440" s="1773">
        <v>45397</v>
      </c>
      <c r="K440" s="1773">
        <v>46491</v>
      </c>
      <c r="L440" s="1764">
        <f t="shared" si="168"/>
        <v>36</v>
      </c>
      <c r="M440" s="1774">
        <f t="shared" si="179"/>
        <v>36957.199999999997</v>
      </c>
      <c r="N440" s="1775">
        <f t="shared" si="180"/>
        <v>942.92</v>
      </c>
      <c r="O440" s="1777">
        <v>33002.199999999997</v>
      </c>
      <c r="P440" s="1763">
        <v>0.16</v>
      </c>
      <c r="Q440" s="1783">
        <f t="shared" si="169"/>
        <v>95</v>
      </c>
      <c r="R440" s="1763">
        <v>3325</v>
      </c>
      <c r="S440" s="1777">
        <f t="shared" si="170"/>
        <v>18</v>
      </c>
      <c r="T440" s="1763">
        <v>630</v>
      </c>
      <c r="U440" s="1763"/>
      <c r="V440" s="1785">
        <v>53006</v>
      </c>
      <c r="W440" s="1785">
        <f t="shared" si="171"/>
        <v>1514.4571428571428</v>
      </c>
      <c r="X440" s="1786">
        <f t="shared" si="193"/>
        <v>0.68534128211900547</v>
      </c>
      <c r="Y440" s="1789">
        <f>VLOOKUP(E440,[11]核心假设及结论!$C$25:$E$45,3,0)</f>
        <v>0.2</v>
      </c>
      <c r="Z440" s="1790">
        <f t="shared" si="190"/>
        <v>33002.199999999997</v>
      </c>
      <c r="AA440" s="1790">
        <f t="shared" si="190"/>
        <v>34066.550000000003</v>
      </c>
      <c r="AB440" s="1790">
        <f t="shared" si="190"/>
        <v>35131.25</v>
      </c>
      <c r="AC440" s="1790">
        <f t="shared" ref="AC440:AF465" si="194">AJ440*$H440</f>
        <v>0</v>
      </c>
      <c r="AD440" s="1790">
        <f t="shared" si="194"/>
        <v>0</v>
      </c>
      <c r="AE440" s="1790">
        <f t="shared" si="194"/>
        <v>0</v>
      </c>
      <c r="AF440" s="1790">
        <f t="shared" si="194"/>
        <v>0</v>
      </c>
      <c r="AG440" s="1794">
        <v>942.92</v>
      </c>
      <c r="AH440" s="1794">
        <v>973.33</v>
      </c>
      <c r="AI440" s="1794">
        <v>1003.75</v>
      </c>
      <c r="AJ440" s="1794">
        <v>0</v>
      </c>
      <c r="AK440" s="1794">
        <v>0</v>
      </c>
      <c r="AL440" s="1794">
        <v>0</v>
      </c>
      <c r="AM440" s="1794">
        <v>0</v>
      </c>
      <c r="AN440" s="1764"/>
      <c r="AO440" s="1764"/>
      <c r="AP440" s="1808">
        <f t="shared" si="181"/>
        <v>3.4267064105950271</v>
      </c>
      <c r="AQ440" s="1810">
        <f>IF(AP440&gt;[11]核心假设及结论!$B$59,[11]核心假设及结论!$D$59,IF(AP440&lt;=[11]核心假设及结论!$B$58,[11]核心假设及结论!$D$57,[11]核心假设及结论!$D$58))</f>
        <v>1</v>
      </c>
      <c r="AR440" s="1809">
        <f t="shared" si="182"/>
        <v>942.92</v>
      </c>
      <c r="AS440" s="1809">
        <f>AH440*(AS$2&lt;=YEAR($K440))+AR440*$AQ440*(AS$2=YEAR($K440)+1)+INDEX([11]核心假设及结论!$E$17:$E$21,MATCH($D440,[11]核心假设及结论!$B$17:$B$21,0))*(AS$2&gt;YEAR($K440)+1)*AR440</f>
        <v>973.33</v>
      </c>
      <c r="AT440" s="1809">
        <f>AI440*(AT$2&lt;=YEAR($K440))+AS440*$AQ440*(AT$2=YEAR($K440)+1)+INDEX([11]核心假设及结论!$E$17:$E$21,MATCH($D440,[11]核心假设及结论!$B$17:$B$21,0))*(AT$2&gt;YEAR($K440)+1)*AS440</f>
        <v>1003.75</v>
      </c>
      <c r="AU440" s="1811">
        <f>AJ440*(AU$2&lt;=YEAR($K440))+AT440*$AQ440*(AU$2=YEAR($K440)+1)+INDEX([11]核心假设及结论!$E$17:$E$21,MATCH($D440,[11]核心假设及结论!$B$17:$B$21,0))*(AU$2&gt;YEAR($K440)+1)*AT440</f>
        <v>1003.75</v>
      </c>
      <c r="AV440" s="1809">
        <f>AK440*(AV$2&lt;=YEAR($K440))+AU440*$AQ440*(AV$2=YEAR($K440)+1)+INDEX([11]核心假设及结论!$E$17:$E$21,MATCH($D440,[11]核心假设及结论!$B$17:$B$21,0))*(AV$2&gt;YEAR($K440)+1)*AU440</f>
        <v>1030.9260203485071</v>
      </c>
      <c r="AW440" s="1809">
        <f>AL440*(AW$2&lt;=YEAR($K440))+AV440*$AQ440*(AW$2=YEAR($K440)+1)+INDEX([11]核心假设及结论!$E$17:$E$21,MATCH($D440,[11]核心假设及结论!$B$17:$B$21,0))*(AW$2&gt;YEAR($K440)+1)*AV440</f>
        <v>1058.8378176155522</v>
      </c>
      <c r="AX440" s="1809">
        <f>AM440*(AX$2&lt;=YEAR($K440))+AW440*$AQ440*(AX$2=YEAR($K440)+1)+INDEX([11]核心假设及结论!$E$17:$E$21,MATCH($D440,[11]核心假设及结论!$B$17:$B$21,0))*(AX$2&gt;YEAR($K440)+1)*AW440</f>
        <v>1087.5053125866996</v>
      </c>
      <c r="AZ440" s="1746">
        <f t="shared" si="172"/>
        <v>46491</v>
      </c>
      <c r="BA440" s="1817">
        <f t="shared" si="173"/>
        <v>45658</v>
      </c>
      <c r="BB440" s="1817">
        <f t="shared" si="174"/>
        <v>45761</v>
      </c>
      <c r="BC440" s="1841">
        <f t="shared" si="175"/>
        <v>46022</v>
      </c>
      <c r="BD440" s="1842">
        <f t="shared" si="176"/>
        <v>104</v>
      </c>
      <c r="BE440" s="1842">
        <f t="shared" si="177"/>
        <v>261</v>
      </c>
      <c r="BG440" s="1843">
        <f t="shared" si="192"/>
        <v>40.515939780821917</v>
      </c>
      <c r="BH440" s="1843">
        <f t="shared" si="188"/>
        <v>41.793460109589041</v>
      </c>
      <c r="BI440" s="1843">
        <f t="shared" si="188"/>
        <v>42.157499999999999</v>
      </c>
      <c r="BJ440" s="1843">
        <f t="shared" si="188"/>
        <v>42.973674068658447</v>
      </c>
      <c r="BK440" s="1843">
        <f t="shared" si="187"/>
        <v>44.137164420777985</v>
      </c>
      <c r="BL440" s="1843">
        <f t="shared" si="187"/>
        <v>45.332155681972971</v>
      </c>
      <c r="BM440" s="1843">
        <f t="shared" si="187"/>
        <v>13.014310151722476</v>
      </c>
      <c r="BO440" s="1739">
        <f t="shared" si="178"/>
        <v>2027</v>
      </c>
      <c r="BP440" s="1742">
        <f>_xlfn.IFNA(INDEX($AR440:$AX440,MATCH(BO440,$AR$2:$AX$2,0))*12/365*[11]核心假设及结论!$C$70*$H440,0)</f>
        <v>34650</v>
      </c>
      <c r="BR440" s="1739">
        <f t="shared" si="183"/>
        <v>2030</v>
      </c>
      <c r="BS440" s="1742">
        <f>_xlfn.IFNA(INDEX($AR440:$AX440,MATCH(BR440,$AR$2:$AX$2,0))*12/365*[11]核心假设及结论!$C$70*$H440,0)</f>
        <v>36551.661649194415</v>
      </c>
      <c r="BU440" s="1739">
        <f t="shared" si="184"/>
        <v>2033</v>
      </c>
      <c r="BV440" s="1742">
        <f>_xlfn.IFNA(INDEX($AR440:$AX440,MATCH(BU440,$AR$2:$AX$2,0))*12/365*[11]核心假设及结论!$C$70*$H440,0)</f>
        <v>0</v>
      </c>
      <c r="BX440" s="1739">
        <f t="shared" si="185"/>
        <v>2036</v>
      </c>
      <c r="BY440" s="1742">
        <f>_xlfn.IFNA(INDEX($AR440:$AX440,MATCH(BX440,$AR$2:$AX$2,0))*12/365*[11]核心假设及结论!$C$70*$H440,0)</f>
        <v>0</v>
      </c>
      <c r="CA440" s="1739">
        <f t="shared" si="186"/>
        <v>2039</v>
      </c>
      <c r="CB440" s="1742">
        <f>_xlfn.IFNA(INDEX($AR440:$AX440,MATCH(CA440,$AR$2:$AX$2,0))*12/365*[11]核心假设及结论!$C$70*$H440,0)</f>
        <v>0</v>
      </c>
    </row>
    <row r="441" spans="1:80" ht="30" customHeight="1">
      <c r="A441" s="1763" t="s">
        <v>1687</v>
      </c>
      <c r="B441" s="1757" t="s">
        <v>2579</v>
      </c>
      <c r="C441" s="1764" t="s">
        <v>2580</v>
      </c>
      <c r="D441" s="1764" t="s">
        <v>1685</v>
      </c>
      <c r="E441" s="1764" t="s">
        <v>1871</v>
      </c>
      <c r="F441" s="1765"/>
      <c r="G441" s="1760" t="s">
        <v>1661</v>
      </c>
      <c r="H441" s="1761">
        <v>34</v>
      </c>
      <c r="I441" s="1763" t="s">
        <v>2534</v>
      </c>
      <c r="J441" s="1773">
        <v>45266</v>
      </c>
      <c r="K441" s="1773">
        <v>45996</v>
      </c>
      <c r="L441" s="1764">
        <f t="shared" si="168"/>
        <v>24</v>
      </c>
      <c r="M441" s="1774">
        <f t="shared" si="179"/>
        <v>58652.72</v>
      </c>
      <c r="N441" s="1775">
        <f t="shared" si="180"/>
        <v>1612.08</v>
      </c>
      <c r="O441" s="1777">
        <v>54810.720000000001</v>
      </c>
      <c r="P441" s="1763">
        <v>0.18</v>
      </c>
      <c r="Q441" s="1783">
        <f t="shared" si="169"/>
        <v>95</v>
      </c>
      <c r="R441" s="1763">
        <v>3230</v>
      </c>
      <c r="S441" s="1777">
        <f t="shared" si="170"/>
        <v>18</v>
      </c>
      <c r="T441" s="1763">
        <v>612</v>
      </c>
      <c r="U441" s="1763"/>
      <c r="V441" s="1785">
        <v>375966.001666667</v>
      </c>
      <c r="W441" s="1785">
        <f t="shared" si="171"/>
        <v>11057.823578431382</v>
      </c>
      <c r="X441" s="1786">
        <f t="shared" si="193"/>
        <v>0.15437757601140525</v>
      </c>
      <c r="Y441" s="1789">
        <f>VLOOKUP(E441,[11]核心假设及结论!$C$25:$E$45,3,0)</f>
        <v>0.2</v>
      </c>
      <c r="Z441" s="1790">
        <f t="shared" ref="Z441:AB465" si="195">AG441*$H441</f>
        <v>55845</v>
      </c>
      <c r="AA441" s="1790">
        <f t="shared" si="195"/>
        <v>0</v>
      </c>
      <c r="AB441" s="1790">
        <f t="shared" si="195"/>
        <v>0</v>
      </c>
      <c r="AC441" s="1790">
        <f t="shared" si="194"/>
        <v>0</v>
      </c>
      <c r="AD441" s="1790">
        <f t="shared" si="194"/>
        <v>0</v>
      </c>
      <c r="AE441" s="1790">
        <f t="shared" si="194"/>
        <v>0</v>
      </c>
      <c r="AF441" s="1790">
        <f t="shared" si="194"/>
        <v>0</v>
      </c>
      <c r="AG441" s="1794">
        <v>1642.5</v>
      </c>
      <c r="AH441" s="1794">
        <v>0</v>
      </c>
      <c r="AI441" s="1794">
        <v>0</v>
      </c>
      <c r="AJ441" s="1794">
        <v>0</v>
      </c>
      <c r="AK441" s="1794">
        <v>0</v>
      </c>
      <c r="AL441" s="1794">
        <v>0</v>
      </c>
      <c r="AM441" s="1794">
        <v>0</v>
      </c>
      <c r="AN441" s="1764"/>
      <c r="AO441" s="1764"/>
      <c r="AP441" s="1808">
        <f t="shared" si="181"/>
        <v>0.77188788005702624</v>
      </c>
      <c r="AQ441" s="1810">
        <f>IF(AP441&gt;[11]核心假设及结论!$B$59,[11]核心假设及结论!$D$59,IF(AP441&lt;=[11]核心假设及结论!$B$58,[11]核心假设及结论!$D$57,[11]核心假设及结论!$D$58))</f>
        <v>1.0342640124442799</v>
      </c>
      <c r="AR441" s="1809">
        <f t="shared" si="182"/>
        <v>1642.5</v>
      </c>
      <c r="AS441" s="1811">
        <f>AH441*(AS$2&lt;=YEAR($K441))+AR441*$AQ441*(AS$2=YEAR($K441)+1)+INDEX([11]核心假设及结论!$E$17:$E$21,MATCH($D441,[11]核心假设及结论!$B$17:$B$21,0))*(AS$2&gt;YEAR($K441)+1)*AR441</f>
        <v>1698.7786404397298</v>
      </c>
      <c r="AT441" s="1809">
        <f>AI441*(AT$2&lt;=YEAR($K441))+AS441*$AQ441*(AT$2=YEAR($K441)+1)+INDEX([11]核心假设及结论!$E$17:$E$21,MATCH($D441,[11]核心假设及结论!$B$17:$B$21,0))*(AT$2&gt;YEAR($K441)+1)*AS441</f>
        <v>1744.7722074635897</v>
      </c>
      <c r="AU441" s="1809">
        <f>AJ441*(AU$2&lt;=YEAR($K441))+AT441*$AQ441*(AU$2=YEAR($K441)+1)+INDEX([11]核心假设及结论!$E$17:$E$21,MATCH($D441,[11]核心假设及结论!$B$17:$B$21,0))*(AU$2&gt;YEAR($K441)+1)*AT441</f>
        <v>1792.0110269042275</v>
      </c>
      <c r="AV441" s="1809">
        <f>AK441*(AV$2&lt;=YEAR($K441))+AU441*$AQ441*(AV$2=YEAR($K441)+1)+INDEX([11]核心假设及结论!$E$17:$E$21,MATCH($D441,[11]核心假设及结论!$B$17:$B$21,0))*(AV$2&gt;YEAR($K441)+1)*AU441</f>
        <v>1840.5288133370032</v>
      </c>
      <c r="AW441" s="1809">
        <f>AL441*(AW$2&lt;=YEAR($K441))+AV441*$AQ441*(AW$2=YEAR($K441)+1)+INDEX([11]核心假设及结论!$E$17:$E$21,MATCH($D441,[11]核心假设及结论!$B$17:$B$21,0))*(AW$2&gt;YEAR($K441)+1)*AV441</f>
        <v>1890.3601941422437</v>
      </c>
      <c r="AX441" s="1809">
        <f>AM441*(AX$2&lt;=YEAR($K441))+AW441*$AQ441*(AX$2=YEAR($K441)+1)+INDEX([11]核心假设及结论!$E$17:$E$21,MATCH($D441,[11]核心假设及结论!$B$17:$B$21,0))*(AX$2&gt;YEAR($K441)+1)*AW441</f>
        <v>1941.5407342189735</v>
      </c>
      <c r="AZ441" s="1746">
        <f t="shared" si="172"/>
        <v>45996</v>
      </c>
      <c r="BA441" s="1817">
        <f t="shared" si="173"/>
        <v>45658</v>
      </c>
      <c r="BB441" s="1817">
        <f t="shared" si="174"/>
        <v>45996</v>
      </c>
      <c r="BC441" s="1841">
        <f t="shared" si="175"/>
        <v>46022</v>
      </c>
      <c r="BD441" s="1842">
        <f t="shared" si="176"/>
        <v>339</v>
      </c>
      <c r="BE441" s="1842">
        <f t="shared" si="177"/>
        <v>26</v>
      </c>
      <c r="BG441" s="1843">
        <f t="shared" si="192"/>
        <v>67.17756268980402</v>
      </c>
      <c r="BH441" s="1843">
        <f t="shared" si="188"/>
        <v>69.443839696787308</v>
      </c>
      <c r="BI441" s="1843">
        <f t="shared" si="188"/>
        <v>71.323996310165498</v>
      </c>
      <c r="BJ441" s="1843">
        <f t="shared" si="188"/>
        <v>73.255057206864777</v>
      </c>
      <c r="BK441" s="1843">
        <f t="shared" si="187"/>
        <v>75.238400594446162</v>
      </c>
      <c r="BL441" s="1843">
        <f t="shared" si="187"/>
        <v>77.275441994738856</v>
      </c>
      <c r="BM441" s="1843">
        <f t="shared" si="187"/>
        <v>73.572159460628683</v>
      </c>
      <c r="BO441" s="1739">
        <f t="shared" si="178"/>
        <v>2025</v>
      </c>
      <c r="BP441" s="1742">
        <f>_xlfn.IFNA(INDEX($AR441:$AX441,MATCH(BO441,$AR$2:$AX$2,0))*12/365*[11]核心假设及结论!$C$70*$H441,0)</f>
        <v>55080</v>
      </c>
      <c r="BR441" s="1739">
        <f t="shared" si="183"/>
        <v>2027</v>
      </c>
      <c r="BS441" s="1742">
        <f>_xlfn.IFNA(INDEX($AR441:$AX441,MATCH(BR441,$AR$2:$AX$2,0))*12/365*[11]核心假设及结论!$C$70*$H441,0)</f>
        <v>58509.621422888595</v>
      </c>
      <c r="BU441" s="1739">
        <f t="shared" si="184"/>
        <v>2029</v>
      </c>
      <c r="BV441" s="1742">
        <f>_xlfn.IFNA(INDEX($AR441:$AX441,MATCH(BU441,$AR$2:$AX$2,0))*12/365*[11]核心假设及结论!$C$70*$H441,0)</f>
        <v>61720.74705546553</v>
      </c>
      <c r="BX441" s="1739">
        <f t="shared" si="185"/>
        <v>2031</v>
      </c>
      <c r="BY441" s="1742">
        <f>_xlfn.IFNA(INDEX($AR441:$AX441,MATCH(BX441,$AR$2:$AX$2,0))*12/365*[11]核心假设及结论!$C$70*$H441,0)</f>
        <v>65108.105717370505</v>
      </c>
      <c r="CA441" s="1739">
        <f t="shared" si="186"/>
        <v>2033</v>
      </c>
      <c r="CB441" s="1742">
        <f>_xlfn.IFNA(INDEX($AR441:$AX441,MATCH(CA441,$AR$2:$AX$2,0))*12/365*[11]核心假设及结论!$C$70*$H441,0)</f>
        <v>0</v>
      </c>
    </row>
    <row r="442" spans="1:80" ht="30" customHeight="1">
      <c r="A442" s="1763" t="s">
        <v>1666</v>
      </c>
      <c r="B442" s="1757" t="s">
        <v>2581</v>
      </c>
      <c r="C442" s="1764" t="s">
        <v>2582</v>
      </c>
      <c r="D442" s="1764" t="s">
        <v>1698</v>
      </c>
      <c r="E442" s="1764" t="s">
        <v>1698</v>
      </c>
      <c r="F442" s="1765"/>
      <c r="G442" s="1760" t="s">
        <v>1661</v>
      </c>
      <c r="H442" s="1761">
        <v>33</v>
      </c>
      <c r="I442" s="1763" t="s">
        <v>2534</v>
      </c>
      <c r="J442" s="1773">
        <v>45489</v>
      </c>
      <c r="K442" s="1773">
        <v>46218</v>
      </c>
      <c r="L442" s="1764">
        <f t="shared" si="168"/>
        <v>24</v>
      </c>
      <c r="M442" s="1774">
        <f t="shared" si="179"/>
        <v>47392.29</v>
      </c>
      <c r="N442" s="1775">
        <f t="shared" si="180"/>
        <v>1323.13</v>
      </c>
      <c r="O442" s="1777">
        <v>43663.29</v>
      </c>
      <c r="P442" s="1763">
        <v>0.13</v>
      </c>
      <c r="Q442" s="1783">
        <f t="shared" si="169"/>
        <v>95</v>
      </c>
      <c r="R442" s="1763">
        <v>3135</v>
      </c>
      <c r="S442" s="1777">
        <f t="shared" si="170"/>
        <v>18</v>
      </c>
      <c r="T442" s="1763">
        <v>594</v>
      </c>
      <c r="U442" s="1763"/>
      <c r="V442" s="1785">
        <v>174370.48</v>
      </c>
      <c r="W442" s="1785">
        <f t="shared" si="171"/>
        <v>5283.9539393939394</v>
      </c>
      <c r="X442" s="1786">
        <f t="shared" si="193"/>
        <v>0.26838424715009102</v>
      </c>
      <c r="Y442" s="1789">
        <f>VLOOKUP(E442,[11]核心假设及结论!$C$25:$E$45,3,0)</f>
        <v>0.2</v>
      </c>
      <c r="Z442" s="1790">
        <f t="shared" si="195"/>
        <v>43663.29</v>
      </c>
      <c r="AA442" s="1790">
        <f t="shared" si="195"/>
        <v>45168.75</v>
      </c>
      <c r="AB442" s="1790">
        <f t="shared" si="195"/>
        <v>0</v>
      </c>
      <c r="AC442" s="1790">
        <f t="shared" si="194"/>
        <v>0</v>
      </c>
      <c r="AD442" s="1790">
        <f t="shared" si="194"/>
        <v>0</v>
      </c>
      <c r="AE442" s="1790">
        <f t="shared" si="194"/>
        <v>0</v>
      </c>
      <c r="AF442" s="1790">
        <f t="shared" si="194"/>
        <v>0</v>
      </c>
      <c r="AG442" s="1794">
        <v>1323.13</v>
      </c>
      <c r="AH442" s="1794">
        <v>1368.75</v>
      </c>
      <c r="AI442" s="1794">
        <v>0</v>
      </c>
      <c r="AJ442" s="1794">
        <v>0</v>
      </c>
      <c r="AK442" s="1794">
        <v>0</v>
      </c>
      <c r="AL442" s="1794">
        <v>0</v>
      </c>
      <c r="AM442" s="1794">
        <v>0</v>
      </c>
      <c r="AN442" s="1764"/>
      <c r="AO442" s="1764"/>
      <c r="AP442" s="1808">
        <f t="shared" si="181"/>
        <v>1.3419212357504551</v>
      </c>
      <c r="AQ442" s="1812">
        <f>IF(AP442&gt;[11]核心假设及结论!$B$62,[11]核心假设及结论!$D$62,IF(AP442&lt;=[11]核心假设及结论!$B$61,[11]核心假设及结论!$D$60,[11]核心假设及结论!$D$61))</f>
        <v>1.0489999999999999</v>
      </c>
      <c r="AR442" s="1809">
        <f t="shared" si="182"/>
        <v>1323.13</v>
      </c>
      <c r="AS442" s="1809">
        <f>AH442*(AS$2&lt;=YEAR($K442))+AR442*$AQ442*(AS$2=YEAR($K442)+1)+INDEX([11]核心假设及结论!$E$17:$E$21,MATCH($D442,[11]核心假设及结论!$B$17:$B$21,0))*(AS$2&gt;YEAR($K442)+1)*AR442</f>
        <v>1368.75</v>
      </c>
      <c r="AT442" s="1811">
        <f>AI442*(AT$2&lt;=YEAR($K442))+AS442*$AQ442*(AT$2=YEAR($K442)+1)+INDEX([11]核心假设及结论!$E$17:$E$21,MATCH($D442,[11]核心假设及结论!$B$17:$B$21,0))*(AT$2&gt;YEAR($K442)+1)*AS442</f>
        <v>1435.8187499999999</v>
      </c>
      <c r="AU442" s="1809">
        <f>AJ442*(AU$2&lt;=YEAR($K442))+AT442*$AQ442*(AU$2=YEAR($K442)+1)+INDEX([11]核心假设及结论!$E$17:$E$21,MATCH($D442,[11]核心假设及结论!$B$17:$B$21,0))*(AU$2&gt;YEAR($K442)+1)*AT442</f>
        <v>1479.7797946981539</v>
      </c>
      <c r="AV442" s="1809">
        <f>AK442*(AV$2&lt;=YEAR($K442))+AU442*$AQ442*(AV$2=YEAR($K442)+1)+INDEX([11]核心假设及结论!$E$17:$E$21,MATCH($D442,[11]核心假设及结论!$B$17:$B$21,0))*(AV$2&gt;YEAR($K442)+1)*AU442</f>
        <v>1525.0868125220613</v>
      </c>
      <c r="AW442" s="1809">
        <f>AL442*(AW$2&lt;=YEAR($K442))+AV442*$AQ442*(AW$2=YEAR($K442)+1)+INDEX([11]核心假设及结论!$E$17:$E$21,MATCH($D442,[11]核心假设及结论!$B$17:$B$21,0))*(AW$2&gt;YEAR($K442)+1)*AV442</f>
        <v>1571.7810136765229</v>
      </c>
      <c r="AX442" s="1809">
        <f>AM442*(AX$2&lt;=YEAR($K442))+AW442*$AQ442*(AX$2=YEAR($K442)+1)+INDEX([11]核心假设及结论!$E$17:$E$21,MATCH($D442,[11]核心假设及结论!$B$17:$B$21,0))*(AX$2&gt;YEAR($K442)+1)*AW442</f>
        <v>1619.9048701158843</v>
      </c>
      <c r="AZ442" s="1746">
        <f t="shared" si="172"/>
        <v>46218</v>
      </c>
      <c r="BA442" s="1817">
        <f t="shared" si="173"/>
        <v>45658</v>
      </c>
      <c r="BB442" s="1817">
        <f t="shared" si="174"/>
        <v>45853</v>
      </c>
      <c r="BC442" s="1841">
        <f t="shared" si="175"/>
        <v>46022</v>
      </c>
      <c r="BD442" s="1842">
        <f t="shared" si="176"/>
        <v>196</v>
      </c>
      <c r="BE442" s="1842">
        <f t="shared" si="177"/>
        <v>169</v>
      </c>
      <c r="BG442" s="1843">
        <f t="shared" si="192"/>
        <v>53.23240632328767</v>
      </c>
      <c r="BH442" s="1843">
        <f t="shared" si="188"/>
        <v>55.432228500000001</v>
      </c>
      <c r="BI442" s="1843">
        <f t="shared" si="188"/>
        <v>57.664463309692941</v>
      </c>
      <c r="BJ442" s="1843">
        <f t="shared" si="188"/>
        <v>59.429999557950232</v>
      </c>
      <c r="BK442" s="1843">
        <f t="shared" si="187"/>
        <v>61.249591945205466</v>
      </c>
      <c r="BL442" s="1843">
        <f t="shared" si="187"/>
        <v>63.124895530178748</v>
      </c>
      <c r="BM442" s="1843">
        <f t="shared" si="187"/>
        <v>34.446722301072462</v>
      </c>
      <c r="BO442" s="1739">
        <f t="shared" si="178"/>
        <v>2026</v>
      </c>
      <c r="BP442" s="1742">
        <f>_xlfn.IFNA(INDEX($AR442:$AX442,MATCH(BO442,$AR$2:$AX$2,0))*12/365*[11]核心假设及结论!$C$70*$H442,0)</f>
        <v>44550</v>
      </c>
      <c r="BR442" s="1739">
        <f t="shared" si="183"/>
        <v>2028</v>
      </c>
      <c r="BS442" s="1742">
        <f>_xlfn.IFNA(INDEX($AR442:$AX442,MATCH(BR442,$AR$2:$AX$2,0))*12/365*[11]核心假设及结论!$C$70*$H442,0)</f>
        <v>48163.791674011154</v>
      </c>
      <c r="BU442" s="1739">
        <f t="shared" si="184"/>
        <v>2030</v>
      </c>
      <c r="BV442" s="1742">
        <f>_xlfn.IFNA(INDEX($AR442:$AX442,MATCH(BU442,$AR$2:$AX$2,0))*12/365*[11]核心假设及结论!$C$70*$H442,0)</f>
        <v>51158.242308156419</v>
      </c>
      <c r="BX442" s="1739">
        <f t="shared" si="185"/>
        <v>2032</v>
      </c>
      <c r="BY442" s="1742">
        <f>_xlfn.IFNA(INDEX($AR442:$AX442,MATCH(BX442,$AR$2:$AX$2,0))*12/365*[11]核心假设及结论!$C$70*$H442,0)</f>
        <v>0</v>
      </c>
      <c r="CA442" s="1739">
        <f t="shared" si="186"/>
        <v>2034</v>
      </c>
      <c r="CB442" s="1742">
        <f>_xlfn.IFNA(INDEX($AR442:$AX442,MATCH(CA442,$AR$2:$AX$2,0))*12/365*[11]核心假设及结论!$C$70*$H442,0)</f>
        <v>0</v>
      </c>
    </row>
    <row r="443" spans="1:80" ht="30" customHeight="1">
      <c r="A443" s="1763" t="s">
        <v>1666</v>
      </c>
      <c r="B443" s="1757" t="s">
        <v>2583</v>
      </c>
      <c r="C443" s="1764" t="s">
        <v>2584</v>
      </c>
      <c r="D443" s="1764" t="s">
        <v>1698</v>
      </c>
      <c r="E443" s="1764" t="s">
        <v>1698</v>
      </c>
      <c r="F443" s="1765"/>
      <c r="G443" s="1760" t="s">
        <v>1661</v>
      </c>
      <c r="H443" s="1761">
        <v>32</v>
      </c>
      <c r="I443" s="1763" t="s">
        <v>2534</v>
      </c>
      <c r="J443" s="1773">
        <v>45419</v>
      </c>
      <c r="K443" s="1773">
        <v>46148</v>
      </c>
      <c r="L443" s="1764">
        <f t="shared" si="168"/>
        <v>24</v>
      </c>
      <c r="M443" s="1774">
        <f t="shared" si="179"/>
        <v>43717.440000000002</v>
      </c>
      <c r="N443" s="1775">
        <f t="shared" si="180"/>
        <v>1253.17</v>
      </c>
      <c r="O443" s="1777">
        <v>40101.440000000002</v>
      </c>
      <c r="P443" s="1763">
        <v>0.15</v>
      </c>
      <c r="Q443" s="1783">
        <f t="shared" si="169"/>
        <v>95</v>
      </c>
      <c r="R443" s="1763">
        <v>3040</v>
      </c>
      <c r="S443" s="1777">
        <f t="shared" si="170"/>
        <v>18</v>
      </c>
      <c r="T443" s="1763">
        <v>576</v>
      </c>
      <c r="U443" s="1763"/>
      <c r="V443" s="1785">
        <v>177541.5</v>
      </c>
      <c r="W443" s="1785">
        <f t="shared" si="171"/>
        <v>5548.171875</v>
      </c>
      <c r="X443" s="1786">
        <f t="shared" si="193"/>
        <v>0.24299355361985792</v>
      </c>
      <c r="Y443" s="1789">
        <f>VLOOKUP(E443,[11]核心假设及结论!$C$25:$E$45,3,0)</f>
        <v>0.2</v>
      </c>
      <c r="Z443" s="1790">
        <f t="shared" si="195"/>
        <v>40101.440000000002</v>
      </c>
      <c r="AA443" s="1790">
        <f t="shared" si="195"/>
        <v>41308.160000000003</v>
      </c>
      <c r="AB443" s="1790">
        <f t="shared" si="195"/>
        <v>0</v>
      </c>
      <c r="AC443" s="1790">
        <f t="shared" si="194"/>
        <v>0</v>
      </c>
      <c r="AD443" s="1790">
        <f t="shared" si="194"/>
        <v>0</v>
      </c>
      <c r="AE443" s="1790">
        <f t="shared" si="194"/>
        <v>0</v>
      </c>
      <c r="AF443" s="1790">
        <f t="shared" si="194"/>
        <v>0</v>
      </c>
      <c r="AG443" s="1794">
        <v>1253.17</v>
      </c>
      <c r="AH443" s="1794">
        <v>1290.8800000000001</v>
      </c>
      <c r="AI443" s="1794">
        <v>0</v>
      </c>
      <c r="AJ443" s="1794">
        <v>0</v>
      </c>
      <c r="AK443" s="1794">
        <v>0</v>
      </c>
      <c r="AL443" s="1794">
        <v>0</v>
      </c>
      <c r="AM443" s="1794">
        <v>0</v>
      </c>
      <c r="AN443" s="1764"/>
      <c r="AO443" s="1764"/>
      <c r="AP443" s="1808">
        <f t="shared" si="181"/>
        <v>1.2149677680992894</v>
      </c>
      <c r="AQ443" s="1812">
        <f>IF(AP443&gt;[11]核心假设及结论!$B$62,[11]核心假设及结论!$D$62,IF(AP443&lt;=[11]核心假设及结论!$B$61,[11]核心假设及结论!$D$60,[11]核心假设及结论!$D$61))</f>
        <v>1.0489999999999999</v>
      </c>
      <c r="AR443" s="1809">
        <f t="shared" si="182"/>
        <v>1253.17</v>
      </c>
      <c r="AS443" s="1809">
        <f>AH443*(AS$2&lt;=YEAR($K443))+AR443*$AQ443*(AS$2=YEAR($K443)+1)+INDEX([11]核心假设及结论!$E$17:$E$21,MATCH($D443,[11]核心假设及结论!$B$17:$B$21,0))*(AS$2&gt;YEAR($K443)+1)*AR443</f>
        <v>1290.8800000000001</v>
      </c>
      <c r="AT443" s="1811">
        <f>AI443*(AT$2&lt;=YEAR($K443))+AS443*$AQ443*(AT$2=YEAR($K443)+1)+INDEX([11]核心假设及结论!$E$17:$E$21,MATCH($D443,[11]核心假设及结论!$B$17:$B$21,0))*(AT$2&gt;YEAR($K443)+1)*AS443</f>
        <v>1354.13312</v>
      </c>
      <c r="AU443" s="1809">
        <f>AJ443*(AU$2&lt;=YEAR($K443))+AT443*$AQ443*(AU$2=YEAR($K443)+1)+INDEX([11]核心假设及结论!$E$17:$E$21,MATCH($D443,[11]核心假设及结论!$B$17:$B$21,0))*(AU$2&gt;YEAR($K443)+1)*AT443</f>
        <v>1395.5931626520205</v>
      </c>
      <c r="AV443" s="1809">
        <f>AK443*(AV$2&lt;=YEAR($K443))+AU443*$AQ443*(AV$2=YEAR($K443)+1)+INDEX([11]核心假设及结论!$E$17:$E$21,MATCH($D443,[11]核心假设及结论!$B$17:$B$21,0))*(AV$2&gt;YEAR($K443)+1)*AU443</f>
        <v>1438.3226042363317</v>
      </c>
      <c r="AW443" s="1809">
        <f>AL443*(AW$2&lt;=YEAR($K443))+AV443*$AQ443*(AW$2=YEAR($K443)+1)+INDEX([11]核心假设及结论!$E$17:$E$21,MATCH($D443,[11]核心假设及结论!$B$17:$B$21,0))*(AW$2&gt;YEAR($K443)+1)*AV443</f>
        <v>1482.3603104546121</v>
      </c>
      <c r="AX443" s="1809">
        <f>AM443*(AX$2&lt;=YEAR($K443))+AW443*$AQ443*(AX$2=YEAR($K443)+1)+INDEX([11]核心假设及结论!$E$17:$E$21,MATCH($D443,[11]核心假设及结论!$B$17:$B$21,0))*(AX$2&gt;YEAR($K443)+1)*AW443</f>
        <v>1527.7463369754837</v>
      </c>
      <c r="AZ443" s="1746">
        <f t="shared" si="172"/>
        <v>46148</v>
      </c>
      <c r="BA443" s="1817">
        <f t="shared" si="173"/>
        <v>45658</v>
      </c>
      <c r="BB443" s="1817">
        <f t="shared" si="174"/>
        <v>45783</v>
      </c>
      <c r="BC443" s="1841">
        <f t="shared" si="175"/>
        <v>46022</v>
      </c>
      <c r="BD443" s="1842">
        <f t="shared" si="176"/>
        <v>126</v>
      </c>
      <c r="BE443" s="1842">
        <f t="shared" si="177"/>
        <v>239</v>
      </c>
      <c r="BG443" s="1843">
        <f t="shared" si="192"/>
        <v>49.069912372602737</v>
      </c>
      <c r="BH443" s="1843">
        <f t="shared" si="188"/>
        <v>51.160235381128764</v>
      </c>
      <c r="BI443" s="1843">
        <f t="shared" si="188"/>
        <v>53.041187664008724</v>
      </c>
      <c r="BJ443" s="1843">
        <f t="shared" si="188"/>
        <v>54.665171207712035</v>
      </c>
      <c r="BK443" s="1843">
        <f t="shared" si="187"/>
        <v>56.338876913877577</v>
      </c>
      <c r="BL443" s="1843">
        <f t="shared" si="187"/>
        <v>58.063827146109034</v>
      </c>
      <c r="BM443" s="1843">
        <f t="shared" si="187"/>
        <v>20.251638018690901</v>
      </c>
      <c r="BO443" s="1739">
        <f t="shared" si="178"/>
        <v>2026</v>
      </c>
      <c r="BP443" s="1742">
        <f>_xlfn.IFNA(INDEX($AR443:$AX443,MATCH(BO443,$AR$2:$AX$2,0))*12/365*[11]核心假设及结论!$C$70*$H443,0)</f>
        <v>40742.294794520552</v>
      </c>
      <c r="BR443" s="1739">
        <f t="shared" si="183"/>
        <v>2028</v>
      </c>
      <c r="BS443" s="1742">
        <f>_xlfn.IFNA(INDEX($AR443:$AX443,MATCH(BR443,$AR$2:$AX$2,0))*12/365*[11]核心假设及结论!$C$70*$H443,0)</f>
        <v>44047.214339044593</v>
      </c>
      <c r="BU443" s="1739">
        <f t="shared" si="184"/>
        <v>2030</v>
      </c>
      <c r="BV443" s="1742">
        <f>_xlfn.IFNA(INDEX($AR443:$AX443,MATCH(BU443,$AR$2:$AX$2,0))*12/365*[11]核心假设及结论!$C$70*$H443,0)</f>
        <v>46785.72815462228</v>
      </c>
      <c r="BX443" s="1739">
        <f t="shared" si="185"/>
        <v>2032</v>
      </c>
      <c r="BY443" s="1742">
        <f>_xlfn.IFNA(INDEX($AR443:$AX443,MATCH(BX443,$AR$2:$AX$2,0))*12/365*[11]核心假设及结论!$C$70*$H443,0)</f>
        <v>0</v>
      </c>
      <c r="CA443" s="1739">
        <f t="shared" si="186"/>
        <v>2034</v>
      </c>
      <c r="CB443" s="1742">
        <f>_xlfn.IFNA(INDEX($AR443:$AX443,MATCH(CA443,$AR$2:$AX$2,0))*12/365*[11]核心假设及结论!$C$70*$H443,0)</f>
        <v>0</v>
      </c>
    </row>
    <row r="444" spans="1:80" ht="30" customHeight="1">
      <c r="A444" s="1763" t="s">
        <v>1662</v>
      </c>
      <c r="B444" s="1757" t="s">
        <v>2585</v>
      </c>
      <c r="C444" s="1764" t="s">
        <v>2586</v>
      </c>
      <c r="D444" s="1764" t="s">
        <v>1685</v>
      </c>
      <c r="E444" s="1764" t="s">
        <v>1888</v>
      </c>
      <c r="F444" s="1765"/>
      <c r="G444" s="1760" t="s">
        <v>1661</v>
      </c>
      <c r="H444" s="1761">
        <v>32</v>
      </c>
      <c r="I444" s="1763" t="s">
        <v>2534</v>
      </c>
      <c r="J444" s="1773">
        <v>45108</v>
      </c>
      <c r="K444" s="1773">
        <v>45838</v>
      </c>
      <c r="L444" s="1764">
        <f t="shared" si="168"/>
        <v>24</v>
      </c>
      <c r="M444" s="1774">
        <f t="shared" si="179"/>
        <v>43522</v>
      </c>
      <c r="N444" s="1775">
        <f t="shared" si="180"/>
        <v>1247.0625</v>
      </c>
      <c r="O444" s="1777">
        <v>39906</v>
      </c>
      <c r="P444" s="1763">
        <v>0.18</v>
      </c>
      <c r="Q444" s="1783">
        <f t="shared" si="169"/>
        <v>95</v>
      </c>
      <c r="R444" s="1763">
        <v>3040</v>
      </c>
      <c r="S444" s="1777">
        <f t="shared" si="170"/>
        <v>18</v>
      </c>
      <c r="T444" s="1763">
        <v>576</v>
      </c>
      <c r="U444" s="1763"/>
      <c r="V444" s="1785">
        <v>148158.41666666701</v>
      </c>
      <c r="W444" s="1785">
        <f t="shared" si="171"/>
        <v>4629.9505208333439</v>
      </c>
      <c r="X444" s="1786">
        <f t="shared" si="193"/>
        <v>0.28986540870385857</v>
      </c>
      <c r="Y444" s="1789">
        <f>VLOOKUP(E444,[11]核心假设及结论!$C$25:$E$45,3,0)</f>
        <v>0.3</v>
      </c>
      <c r="Z444" s="1790">
        <f t="shared" si="195"/>
        <v>40880</v>
      </c>
      <c r="AA444" s="1790">
        <f t="shared" si="195"/>
        <v>0</v>
      </c>
      <c r="AB444" s="1790">
        <f t="shared" si="195"/>
        <v>0</v>
      </c>
      <c r="AC444" s="1790">
        <f t="shared" si="194"/>
        <v>0</v>
      </c>
      <c r="AD444" s="1790">
        <f t="shared" si="194"/>
        <v>0</v>
      </c>
      <c r="AE444" s="1790">
        <f t="shared" si="194"/>
        <v>0</v>
      </c>
      <c r="AF444" s="1790">
        <f t="shared" si="194"/>
        <v>0</v>
      </c>
      <c r="AG444" s="1794">
        <v>1277.5</v>
      </c>
      <c r="AH444" s="1794">
        <v>0</v>
      </c>
      <c r="AI444" s="1794">
        <v>0</v>
      </c>
      <c r="AJ444" s="1794">
        <v>0</v>
      </c>
      <c r="AK444" s="1794">
        <v>0</v>
      </c>
      <c r="AL444" s="1794">
        <v>0</v>
      </c>
      <c r="AM444" s="1794">
        <v>0</v>
      </c>
      <c r="AN444" s="1764"/>
      <c r="AO444" s="1764"/>
      <c r="AP444" s="1808">
        <f t="shared" si="181"/>
        <v>0.96621802901286191</v>
      </c>
      <c r="AQ444" s="1810">
        <f>IF(AP444&gt;[11]核心假设及结论!$B$59,[11]核心假设及结论!$D$59,IF(AP444&lt;=[11]核心假设及结论!$B$58,[11]核心假设及结论!$D$57,[11]核心假设及结论!$D$58))</f>
        <v>1.0342640124442799</v>
      </c>
      <c r="AR444" s="1809">
        <f t="shared" si="182"/>
        <v>1277.5</v>
      </c>
      <c r="AS444" s="1811">
        <f>AH444*(AS$2&lt;=YEAR($K444))+AR444*$AQ444*(AS$2=YEAR($K444)+1)+INDEX([11]核心假设及结论!$E$17:$E$21,MATCH($D444,[11]核心假设及结论!$B$17:$B$21,0))*(AS$2&gt;YEAR($K444)+1)*AR444</f>
        <v>1321.2722758975676</v>
      </c>
      <c r="AT444" s="1809">
        <f>AI444*(AT$2&lt;=YEAR($K444))+AS444*$AQ444*(AT$2=YEAR($K444)+1)+INDEX([11]核心假设及结论!$E$17:$E$21,MATCH($D444,[11]核心假设及结论!$B$17:$B$21,0))*(AT$2&gt;YEAR($K444)+1)*AS444</f>
        <v>1357.0450502494587</v>
      </c>
      <c r="AU444" s="1809">
        <f>AJ444*(AU$2&lt;=YEAR($K444))+AT444*$AQ444*(AU$2=YEAR($K444)+1)+INDEX([11]核心假设及结论!$E$17:$E$21,MATCH($D444,[11]核心假设及结论!$B$17:$B$21,0))*(AU$2&gt;YEAR($K444)+1)*AT444</f>
        <v>1393.7863542588436</v>
      </c>
      <c r="AV444" s="1809">
        <f>AK444*(AV$2&lt;=YEAR($K444))+AU444*$AQ444*(AV$2=YEAR($K444)+1)+INDEX([11]核心假设及结论!$E$17:$E$21,MATCH($D444,[11]核心假设及结论!$B$17:$B$21,0))*(AV$2&gt;YEAR($K444)+1)*AU444</f>
        <v>1431.5224103732246</v>
      </c>
      <c r="AW444" s="1809">
        <f>AL444*(AW$2&lt;=YEAR($K444))+AV444*$AQ444*(AW$2=YEAR($K444)+1)+INDEX([11]核心假设及结论!$E$17:$E$21,MATCH($D444,[11]核心假设及结论!$B$17:$B$21,0))*(AW$2&gt;YEAR($K444)+1)*AV444</f>
        <v>1470.2801509995227</v>
      </c>
      <c r="AX444" s="1809">
        <f>AM444*(AX$2&lt;=YEAR($K444))+AW444*$AQ444*(AX$2=YEAR($K444)+1)+INDEX([11]核心假设及结论!$E$17:$E$21,MATCH($D444,[11]核心假设及结论!$B$17:$B$21,0))*(AX$2&gt;YEAR($K444)+1)*AW444</f>
        <v>1510.0872377258681</v>
      </c>
      <c r="AZ444" s="1746">
        <f t="shared" si="172"/>
        <v>45838</v>
      </c>
      <c r="BA444" s="1817">
        <f t="shared" si="173"/>
        <v>45658</v>
      </c>
      <c r="BB444" s="1817">
        <f t="shared" si="174"/>
        <v>45838</v>
      </c>
      <c r="BC444" s="1841">
        <f t="shared" si="175"/>
        <v>46022</v>
      </c>
      <c r="BD444" s="1842">
        <f t="shared" si="176"/>
        <v>181</v>
      </c>
      <c r="BE444" s="1842">
        <f t="shared" si="177"/>
        <v>184</v>
      </c>
      <c r="BG444" s="1843">
        <f t="shared" si="192"/>
        <v>49.90333532214207</v>
      </c>
      <c r="BH444" s="1843">
        <f t="shared" si="188"/>
        <v>51.429337899838437</v>
      </c>
      <c r="BI444" s="1843">
        <f t="shared" si="188"/>
        <v>52.821761046315402</v>
      </c>
      <c r="BJ444" s="1843">
        <f t="shared" si="188"/>
        <v>54.251883340749927</v>
      </c>
      <c r="BK444" s="1843">
        <f t="shared" si="187"/>
        <v>55.720725468384344</v>
      </c>
      <c r="BL444" s="1843">
        <f t="shared" si="187"/>
        <v>57.229335748994465</v>
      </c>
      <c r="BM444" s="1843">
        <f t="shared" si="187"/>
        <v>28.755370786547601</v>
      </c>
      <c r="BO444" s="1739">
        <f t="shared" si="178"/>
        <v>2025</v>
      </c>
      <c r="BP444" s="1742">
        <f>_xlfn.IFNA(INDEX($AR444:$AX444,MATCH(BO444,$AR$2:$AX$2,0))*12/365*[11]核心假设及结论!$C$70*$H444,0)</f>
        <v>40320</v>
      </c>
      <c r="BR444" s="1739">
        <f t="shared" si="183"/>
        <v>2027</v>
      </c>
      <c r="BS444" s="1742">
        <f>_xlfn.IFNA(INDEX($AR444:$AX444,MATCH(BR444,$AR$2:$AX$2,0))*12/365*[11]核心假设及结论!$C$70*$H444,0)</f>
        <v>42830.57254485962</v>
      </c>
      <c r="BU444" s="1739">
        <f t="shared" si="184"/>
        <v>2029</v>
      </c>
      <c r="BV444" s="1742">
        <f>_xlfn.IFNA(INDEX($AR444:$AX444,MATCH(BU444,$AR$2:$AX$2,0))*12/365*[11]核心假设及结论!$C$70*$H444,0)</f>
        <v>45181.200458902873</v>
      </c>
      <c r="BX444" s="1739">
        <f t="shared" si="185"/>
        <v>2031</v>
      </c>
      <c r="BY444" s="1742">
        <f>_xlfn.IFNA(INDEX($AR444:$AX444,MATCH(BX444,$AR$2:$AX$2,0))*12/365*[11]核心假设及结论!$C$70*$H444,0)</f>
        <v>47660.835557813698</v>
      </c>
      <c r="CA444" s="1739">
        <f t="shared" si="186"/>
        <v>2033</v>
      </c>
      <c r="CB444" s="1742">
        <f>_xlfn.IFNA(INDEX($AR444:$AX444,MATCH(CA444,$AR$2:$AX$2,0))*12/365*[11]核心假设及结论!$C$70*$H444,0)</f>
        <v>0</v>
      </c>
    </row>
    <row r="445" spans="1:80" ht="30" customHeight="1">
      <c r="A445" s="1763" t="s">
        <v>1687</v>
      </c>
      <c r="B445" s="1757" t="s">
        <v>2587</v>
      </c>
      <c r="C445" s="1764" t="s">
        <v>2588</v>
      </c>
      <c r="D445" s="1764" t="s">
        <v>1685</v>
      </c>
      <c r="E445" s="1764" t="s">
        <v>1726</v>
      </c>
      <c r="F445" s="1765"/>
      <c r="G445" s="1760" t="s">
        <v>1661</v>
      </c>
      <c r="H445" s="1761">
        <v>32</v>
      </c>
      <c r="I445" s="1763" t="s">
        <v>2534</v>
      </c>
      <c r="J445" s="1773">
        <v>44873</v>
      </c>
      <c r="K445" s="1773">
        <v>46333</v>
      </c>
      <c r="L445" s="1764">
        <f t="shared" si="168"/>
        <v>48</v>
      </c>
      <c r="M445" s="1774">
        <f t="shared" si="179"/>
        <v>39650.879999999997</v>
      </c>
      <c r="N445" s="1775">
        <f t="shared" si="180"/>
        <v>1125.47</v>
      </c>
      <c r="O445" s="1777">
        <v>36015.040000000001</v>
      </c>
      <c r="P445" s="1763">
        <v>0.1</v>
      </c>
      <c r="Q445" s="1783">
        <f t="shared" si="169"/>
        <v>95</v>
      </c>
      <c r="R445" s="1763">
        <v>3040</v>
      </c>
      <c r="S445" s="1777">
        <f t="shared" si="170"/>
        <v>18.62</v>
      </c>
      <c r="T445" s="1763">
        <v>595.84</v>
      </c>
      <c r="U445" s="1763"/>
      <c r="V445" s="1785">
        <v>410305.305833333</v>
      </c>
      <c r="W445" s="1785">
        <f t="shared" si="171"/>
        <v>12822.040807291656</v>
      </c>
      <c r="X445" s="1786">
        <f>(N445+Q445+S445)*H445/V445</f>
        <v>9.6637502455564836E-2</v>
      </c>
      <c r="Y445" s="1789">
        <f>VLOOKUP(E445,[11]核心假设及结论!$C$25:$E$45,3,0)</f>
        <v>0.1</v>
      </c>
      <c r="Z445" s="1790">
        <f t="shared" si="195"/>
        <v>40880</v>
      </c>
      <c r="AA445" s="1790">
        <f t="shared" si="195"/>
        <v>41853.440000000002</v>
      </c>
      <c r="AB445" s="1790">
        <f t="shared" si="195"/>
        <v>0</v>
      </c>
      <c r="AC445" s="1790">
        <f t="shared" si="194"/>
        <v>0</v>
      </c>
      <c r="AD445" s="1790">
        <f t="shared" si="194"/>
        <v>0</v>
      </c>
      <c r="AE445" s="1790">
        <f t="shared" si="194"/>
        <v>0</v>
      </c>
      <c r="AF445" s="1790">
        <f t="shared" si="194"/>
        <v>0</v>
      </c>
      <c r="AG445" s="1794">
        <v>1277.5</v>
      </c>
      <c r="AH445" s="1794">
        <v>1307.92</v>
      </c>
      <c r="AI445" s="1794">
        <v>0</v>
      </c>
      <c r="AJ445" s="1794">
        <v>0</v>
      </c>
      <c r="AK445" s="1794">
        <v>0</v>
      </c>
      <c r="AL445" s="1794">
        <v>0</v>
      </c>
      <c r="AM445" s="1794">
        <v>0</v>
      </c>
      <c r="AN445" s="1764"/>
      <c r="AO445" s="1764"/>
      <c r="AP445" s="1808">
        <f t="shared" si="181"/>
        <v>0.96637502455564828</v>
      </c>
      <c r="AQ445" s="1810">
        <f>IF(AP445&gt;[11]核心假设及结论!$B$59,[11]核心假设及结论!$D$59,IF(AP445&lt;=[11]核心假设及结论!$B$58,[11]核心假设及结论!$D$57,[11]核心假设及结论!$D$58))</f>
        <v>1.0342640124442799</v>
      </c>
      <c r="AR445" s="1809">
        <f t="shared" si="182"/>
        <v>1277.5</v>
      </c>
      <c r="AS445" s="1809">
        <f>AH445*(AS$2&lt;=YEAR($K445))+AR445*$AQ445*(AS$2=YEAR($K445)+1)+INDEX([11]核心假设及结论!$E$17:$E$21,MATCH($D445,[11]核心假设及结论!$B$17:$B$21,0))*(AS$2&gt;YEAR($K445)+1)*AR445</f>
        <v>1307.92</v>
      </c>
      <c r="AT445" s="1811">
        <f>AI445*(AT$2&lt;=YEAR($K445))+AS445*$AQ445*(AT$2=YEAR($K445)+1)+INDEX([11]核心假设及结论!$E$17:$E$21,MATCH($D445,[11]核心假设及结论!$B$17:$B$21,0))*(AT$2&gt;YEAR($K445)+1)*AS445</f>
        <v>1352.7345871561226</v>
      </c>
      <c r="AU445" s="1809">
        <f>AJ445*(AU$2&lt;=YEAR($K445))+AT445*$AQ445*(AU$2=YEAR($K445)+1)+INDEX([11]核心假设及结论!$E$17:$E$21,MATCH($D445,[11]核心假设及结论!$B$17:$B$21,0))*(AU$2&gt;YEAR($K445)+1)*AT445</f>
        <v>1389.35918757125</v>
      </c>
      <c r="AV445" s="1809">
        <f>AK445*(AV$2&lt;=YEAR($K445))+AU445*$AQ445*(AV$2=YEAR($K445)+1)+INDEX([11]核心假设及结论!$E$17:$E$21,MATCH($D445,[11]核心假设及结论!$B$17:$B$21,0))*(AV$2&gt;YEAR($K445)+1)*AU445</f>
        <v>1426.9753804009601</v>
      </c>
      <c r="AW445" s="1809">
        <f>AL445*(AW$2&lt;=YEAR($K445))+AV445*$AQ445*(AW$2=YEAR($K445)+1)+INDEX([11]核心假设及结论!$E$17:$E$21,MATCH($D445,[11]核心假设及结论!$B$17:$B$21,0))*(AW$2&gt;YEAR($K445)+1)*AV445</f>
        <v>1465.6100125051646</v>
      </c>
      <c r="AX445" s="1809">
        <f>AM445*(AX$2&lt;=YEAR($K445))+AW445*$AQ445*(AX$2=YEAR($K445)+1)+INDEX([11]核心假设及结论!$E$17:$E$21,MATCH($D445,[11]核心假设及结论!$B$17:$B$21,0))*(AX$2&gt;YEAR($K445)+1)*AW445</f>
        <v>1505.2906576088419</v>
      </c>
      <c r="AZ445" s="1746">
        <f t="shared" si="172"/>
        <v>46333</v>
      </c>
      <c r="BA445" s="1817">
        <f t="shared" si="173"/>
        <v>45658</v>
      </c>
      <c r="BB445" s="1817">
        <f t="shared" si="174"/>
        <v>45968</v>
      </c>
      <c r="BC445" s="1841">
        <f t="shared" si="175"/>
        <v>46022</v>
      </c>
      <c r="BD445" s="1842">
        <f t="shared" si="176"/>
        <v>311</v>
      </c>
      <c r="BE445" s="1842">
        <f t="shared" si="177"/>
        <v>54</v>
      </c>
      <c r="BG445" s="1843">
        <f t="shared" si="192"/>
        <v>49.228818936986301</v>
      </c>
      <c r="BH445" s="1843">
        <f t="shared" si="188"/>
        <v>50.478723966923113</v>
      </c>
      <c r="BI445" s="1843">
        <f t="shared" si="188"/>
        <v>52.15307601370143</v>
      </c>
      <c r="BJ445" s="1843">
        <f t="shared" si="188"/>
        <v>53.565094001233774</v>
      </c>
      <c r="BK445" s="1843">
        <f t="shared" si="187"/>
        <v>55.015341657071609</v>
      </c>
      <c r="BL445" s="1843">
        <f t="shared" si="187"/>
        <v>56.504854030025683</v>
      </c>
      <c r="BM445" s="1843">
        <f t="shared" si="187"/>
        <v>49.251460683363923</v>
      </c>
      <c r="BO445" s="1739">
        <f t="shared" si="178"/>
        <v>2026</v>
      </c>
      <c r="BP445" s="1742">
        <f>_xlfn.IFNA(INDEX($AR445:$AX445,MATCH(BO445,$AR$2:$AX$2,0))*12/365*[11]核心假设及结论!$C$70*$H445,0)</f>
        <v>41280.105205479449</v>
      </c>
      <c r="BR445" s="1739">
        <f t="shared" si="183"/>
        <v>2030</v>
      </c>
      <c r="BS445" s="1742">
        <f>_xlfn.IFNA(INDEX($AR445:$AX445,MATCH(BR445,$AR$2:$AX$2,0))*12/365*[11]核心假设及结论!$C$70*$H445,0)</f>
        <v>46257.061216601367</v>
      </c>
      <c r="BU445" s="1739">
        <f t="shared" si="184"/>
        <v>2034</v>
      </c>
      <c r="BV445" s="1742">
        <f>_xlfn.IFNA(INDEX($AR445:$AX445,MATCH(BU445,$AR$2:$AX$2,0))*12/365*[11]核心假设及结论!$C$70*$H445,0)</f>
        <v>0</v>
      </c>
      <c r="BX445" s="1739">
        <f t="shared" si="185"/>
        <v>2038</v>
      </c>
      <c r="BY445" s="1742">
        <f>_xlfn.IFNA(INDEX($AR445:$AX445,MATCH(BX445,$AR$2:$AX$2,0))*12/365*[11]核心假设及结论!$C$70*$H445,0)</f>
        <v>0</v>
      </c>
      <c r="CA445" s="1739">
        <f t="shared" si="186"/>
        <v>2042</v>
      </c>
      <c r="CB445" s="1742">
        <f>_xlfn.IFNA(INDEX($AR445:$AX445,MATCH(CA445,$AR$2:$AX$2,0))*12/365*[11]核心假设及结论!$C$70*$H445,0)</f>
        <v>0</v>
      </c>
    </row>
    <row r="446" spans="1:80" ht="30" customHeight="1">
      <c r="A446" s="1763" t="s">
        <v>1666</v>
      </c>
      <c r="B446" s="1757" t="s">
        <v>2589</v>
      </c>
      <c r="C446" s="1764" t="s">
        <v>2590</v>
      </c>
      <c r="D446" s="1764" t="s">
        <v>1698</v>
      </c>
      <c r="E446" s="1764" t="s">
        <v>1698</v>
      </c>
      <c r="F446" s="1765"/>
      <c r="G446" s="1760" t="s">
        <v>1661</v>
      </c>
      <c r="H446" s="1761">
        <v>31</v>
      </c>
      <c r="I446" s="1763" t="s">
        <v>2534</v>
      </c>
      <c r="J446" s="1773">
        <v>45383</v>
      </c>
      <c r="K446" s="1773">
        <v>46477</v>
      </c>
      <c r="L446" s="1764">
        <f t="shared" si="168"/>
        <v>36</v>
      </c>
      <c r="M446" s="1774">
        <f t="shared" si="179"/>
        <v>44991.23</v>
      </c>
      <c r="N446" s="1775">
        <f t="shared" si="180"/>
        <v>1338.3300000000002</v>
      </c>
      <c r="O446" s="1777">
        <v>41488.230000000003</v>
      </c>
      <c r="P446" s="1763">
        <v>0.15</v>
      </c>
      <c r="Q446" s="1783">
        <f t="shared" si="169"/>
        <v>95</v>
      </c>
      <c r="R446" s="1763">
        <v>2945</v>
      </c>
      <c r="S446" s="1777">
        <f t="shared" si="170"/>
        <v>18</v>
      </c>
      <c r="T446" s="1763">
        <v>558</v>
      </c>
      <c r="U446" s="1763"/>
      <c r="V446" s="1785">
        <v>239454.73499999999</v>
      </c>
      <c r="W446" s="1785">
        <f t="shared" si="171"/>
        <v>7724.34629032258</v>
      </c>
      <c r="X446" s="1786">
        <f t="shared" ref="X446:X457" si="196">(N446+Q446)*H446/V446</f>
        <v>0.18556003914476782</v>
      </c>
      <c r="Y446" s="1789">
        <f>VLOOKUP(E446,[11]核心假设及结论!$C$25:$E$45,3,0)</f>
        <v>0.2</v>
      </c>
      <c r="Z446" s="1790">
        <f t="shared" si="195"/>
        <v>41488.229999999996</v>
      </c>
      <c r="AA446" s="1790">
        <f t="shared" si="195"/>
        <v>43374.270000000004</v>
      </c>
      <c r="AB446" s="1790">
        <f t="shared" si="195"/>
        <v>45260</v>
      </c>
      <c r="AC446" s="1790">
        <f t="shared" si="194"/>
        <v>0</v>
      </c>
      <c r="AD446" s="1790">
        <f t="shared" si="194"/>
        <v>0</v>
      </c>
      <c r="AE446" s="1790">
        <f t="shared" si="194"/>
        <v>0</v>
      </c>
      <c r="AF446" s="1790">
        <f t="shared" si="194"/>
        <v>0</v>
      </c>
      <c r="AG446" s="1794">
        <v>1338.33</v>
      </c>
      <c r="AH446" s="1794">
        <v>1399.17</v>
      </c>
      <c r="AI446" s="1794">
        <v>1460</v>
      </c>
      <c r="AJ446" s="1794">
        <v>0</v>
      </c>
      <c r="AK446" s="1794">
        <v>0</v>
      </c>
      <c r="AL446" s="1794">
        <v>0</v>
      </c>
      <c r="AM446" s="1794">
        <v>0</v>
      </c>
      <c r="AN446" s="1764"/>
      <c r="AO446" s="1764"/>
      <c r="AP446" s="1808">
        <f t="shared" si="181"/>
        <v>0.92780019572383909</v>
      </c>
      <c r="AQ446" s="1812">
        <f>IF(AP446&gt;[11]核心假设及结论!$B$62,[11]核心假设及结论!$D$62,IF(AP446&lt;=[11]核心假设及结论!$B$61,[11]核心假设及结论!$D$60,[11]核心假设及结论!$D$61))</f>
        <v>1.0811176582269599</v>
      </c>
      <c r="AR446" s="1809">
        <f t="shared" si="182"/>
        <v>1338.33</v>
      </c>
      <c r="AS446" s="1809">
        <f>AH446*(AS$2&lt;=YEAR($K446))+AR446*$AQ446*(AS$2=YEAR($K446)+1)+INDEX([11]核心假设及结论!$E$17:$E$21,MATCH($D446,[11]核心假设及结论!$B$17:$B$21,0))*(AS$2&gt;YEAR($K446)+1)*AR446</f>
        <v>1399.17</v>
      </c>
      <c r="AT446" s="1809">
        <f>AI446*(AT$2&lt;=YEAR($K446))+AS446*$AQ446*(AT$2=YEAR($K446)+1)+INDEX([11]核心假设及结论!$E$17:$E$21,MATCH($D446,[11]核心假设及结论!$B$17:$B$21,0))*(AT$2&gt;YEAR($K446)+1)*AS446</f>
        <v>1460</v>
      </c>
      <c r="AU446" s="1811">
        <f>AJ446*(AU$2&lt;=YEAR($K446))+AT446*$AQ446*(AU$2=YEAR($K446)+1)+INDEX([11]核心假设及结论!$E$17:$E$21,MATCH($D446,[11]核心假设及结论!$B$17:$B$21,0))*(AU$2&gt;YEAR($K446)+1)*AT446</f>
        <v>1578.4317810113614</v>
      </c>
      <c r="AV446" s="1809">
        <f>AK446*(AV$2&lt;=YEAR($K446))+AU446*$AQ446*(AV$2=YEAR($K446)+1)+INDEX([11]核心假设及结论!$E$17:$E$21,MATCH($D446,[11]核心假设及结论!$B$17:$B$21,0))*(AV$2&gt;YEAR($K446)+1)*AU446</f>
        <v>1626.759266690196</v>
      </c>
      <c r="AW446" s="1809">
        <f>AL446*(AW$2&lt;=YEAR($K446))+AV446*$AQ446*(AW$2=YEAR($K446)+1)+INDEX([11]核心假设及结论!$E$17:$E$21,MATCH($D446,[11]核心假设及结论!$B$17:$B$21,0))*(AW$2&gt;YEAR($K446)+1)*AV446</f>
        <v>1676.5664145882881</v>
      </c>
      <c r="AX446" s="1809">
        <f>AM446*(AX$2&lt;=YEAR($K446))+AW446*$AQ446*(AX$2=YEAR($K446)+1)+INDEX([11]核心假设及结论!$E$17:$E$21,MATCH($D446,[11]核心假设及结论!$B$17:$B$21,0))*(AX$2&gt;YEAR($K446)+1)*AW446</f>
        <v>1727.8985281236069</v>
      </c>
      <c r="AZ446" s="1746">
        <f t="shared" si="172"/>
        <v>46477</v>
      </c>
      <c r="BA446" s="1817">
        <f t="shared" si="173"/>
        <v>45658</v>
      </c>
      <c r="BB446" s="1817">
        <f t="shared" si="174"/>
        <v>45747</v>
      </c>
      <c r="BC446" s="1841">
        <f t="shared" si="175"/>
        <v>46022</v>
      </c>
      <c r="BD446" s="1842">
        <f t="shared" si="176"/>
        <v>90</v>
      </c>
      <c r="BE446" s="1842">
        <f t="shared" si="177"/>
        <v>275</v>
      </c>
      <c r="BG446" s="1843">
        <f t="shared" si="192"/>
        <v>51.491062849315071</v>
      </c>
      <c r="BH446" s="1843">
        <f t="shared" si="188"/>
        <v>53.754030575342462</v>
      </c>
      <c r="BI446" s="1843">
        <f t="shared" si="188"/>
        <v>57.631334574647198</v>
      </c>
      <c r="BJ446" s="1843">
        <f t="shared" si="188"/>
        <v>60.072155893333537</v>
      </c>
      <c r="BK446" s="1843">
        <f t="shared" si="187"/>
        <v>61.911409441416339</v>
      </c>
      <c r="BL446" s="1843">
        <f t="shared" si="187"/>
        <v>63.806976160948189</v>
      </c>
      <c r="BM446" s="1843">
        <f t="shared" si="187"/>
        <v>15.849326773035168</v>
      </c>
      <c r="BO446" s="1739">
        <f t="shared" si="178"/>
        <v>2027</v>
      </c>
      <c r="BP446" s="1742">
        <f>_xlfn.IFNA(INDEX($AR446:$AX446,MATCH(BO446,$AR$2:$AX$2,0))*12/365*[11]核心假设及结论!$C$70*$H446,0)</f>
        <v>44640</v>
      </c>
      <c r="BR446" s="1739">
        <f t="shared" si="183"/>
        <v>2030</v>
      </c>
      <c r="BS446" s="1742">
        <f>_xlfn.IFNA(INDEX($AR446:$AX446,MATCH(BR446,$AR$2:$AX$2,0))*12/365*[11]核心假设及结论!$C$70*$H446,0)</f>
        <v>51261.592292617242</v>
      </c>
      <c r="BU446" s="1739">
        <f t="shared" si="184"/>
        <v>2033</v>
      </c>
      <c r="BV446" s="1742">
        <f>_xlfn.IFNA(INDEX($AR446:$AX446,MATCH(BU446,$AR$2:$AX$2,0))*12/365*[11]核心假设及结论!$C$70*$H446,0)</f>
        <v>0</v>
      </c>
      <c r="BX446" s="1739">
        <f t="shared" si="185"/>
        <v>2036</v>
      </c>
      <c r="BY446" s="1742">
        <f>_xlfn.IFNA(INDEX($AR446:$AX446,MATCH(BX446,$AR$2:$AX$2,0))*12/365*[11]核心假设及结论!$C$70*$H446,0)</f>
        <v>0</v>
      </c>
      <c r="CA446" s="1739">
        <f t="shared" si="186"/>
        <v>2039</v>
      </c>
      <c r="CB446" s="1742">
        <f>_xlfn.IFNA(INDEX($AR446:$AX446,MATCH(CA446,$AR$2:$AX$2,0))*12/365*[11]核心假设及结论!$C$70*$H446,0)</f>
        <v>0</v>
      </c>
    </row>
    <row r="447" spans="1:80" ht="30" customHeight="1">
      <c r="A447" s="1763" t="s">
        <v>1666</v>
      </c>
      <c r="B447" s="1757" t="s">
        <v>2591</v>
      </c>
      <c r="C447" s="1764" t="s">
        <v>2592</v>
      </c>
      <c r="D447" s="1764" t="s">
        <v>1698</v>
      </c>
      <c r="E447" s="1764" t="s">
        <v>1698</v>
      </c>
      <c r="F447" s="1765"/>
      <c r="G447" s="1760" t="s">
        <v>1661</v>
      </c>
      <c r="H447" s="1761">
        <v>31</v>
      </c>
      <c r="I447" s="1763" t="s">
        <v>2534</v>
      </c>
      <c r="J447" s="1773">
        <v>45269</v>
      </c>
      <c r="K447" s="1773">
        <v>46364</v>
      </c>
      <c r="L447" s="1764">
        <f t="shared" si="168"/>
        <v>36</v>
      </c>
      <c r="M447" s="1774">
        <f t="shared" si="179"/>
        <v>42950.5</v>
      </c>
      <c r="N447" s="1775">
        <f t="shared" si="180"/>
        <v>1277.5</v>
      </c>
      <c r="O447" s="1777">
        <v>39602.5</v>
      </c>
      <c r="P447" s="1763">
        <v>0.16</v>
      </c>
      <c r="Q447" s="1783">
        <f t="shared" si="169"/>
        <v>90</v>
      </c>
      <c r="R447" s="1763">
        <v>2790</v>
      </c>
      <c r="S447" s="1777">
        <f t="shared" si="170"/>
        <v>18</v>
      </c>
      <c r="T447" s="1763">
        <v>558</v>
      </c>
      <c r="U447" s="1763"/>
      <c r="V447" s="1785">
        <v>224054.86874999999</v>
      </c>
      <c r="W447" s="1785">
        <f t="shared" si="171"/>
        <v>7227.5764112903225</v>
      </c>
      <c r="X447" s="1786">
        <f t="shared" si="196"/>
        <v>0.18920588620326512</v>
      </c>
      <c r="Y447" s="1789">
        <f>VLOOKUP(E447,[11]核心假设及结论!$C$25:$E$45,3,0)</f>
        <v>0.2</v>
      </c>
      <c r="Z447" s="1790">
        <f t="shared" si="195"/>
        <v>40545.520000000004</v>
      </c>
      <c r="AA447" s="1790">
        <f t="shared" si="195"/>
        <v>41488.229999999996</v>
      </c>
      <c r="AB447" s="1790">
        <f t="shared" si="195"/>
        <v>0</v>
      </c>
      <c r="AC447" s="1790">
        <f t="shared" si="194"/>
        <v>0</v>
      </c>
      <c r="AD447" s="1790">
        <f t="shared" si="194"/>
        <v>0</v>
      </c>
      <c r="AE447" s="1790">
        <f t="shared" si="194"/>
        <v>0</v>
      </c>
      <c r="AF447" s="1790">
        <f t="shared" si="194"/>
        <v>0</v>
      </c>
      <c r="AG447" s="1794">
        <v>1307.92</v>
      </c>
      <c r="AH447" s="1794">
        <v>1338.33</v>
      </c>
      <c r="AI447" s="1794">
        <v>0</v>
      </c>
      <c r="AJ447" s="1794">
        <v>0</v>
      </c>
      <c r="AK447" s="1794">
        <v>0</v>
      </c>
      <c r="AL447" s="1794">
        <v>0</v>
      </c>
      <c r="AM447" s="1794">
        <v>0</v>
      </c>
      <c r="AN447" s="1764"/>
      <c r="AO447" s="1764"/>
      <c r="AP447" s="1808">
        <f t="shared" si="181"/>
        <v>0.94602943101632553</v>
      </c>
      <c r="AQ447" s="1812">
        <f>IF(AP447&gt;[11]核心假设及结论!$B$62,[11]核心假设及结论!$D$62,IF(AP447&lt;=[11]核心假设及结论!$B$61,[11]核心假设及结论!$D$60,[11]核心假设及结论!$D$61))</f>
        <v>1.0811176582269599</v>
      </c>
      <c r="AR447" s="1809">
        <f t="shared" si="182"/>
        <v>1307.92</v>
      </c>
      <c r="AS447" s="1809">
        <f>AH447*(AS$2&lt;=YEAR($K447))+AR447*$AQ447*(AS$2=YEAR($K447)+1)+INDEX([11]核心假设及结论!$E$17:$E$21,MATCH($D447,[11]核心假设及结论!$B$17:$B$21,0))*(AS$2&gt;YEAR($K447)+1)*AR447</f>
        <v>1338.33</v>
      </c>
      <c r="AT447" s="1811">
        <f>AI447*(AT$2&lt;=YEAR($K447))+AS447*$AQ447*(AT$2=YEAR($K447)+1)+INDEX([11]核心假设及结论!$E$17:$E$21,MATCH($D447,[11]核心假设及结论!$B$17:$B$21,0))*(AT$2&gt;YEAR($K447)+1)*AS447</f>
        <v>1446.8921955348872</v>
      </c>
      <c r="AU447" s="1809">
        <f>AJ447*(AU$2&lt;=YEAR($K447))+AT447*$AQ447*(AU$2=YEAR($K447)+1)+INDEX([11]核心假设及结论!$E$17:$E$21,MATCH($D447,[11]核心假设及结论!$B$17:$B$21,0))*(AU$2&gt;YEAR($K447)+1)*AT447</f>
        <v>1491.1922804037604</v>
      </c>
      <c r="AV447" s="1809">
        <f>AK447*(AV$2&lt;=YEAR($K447))+AU447*$AQ447*(AV$2=YEAR($K447)+1)+INDEX([11]核心假设及结论!$E$17:$E$21,MATCH($D447,[11]核心假设及结论!$B$17:$B$21,0))*(AV$2&gt;YEAR($K447)+1)*AU447</f>
        <v>1536.8487189287287</v>
      </c>
      <c r="AW447" s="1809">
        <f>AL447*(AW$2&lt;=YEAR($K447))+AV447*$AQ447*(AW$2=YEAR($K447)+1)+INDEX([11]核心假设及结论!$E$17:$E$21,MATCH($D447,[11]核心假设及结论!$B$17:$B$21,0))*(AW$2&gt;YEAR($K447)+1)*AV447</f>
        <v>1583.9030391394979</v>
      </c>
      <c r="AX447" s="1809">
        <f>AM447*(AX$2&lt;=YEAR($K447))+AW447*$AQ447*(AX$2=YEAR($K447)+1)+INDEX([11]核心假设及结论!$E$17:$E$21,MATCH($D447,[11]核心假设及结论!$B$17:$B$21,0))*(AX$2&gt;YEAR($K447)+1)*AW447</f>
        <v>1632.3980405462935</v>
      </c>
      <c r="AZ447" s="1746">
        <f t="shared" si="172"/>
        <v>46364</v>
      </c>
      <c r="BA447" s="1817">
        <f t="shared" si="173"/>
        <v>45658</v>
      </c>
      <c r="BB447" s="1817">
        <f t="shared" si="174"/>
        <v>45999</v>
      </c>
      <c r="BC447" s="1841">
        <f t="shared" si="175"/>
        <v>46022</v>
      </c>
      <c r="BD447" s="1842">
        <f t="shared" si="176"/>
        <v>342</v>
      </c>
      <c r="BE447" s="1842">
        <f t="shared" si="177"/>
        <v>23</v>
      </c>
      <c r="BG447" s="1843">
        <f t="shared" si="192"/>
        <v>48.725908372602731</v>
      </c>
      <c r="BH447" s="1843">
        <f t="shared" si="188"/>
        <v>50.040357683560686</v>
      </c>
      <c r="BI447" s="1843">
        <f t="shared" si="188"/>
        <v>53.928233927634267</v>
      </c>
      <c r="BJ447" s="1843">
        <f t="shared" si="188"/>
        <v>55.579376526367732</v>
      </c>
      <c r="BK447" s="1843">
        <f t="shared" si="187"/>
        <v>57.281072827360582</v>
      </c>
      <c r="BL447" s="1843">
        <f t="shared" si="187"/>
        <v>59.034870653807559</v>
      </c>
      <c r="BM447" s="1843">
        <f t="shared" si="187"/>
        <v>56.898687208345663</v>
      </c>
      <c r="BO447" s="1739">
        <f t="shared" si="178"/>
        <v>2026</v>
      </c>
      <c r="BP447" s="1742">
        <f>_xlfn.IFNA(INDEX($AR447:$AX447,MATCH(BO447,$AR$2:$AX$2,0))*12/365*[11]核心假设及结论!$C$70*$H447,0)</f>
        <v>40919.898082191787</v>
      </c>
      <c r="BR447" s="1739">
        <f t="shared" si="183"/>
        <v>2029</v>
      </c>
      <c r="BS447" s="1742">
        <f>_xlfn.IFNA(INDEX($AR447:$AX447,MATCH(BR447,$AR$2:$AX$2,0))*12/365*[11]核心假设及结论!$C$70*$H447,0)</f>
        <v>46989.675899300302</v>
      </c>
      <c r="BU447" s="1739">
        <f t="shared" si="184"/>
        <v>2032</v>
      </c>
      <c r="BV447" s="1742">
        <f>_xlfn.IFNA(INDEX($AR447:$AX447,MATCH(BU447,$AR$2:$AX$2,0))*12/365*[11]核心假设及结论!$C$70*$H447,0)</f>
        <v>0</v>
      </c>
      <c r="BX447" s="1739">
        <f t="shared" si="185"/>
        <v>2035</v>
      </c>
      <c r="BY447" s="1742">
        <f>_xlfn.IFNA(INDEX($AR447:$AX447,MATCH(BX447,$AR$2:$AX$2,0))*12/365*[11]核心假设及结论!$C$70*$H447,0)</f>
        <v>0</v>
      </c>
      <c r="CA447" s="1739">
        <f t="shared" si="186"/>
        <v>2038</v>
      </c>
      <c r="CB447" s="1742">
        <f>_xlfn.IFNA(INDEX($AR447:$AX447,MATCH(CA447,$AR$2:$AX$2,0))*12/365*[11]核心假设及结论!$C$70*$H447,0)</f>
        <v>0</v>
      </c>
    </row>
    <row r="448" spans="1:80" ht="30" customHeight="1">
      <c r="A448" s="1763" t="s">
        <v>1666</v>
      </c>
      <c r="B448" s="1757" t="s">
        <v>2593</v>
      </c>
      <c r="C448" s="1764" t="s">
        <v>2594</v>
      </c>
      <c r="D448" s="1764" t="s">
        <v>1698</v>
      </c>
      <c r="E448" s="1764" t="s">
        <v>1698</v>
      </c>
      <c r="F448" s="1765"/>
      <c r="G448" s="1760" t="s">
        <v>1661</v>
      </c>
      <c r="H448" s="1761">
        <v>31</v>
      </c>
      <c r="I448" s="1763" t="s">
        <v>2534</v>
      </c>
      <c r="J448" s="1773">
        <v>45536</v>
      </c>
      <c r="K448" s="1773">
        <v>46095</v>
      </c>
      <c r="L448" s="1764">
        <f t="shared" si="168"/>
        <v>19</v>
      </c>
      <c r="M448" s="1774">
        <f t="shared" si="179"/>
        <v>41219.769999999997</v>
      </c>
      <c r="N448" s="1775">
        <f t="shared" si="180"/>
        <v>1216.6699999999998</v>
      </c>
      <c r="O448" s="1777">
        <v>37716.769999999997</v>
      </c>
      <c r="P448" s="1763">
        <v>0.12</v>
      </c>
      <c r="Q448" s="1783">
        <f t="shared" si="169"/>
        <v>95</v>
      </c>
      <c r="R448" s="1763">
        <v>2945</v>
      </c>
      <c r="S448" s="1777">
        <f t="shared" si="170"/>
        <v>18</v>
      </c>
      <c r="T448" s="1763">
        <v>558</v>
      </c>
      <c r="U448" s="1763"/>
      <c r="V448" s="1785">
        <v>328529.826</v>
      </c>
      <c r="W448" s="1785">
        <f t="shared" si="171"/>
        <v>10597.736322580646</v>
      </c>
      <c r="X448" s="1786">
        <f t="shared" si="196"/>
        <v>0.12376888422909887</v>
      </c>
      <c r="Y448" s="1789">
        <f>VLOOKUP(E448,[11]核心假设及结论!$C$25:$E$45,3,0)</f>
        <v>0.2</v>
      </c>
      <c r="Z448" s="1790">
        <f t="shared" si="195"/>
        <v>37716.770000000004</v>
      </c>
      <c r="AA448" s="1790">
        <f t="shared" si="195"/>
        <v>39602.5</v>
      </c>
      <c r="AB448" s="1790">
        <f t="shared" si="195"/>
        <v>0</v>
      </c>
      <c r="AC448" s="1790">
        <f t="shared" si="194"/>
        <v>0</v>
      </c>
      <c r="AD448" s="1790">
        <f t="shared" si="194"/>
        <v>0</v>
      </c>
      <c r="AE448" s="1790">
        <f t="shared" si="194"/>
        <v>0</v>
      </c>
      <c r="AF448" s="1790">
        <f t="shared" si="194"/>
        <v>0</v>
      </c>
      <c r="AG448" s="1794">
        <v>1216.67</v>
      </c>
      <c r="AH448" s="1794">
        <v>1277.5</v>
      </c>
      <c r="AI448" s="1794">
        <v>0</v>
      </c>
      <c r="AJ448" s="1794">
        <v>0</v>
      </c>
      <c r="AK448" s="1794">
        <v>0</v>
      </c>
      <c r="AL448" s="1794">
        <v>0</v>
      </c>
      <c r="AM448" s="1794">
        <v>0</v>
      </c>
      <c r="AN448" s="1764"/>
      <c r="AO448" s="1764"/>
      <c r="AP448" s="1808">
        <f t="shared" si="181"/>
        <v>0.61884442114549432</v>
      </c>
      <c r="AQ448" s="1812">
        <f>IF(AP448&gt;[11]核心假设及结论!$B$62,[11]核心假设及结论!$D$62,IF(AP448&lt;=[11]核心假设及结论!$B$61,[11]核心假设及结论!$D$60,[11]核心假设及结论!$D$61))</f>
        <v>1.0811176582269599</v>
      </c>
      <c r="AR448" s="1809">
        <f t="shared" si="182"/>
        <v>1216.67</v>
      </c>
      <c r="AS448" s="1809">
        <f>AH448*(AS$2&lt;=YEAR($K448))+AR448*$AQ448*(AS$2=YEAR($K448)+1)+INDEX([11]核心假设及结论!$E$17:$E$21,MATCH($D448,[11]核心假设及结论!$B$17:$B$21,0))*(AS$2&gt;YEAR($K448)+1)*AR448</f>
        <v>1277.5</v>
      </c>
      <c r="AT448" s="1811">
        <f>AI448*(AT$2&lt;=YEAR($K448))+AS448*$AQ448*(AT$2=YEAR($K448)+1)+INDEX([11]核心假设及结论!$E$17:$E$21,MATCH($D448,[11]核心假设及结论!$B$17:$B$21,0))*(AT$2&gt;YEAR($K448)+1)*AS448</f>
        <v>1381.1278083849413</v>
      </c>
      <c r="AU448" s="1809">
        <f>AJ448*(AU$2&lt;=YEAR($K448))+AT448*$AQ448*(AU$2=YEAR($K448)+1)+INDEX([11]核心假设及结论!$E$17:$E$21,MATCH($D448,[11]核心假设及结论!$B$17:$B$21,0))*(AU$2&gt;YEAR($K448)+1)*AT448</f>
        <v>1423.4143583539217</v>
      </c>
      <c r="AV448" s="1809">
        <f>AK448*(AV$2&lt;=YEAR($K448))+AU448*$AQ448*(AV$2=YEAR($K448)+1)+INDEX([11]核心假设及结论!$E$17:$E$21,MATCH($D448,[11]核心假设及结论!$B$17:$B$21,0))*(AV$2&gt;YEAR($K448)+1)*AU448</f>
        <v>1466.9956127647524</v>
      </c>
      <c r="AW448" s="1809">
        <f>AL448*(AW$2&lt;=YEAR($K448))+AV448*$AQ448*(AW$2=YEAR($K448)+1)+INDEX([11]核心假设及结论!$E$17:$E$21,MATCH($D448,[11]核心假设及结论!$B$17:$B$21,0))*(AW$2&gt;YEAR($K448)+1)*AV448</f>
        <v>1511.9112121081564</v>
      </c>
      <c r="AX448" s="1809">
        <f>AM448*(AX$2&lt;=YEAR($K448))+AW448*$AQ448*(AX$2=YEAR($K448)+1)+INDEX([11]核心假设及结论!$E$17:$E$21,MATCH($D448,[11]核心假设及结论!$B$17:$B$21,0))*(AX$2&gt;YEAR($K448)+1)*AW448</f>
        <v>1558.2020105638298</v>
      </c>
      <c r="AZ448" s="1746">
        <f t="shared" si="172"/>
        <v>46095</v>
      </c>
      <c r="BA448" s="1817">
        <f t="shared" si="173"/>
        <v>45658</v>
      </c>
      <c r="BB448" s="1817">
        <f t="shared" si="174"/>
        <v>45730</v>
      </c>
      <c r="BC448" s="1841">
        <f t="shared" si="175"/>
        <v>46022</v>
      </c>
      <c r="BD448" s="1842">
        <f t="shared" si="176"/>
        <v>73</v>
      </c>
      <c r="BE448" s="1842">
        <f t="shared" si="177"/>
        <v>292</v>
      </c>
      <c r="BG448" s="1843">
        <f t="shared" si="192"/>
        <v>47.070424800000005</v>
      </c>
      <c r="BH448" s="1843">
        <f t="shared" si="188"/>
        <v>50.606963577535851</v>
      </c>
      <c r="BI448" s="1843">
        <f t="shared" si="188"/>
        <v>52.636402198996677</v>
      </c>
      <c r="BJ448" s="1843">
        <f t="shared" si="188"/>
        <v>54.247992262032206</v>
      </c>
      <c r="BK448" s="1843">
        <f t="shared" si="187"/>
        <v>55.908925031308492</v>
      </c>
      <c r="BL448" s="1843">
        <f t="shared" si="187"/>
        <v>57.620711252464261</v>
      </c>
      <c r="BM448" s="1843">
        <f t="shared" si="187"/>
        <v>11.593022958594895</v>
      </c>
      <c r="BO448" s="1739">
        <f t="shared" si="178"/>
        <v>2026</v>
      </c>
      <c r="BP448" s="1742">
        <f>_xlfn.IFNA(INDEX($AR448:$AX448,MATCH(BO448,$AR$2:$AX$2,0))*12/365*[11]核心假设及结论!$C$70*$H448,0)</f>
        <v>39060</v>
      </c>
      <c r="BR448" s="1739">
        <f t="shared" si="183"/>
        <v>2028</v>
      </c>
      <c r="BS448" s="1742">
        <f>_xlfn.IFNA(INDEX($AR448:$AX448,MATCH(BR448,$AR$2:$AX$2,0))*12/365*[11]核心假设及结论!$C$70*$H448,0)</f>
        <v>43521.38147734182</v>
      </c>
      <c r="BU448" s="1739">
        <f t="shared" si="184"/>
        <v>2030</v>
      </c>
      <c r="BV448" s="1742">
        <f>_xlfn.IFNA(INDEX($AR448:$AX448,MATCH(BU448,$AR$2:$AX$2,0))*12/365*[11]核心假设及结论!$C$70*$H448,0)</f>
        <v>46227.203088019247</v>
      </c>
      <c r="BX448" s="1739">
        <f t="shared" si="185"/>
        <v>2032</v>
      </c>
      <c r="BY448" s="1742">
        <f>_xlfn.IFNA(INDEX($AR448:$AX448,MATCH(BX448,$AR$2:$AX$2,0))*12/365*[11]核心假设及结论!$C$70*$H448,0)</f>
        <v>0</v>
      </c>
      <c r="CA448" s="1739">
        <f t="shared" si="186"/>
        <v>2034</v>
      </c>
      <c r="CB448" s="1742">
        <f>_xlfn.IFNA(INDEX($AR448:$AX448,MATCH(CA448,$AR$2:$AX$2,0))*12/365*[11]核心假设及结论!$C$70*$H448,0)</f>
        <v>0</v>
      </c>
    </row>
    <row r="449" spans="1:80" ht="30" customHeight="1">
      <c r="A449" s="1763" t="s">
        <v>1666</v>
      </c>
      <c r="B449" s="1757" t="s">
        <v>2595</v>
      </c>
      <c r="C449" s="1764" t="s">
        <v>2596</v>
      </c>
      <c r="D449" s="1764" t="s">
        <v>1698</v>
      </c>
      <c r="E449" s="1764" t="s">
        <v>1698</v>
      </c>
      <c r="F449" s="1765"/>
      <c r="G449" s="1760" t="s">
        <v>1661</v>
      </c>
      <c r="H449" s="1761">
        <v>30</v>
      </c>
      <c r="I449" s="1763" t="s">
        <v>2534</v>
      </c>
      <c r="J449" s="1773">
        <v>44977</v>
      </c>
      <c r="K449" s="1773">
        <v>46072</v>
      </c>
      <c r="L449" s="1764">
        <f t="shared" si="168"/>
        <v>36</v>
      </c>
      <c r="M449" s="1774">
        <f t="shared" si="179"/>
        <v>49015.8</v>
      </c>
      <c r="N449" s="1775">
        <f t="shared" si="180"/>
        <v>1520.8600000000001</v>
      </c>
      <c r="O449" s="1777">
        <v>45625.8</v>
      </c>
      <c r="P449" s="1763">
        <v>0.18</v>
      </c>
      <c r="Q449" s="1783">
        <f t="shared" si="169"/>
        <v>95</v>
      </c>
      <c r="R449" s="1763">
        <v>2850</v>
      </c>
      <c r="S449" s="1777">
        <f t="shared" si="170"/>
        <v>18</v>
      </c>
      <c r="T449" s="1763">
        <v>540</v>
      </c>
      <c r="U449" s="1763"/>
      <c r="V449" s="1785">
        <v>249296.36499999999</v>
      </c>
      <c r="W449" s="1785">
        <f t="shared" si="171"/>
        <v>8309.8788333333323</v>
      </c>
      <c r="X449" s="1786">
        <f t="shared" si="196"/>
        <v>0.19445048867840495</v>
      </c>
      <c r="Y449" s="1789">
        <f>VLOOKUP(E449,[11]核心假设及结论!$C$25:$E$45,3,0)</f>
        <v>0.2</v>
      </c>
      <c r="Z449" s="1790">
        <f t="shared" si="195"/>
        <v>46537.5</v>
      </c>
      <c r="AA449" s="1790">
        <f t="shared" si="195"/>
        <v>47450.100000000006</v>
      </c>
      <c r="AB449" s="1790">
        <f t="shared" si="195"/>
        <v>0</v>
      </c>
      <c r="AC449" s="1790">
        <f t="shared" si="194"/>
        <v>0</v>
      </c>
      <c r="AD449" s="1790">
        <f t="shared" si="194"/>
        <v>0</v>
      </c>
      <c r="AE449" s="1790">
        <f t="shared" si="194"/>
        <v>0</v>
      </c>
      <c r="AF449" s="1790">
        <f t="shared" si="194"/>
        <v>0</v>
      </c>
      <c r="AG449" s="1794">
        <v>1551.25</v>
      </c>
      <c r="AH449" s="1794">
        <v>1581.67</v>
      </c>
      <c r="AI449" s="1794">
        <v>0</v>
      </c>
      <c r="AJ449" s="1794">
        <v>0</v>
      </c>
      <c r="AK449" s="1794">
        <v>0</v>
      </c>
      <c r="AL449" s="1794">
        <v>0</v>
      </c>
      <c r="AM449" s="1794">
        <v>0</v>
      </c>
      <c r="AN449" s="1764"/>
      <c r="AO449" s="1764"/>
      <c r="AP449" s="1808">
        <f t="shared" si="181"/>
        <v>0.97225244339202466</v>
      </c>
      <c r="AQ449" s="1812">
        <f>IF(AP449&gt;[11]核心假设及结论!$B$62,[11]核心假设及结论!$D$62,IF(AP449&lt;=[11]核心假设及结论!$B$61,[11]核心假设及结论!$D$60,[11]核心假设及结论!$D$61))</f>
        <v>1.0811176582269599</v>
      </c>
      <c r="AR449" s="1809">
        <f t="shared" si="182"/>
        <v>1551.25</v>
      </c>
      <c r="AS449" s="1809">
        <f>AH449*(AS$2&lt;=YEAR($K449))+AR449*$AQ449*(AS$2=YEAR($K449)+1)+INDEX([11]核心假设及结论!$E$17:$E$21,MATCH($D449,[11]核心假设及结论!$B$17:$B$21,0))*(AS$2&gt;YEAR($K449)+1)*AR449</f>
        <v>1581.67</v>
      </c>
      <c r="AT449" s="1811">
        <f>AI449*(AT$2&lt;=YEAR($K449))+AS449*$AQ449*(AT$2=YEAR($K449)+1)+INDEX([11]核心假设及结论!$E$17:$E$21,MATCH($D449,[11]核心假设及结论!$B$17:$B$21,0))*(AT$2&gt;YEAR($K449)+1)*AS449</f>
        <v>1709.9713664878359</v>
      </c>
      <c r="AU449" s="1809">
        <f>AJ449*(AU$2&lt;=YEAR($K449))+AT449*$AQ449*(AU$2=YEAR($K449)+1)+INDEX([11]核心假设及结论!$E$17:$E$21,MATCH($D449,[11]核心假设及结论!$B$17:$B$21,0))*(AU$2&gt;YEAR($K449)+1)*AT449</f>
        <v>1762.3262529766321</v>
      </c>
      <c r="AV449" s="1809">
        <f>AK449*(AV$2&lt;=YEAR($K449))+AU449*$AQ449*(AV$2=YEAR($K449)+1)+INDEX([11]核心假设及结论!$E$17:$E$21,MATCH($D449,[11]核心假设及结论!$B$17:$B$21,0))*(AV$2&gt;YEAR($K449)+1)*AU449</f>
        <v>1816.2841102478483</v>
      </c>
      <c r="AW449" s="1809">
        <f>AL449*(AW$2&lt;=YEAR($K449))+AV449*$AQ449*(AW$2=YEAR($K449)+1)+INDEX([11]核心假设及结论!$E$17:$E$21,MATCH($D449,[11]核心假设及结论!$B$17:$B$21,0))*(AW$2&gt;YEAR($K449)+1)*AV449</f>
        <v>1871.8940171077165</v>
      </c>
      <c r="AX449" s="1809">
        <f>AM449*(AX$2&lt;=YEAR($K449))+AW449*$AQ449*(AX$2=YEAR($K449)+1)+INDEX([11]核心假设及结论!$E$17:$E$21,MATCH($D449,[11]核心假设及结论!$B$17:$B$21,0))*(AX$2&gt;YEAR($K449)+1)*AW449</f>
        <v>1929.2065550281743</v>
      </c>
      <c r="AZ449" s="1746">
        <f t="shared" si="172"/>
        <v>46072</v>
      </c>
      <c r="BA449" s="1817">
        <f t="shared" si="173"/>
        <v>45658</v>
      </c>
      <c r="BB449" s="1817">
        <f t="shared" si="174"/>
        <v>45707</v>
      </c>
      <c r="BC449" s="1841">
        <f t="shared" si="175"/>
        <v>46022</v>
      </c>
      <c r="BD449" s="1842">
        <f t="shared" si="176"/>
        <v>50</v>
      </c>
      <c r="BE449" s="1842">
        <f t="shared" si="177"/>
        <v>315</v>
      </c>
      <c r="BG449" s="1843">
        <f t="shared" si="192"/>
        <v>56.790103561643839</v>
      </c>
      <c r="BH449" s="1843">
        <f t="shared" si="188"/>
        <v>60.926250125950851</v>
      </c>
      <c r="BI449" s="1843">
        <f t="shared" si="188"/>
        <v>63.185556625844143</v>
      </c>
      <c r="BJ449" s="1843">
        <f t="shared" si="188"/>
        <v>65.120134426215174</v>
      </c>
      <c r="BK449" s="1843">
        <f t="shared" si="187"/>
        <v>67.113943979308573</v>
      </c>
      <c r="BL449" s="1843">
        <f t="shared" si="187"/>
        <v>69.168798807707901</v>
      </c>
      <c r="BM449" s="1843">
        <f t="shared" si="187"/>
        <v>9.5138953398649679</v>
      </c>
      <c r="BO449" s="1739">
        <f t="shared" si="178"/>
        <v>2026</v>
      </c>
      <c r="BP449" s="1742">
        <f>_xlfn.IFNA(INDEX($AR449:$AX449,MATCH(BO449,$AR$2:$AX$2,0))*12/365*[11]核心假设及结论!$C$70*$H449,0)</f>
        <v>46800.098630136985</v>
      </c>
      <c r="BR449" s="1739">
        <f t="shared" si="183"/>
        <v>2029</v>
      </c>
      <c r="BS449" s="1742">
        <f>_xlfn.IFNA(INDEX($AR449:$AX449,MATCH(BR449,$AR$2:$AX$2,0))*12/365*[11]核心假设及结论!$C$70*$H449,0)</f>
        <v>53742.105179936327</v>
      </c>
      <c r="BU449" s="1739">
        <f t="shared" si="184"/>
        <v>2032</v>
      </c>
      <c r="BV449" s="1742">
        <f>_xlfn.IFNA(INDEX($AR449:$AX449,MATCH(BU449,$AR$2:$AX$2,0))*12/365*[11]核心假设及结论!$C$70*$H449,0)</f>
        <v>0</v>
      </c>
      <c r="BX449" s="1739">
        <f t="shared" si="185"/>
        <v>2035</v>
      </c>
      <c r="BY449" s="1742">
        <f>_xlfn.IFNA(INDEX($AR449:$AX449,MATCH(BX449,$AR$2:$AX$2,0))*12/365*[11]核心假设及结论!$C$70*$H449,0)</f>
        <v>0</v>
      </c>
      <c r="CA449" s="1739">
        <f t="shared" si="186"/>
        <v>2038</v>
      </c>
      <c r="CB449" s="1742">
        <f>_xlfn.IFNA(INDEX($AR449:$AX449,MATCH(CA449,$AR$2:$AX$2,0))*12/365*[11]核心假设及结论!$C$70*$H449,0)</f>
        <v>0</v>
      </c>
    </row>
    <row r="450" spans="1:80" ht="30" customHeight="1">
      <c r="A450" s="1763" t="s">
        <v>1666</v>
      </c>
      <c r="B450" s="1757" t="s">
        <v>2597</v>
      </c>
      <c r="C450" s="1764" t="s">
        <v>2598</v>
      </c>
      <c r="D450" s="1764" t="s">
        <v>1698</v>
      </c>
      <c r="E450" s="1764" t="s">
        <v>1698</v>
      </c>
      <c r="F450" s="1765"/>
      <c r="G450" s="1760" t="s">
        <v>1661</v>
      </c>
      <c r="H450" s="1761">
        <v>30</v>
      </c>
      <c r="I450" s="1763" t="s">
        <v>2534</v>
      </c>
      <c r="J450" s="1773">
        <v>45483</v>
      </c>
      <c r="K450" s="1773">
        <v>46212</v>
      </c>
      <c r="L450" s="1764">
        <f t="shared" si="168"/>
        <v>24</v>
      </c>
      <c r="M450" s="1774">
        <f t="shared" si="179"/>
        <v>44452.5</v>
      </c>
      <c r="N450" s="1775">
        <f t="shared" si="180"/>
        <v>1368.75</v>
      </c>
      <c r="O450" s="1777">
        <v>41062.5</v>
      </c>
      <c r="P450" s="1763">
        <v>0.13</v>
      </c>
      <c r="Q450" s="1783">
        <f t="shared" si="169"/>
        <v>95</v>
      </c>
      <c r="R450" s="1763">
        <v>2850</v>
      </c>
      <c r="S450" s="1777">
        <f t="shared" si="170"/>
        <v>18</v>
      </c>
      <c r="T450" s="1763">
        <v>540</v>
      </c>
      <c r="U450" s="1763"/>
      <c r="V450" s="1785">
        <v>75455.89</v>
      </c>
      <c r="W450" s="1785">
        <f t="shared" si="171"/>
        <v>2515.1963333333333</v>
      </c>
      <c r="X450" s="1786">
        <f t="shared" si="196"/>
        <v>0.58196252141482929</v>
      </c>
      <c r="Y450" s="1789">
        <f>VLOOKUP(E450,[11]核心假设及结论!$C$25:$E$45,3,0)</f>
        <v>0.2</v>
      </c>
      <c r="Z450" s="1790">
        <f t="shared" si="195"/>
        <v>41062.5</v>
      </c>
      <c r="AA450" s="1790">
        <f t="shared" si="195"/>
        <v>42294.299999999996</v>
      </c>
      <c r="AB450" s="1790">
        <f t="shared" si="195"/>
        <v>0</v>
      </c>
      <c r="AC450" s="1790">
        <f t="shared" si="194"/>
        <v>0</v>
      </c>
      <c r="AD450" s="1790">
        <f t="shared" si="194"/>
        <v>0</v>
      </c>
      <c r="AE450" s="1790">
        <f t="shared" si="194"/>
        <v>0</v>
      </c>
      <c r="AF450" s="1790">
        <f t="shared" si="194"/>
        <v>0</v>
      </c>
      <c r="AG450" s="1794">
        <v>1368.75</v>
      </c>
      <c r="AH450" s="1794">
        <v>1409.81</v>
      </c>
      <c r="AI450" s="1794">
        <v>0</v>
      </c>
      <c r="AJ450" s="1794">
        <v>0</v>
      </c>
      <c r="AK450" s="1794">
        <v>0</v>
      </c>
      <c r="AL450" s="1794">
        <v>0</v>
      </c>
      <c r="AM450" s="1794">
        <v>0</v>
      </c>
      <c r="AN450" s="1764"/>
      <c r="AO450" s="1764"/>
      <c r="AP450" s="1808">
        <f t="shared" si="181"/>
        <v>2.9098126070741461</v>
      </c>
      <c r="AQ450" s="1812">
        <f>IF(AP450&gt;[11]核心假设及结论!$B$62,[11]核心假设及结论!$D$62,IF(AP450&lt;=[11]核心假设及结论!$B$61,[11]核心假设及结论!$D$60,[11]核心假设及结论!$D$61))</f>
        <v>1</v>
      </c>
      <c r="AR450" s="1809">
        <f t="shared" si="182"/>
        <v>1368.75</v>
      </c>
      <c r="AS450" s="1809">
        <f>AH450*(AS$2&lt;=YEAR($K450))+AR450*$AQ450*(AS$2=YEAR($K450)+1)+INDEX([11]核心假设及结论!$E$17:$E$21,MATCH($D450,[11]核心假设及结论!$B$17:$B$21,0))*(AS$2&gt;YEAR($K450)+1)*AR450</f>
        <v>1409.81</v>
      </c>
      <c r="AT450" s="1811">
        <f>AI450*(AT$2&lt;=YEAR($K450))+AS450*$AQ450*(AT$2=YEAR($K450)+1)+INDEX([11]核心假设及结论!$E$17:$E$21,MATCH($D450,[11]核心假设及结论!$B$17:$B$21,0))*(AT$2&gt;YEAR($K450)+1)*AS450</f>
        <v>1409.81</v>
      </c>
      <c r="AU450" s="1809">
        <f>AJ450*(AU$2&lt;=YEAR($K450))+AT450*$AQ450*(AU$2=YEAR($K450)+1)+INDEX([11]核心假设及结论!$E$17:$E$21,MATCH($D450,[11]核心假设及结论!$B$17:$B$21,0))*(AU$2&gt;YEAR($K450)+1)*AT450</f>
        <v>1452.9747242563899</v>
      </c>
      <c r="AV450" s="1809">
        <f>AK450*(AV$2&lt;=YEAR($K450))+AU450*$AQ450*(AV$2=YEAR($K450)+1)+INDEX([11]核心假设及结论!$E$17:$E$21,MATCH($D450,[11]核心假设及结论!$B$17:$B$21,0))*(AV$2&gt;YEAR($K450)+1)*AU450</f>
        <v>1497.4610403727681</v>
      </c>
      <c r="AW450" s="1809">
        <f>AL450*(AW$2&lt;=YEAR($K450))+AV450*$AQ450*(AW$2=YEAR($K450)+1)+INDEX([11]核心假设及结论!$E$17:$E$21,MATCH($D450,[11]核心假设及结论!$B$17:$B$21,0))*(AW$2&gt;YEAR($K450)+1)*AV450</f>
        <v>1543.309412062838</v>
      </c>
      <c r="AX450" s="1809">
        <f>AM450*(AX$2&lt;=YEAR($K450))+AW450*$AQ450*(AX$2=YEAR($K450)+1)+INDEX([11]核心假设及结论!$E$17:$E$21,MATCH($D450,[11]核心假设及结论!$B$17:$B$21,0))*(AX$2&gt;YEAR($K450)+1)*AW450</f>
        <v>1590.5615419342275</v>
      </c>
      <c r="AZ450" s="1746">
        <f t="shared" si="172"/>
        <v>46212</v>
      </c>
      <c r="BA450" s="1817">
        <f t="shared" si="173"/>
        <v>45658</v>
      </c>
      <c r="BB450" s="1817">
        <f t="shared" si="174"/>
        <v>45847</v>
      </c>
      <c r="BC450" s="1841">
        <f t="shared" si="175"/>
        <v>46022</v>
      </c>
      <c r="BD450" s="1842">
        <f t="shared" si="176"/>
        <v>190</v>
      </c>
      <c r="BE450" s="1842">
        <f t="shared" si="177"/>
        <v>175</v>
      </c>
      <c r="BG450" s="1843">
        <f t="shared" si="192"/>
        <v>49.98370684931507</v>
      </c>
      <c r="BH450" s="1843">
        <f t="shared" si="188"/>
        <v>50.753160000000001</v>
      </c>
      <c r="BI450" s="1843">
        <f t="shared" si="188"/>
        <v>51.498194966617135</v>
      </c>
      <c r="BJ450" s="1843">
        <f t="shared" si="188"/>
        <v>53.074936077430543</v>
      </c>
      <c r="BK450" s="1843">
        <f t="shared" si="187"/>
        <v>54.699952909987978</v>
      </c>
      <c r="BL450" s="1843">
        <f t="shared" si="187"/>
        <v>56.374723541631361</v>
      </c>
      <c r="BM450" s="1843">
        <f t="shared" si="187"/>
        <v>29.806687525561959</v>
      </c>
      <c r="BO450" s="1739">
        <f t="shared" si="178"/>
        <v>2026</v>
      </c>
      <c r="BP450" s="1742">
        <f>_xlfn.IFNA(INDEX($AR450:$AX450,MATCH(BO450,$AR$2:$AX$2,0))*12/365*[11]核心假设及结论!$C$70*$H450,0)</f>
        <v>41714.926027397261</v>
      </c>
      <c r="BR450" s="1739">
        <f t="shared" si="183"/>
        <v>2028</v>
      </c>
      <c r="BS450" s="1742">
        <f>_xlfn.IFNA(INDEX($AR450:$AX450,MATCH(BR450,$AR$2:$AX$2,0))*12/365*[11]核心假设及结论!$C$70*$H450,0)</f>
        <v>42992.128827312357</v>
      </c>
      <c r="BU450" s="1739">
        <f t="shared" si="184"/>
        <v>2030</v>
      </c>
      <c r="BV450" s="1742">
        <f>_xlfn.IFNA(INDEX($AR450:$AX450,MATCH(BU450,$AR$2:$AX$2,0))*12/365*[11]核心假设及结论!$C$70*$H450,0)</f>
        <v>45665.045617201788</v>
      </c>
      <c r="BX450" s="1739">
        <f t="shared" si="185"/>
        <v>2032</v>
      </c>
      <c r="BY450" s="1742">
        <f>_xlfn.IFNA(INDEX($AR450:$AX450,MATCH(BX450,$AR$2:$AX$2,0))*12/365*[11]核心假设及结论!$C$70*$H450,0)</f>
        <v>0</v>
      </c>
      <c r="CA450" s="1739">
        <f t="shared" si="186"/>
        <v>2034</v>
      </c>
      <c r="CB450" s="1742">
        <f>_xlfn.IFNA(INDEX($AR450:$AX450,MATCH(CA450,$AR$2:$AX$2,0))*12/365*[11]核心假设及结论!$C$70*$H450,0)</f>
        <v>0</v>
      </c>
    </row>
    <row r="451" spans="1:80" ht="30" customHeight="1">
      <c r="A451" s="1763" t="s">
        <v>1666</v>
      </c>
      <c r="B451" s="1757" t="s">
        <v>2599</v>
      </c>
      <c r="C451" s="1764" t="s">
        <v>2600</v>
      </c>
      <c r="D451" s="1764" t="s">
        <v>1698</v>
      </c>
      <c r="E451" s="1764" t="s">
        <v>1698</v>
      </c>
      <c r="F451" s="1765"/>
      <c r="G451" s="1760" t="s">
        <v>1661</v>
      </c>
      <c r="H451" s="1761">
        <v>30</v>
      </c>
      <c r="I451" s="1763" t="s">
        <v>2534</v>
      </c>
      <c r="J451" s="1773">
        <v>44965</v>
      </c>
      <c r="K451" s="1773">
        <v>45695</v>
      </c>
      <c r="L451" s="1764">
        <f t="shared" si="168"/>
        <v>24</v>
      </c>
      <c r="M451" s="1774">
        <f t="shared" si="179"/>
        <v>42625.2</v>
      </c>
      <c r="N451" s="1775">
        <f t="shared" si="180"/>
        <v>1307.8399999999999</v>
      </c>
      <c r="O451" s="1777">
        <v>39235.199999999997</v>
      </c>
      <c r="P451" s="1763">
        <v>0.16</v>
      </c>
      <c r="Q451" s="1783">
        <f t="shared" si="169"/>
        <v>95</v>
      </c>
      <c r="R451" s="1763">
        <v>2850</v>
      </c>
      <c r="S451" s="1777">
        <f t="shared" si="170"/>
        <v>18</v>
      </c>
      <c r="T451" s="1763">
        <v>540</v>
      </c>
      <c r="U451" s="1763"/>
      <c r="V451" s="1785">
        <v>96082.251666666707</v>
      </c>
      <c r="W451" s="1785">
        <f t="shared" si="171"/>
        <v>3202.7417222222234</v>
      </c>
      <c r="X451" s="1786">
        <f t="shared" si="196"/>
        <v>0.43801221630404802</v>
      </c>
      <c r="Y451" s="1789">
        <f>VLOOKUP(E451,[11]核心假设及结论!$C$25:$E$45,3,0)</f>
        <v>0.2</v>
      </c>
      <c r="Z451" s="1790">
        <f t="shared" si="195"/>
        <v>39235.199999999997</v>
      </c>
      <c r="AA451" s="1790">
        <f t="shared" si="195"/>
        <v>0</v>
      </c>
      <c r="AB451" s="1790">
        <f t="shared" si="195"/>
        <v>0</v>
      </c>
      <c r="AC451" s="1790">
        <f t="shared" si="194"/>
        <v>0</v>
      </c>
      <c r="AD451" s="1790">
        <f t="shared" si="194"/>
        <v>0</v>
      </c>
      <c r="AE451" s="1790">
        <f t="shared" si="194"/>
        <v>0</v>
      </c>
      <c r="AF451" s="1790">
        <f t="shared" si="194"/>
        <v>0</v>
      </c>
      <c r="AG451" s="1794">
        <v>1307.8399999999999</v>
      </c>
      <c r="AH451" s="1794">
        <v>0</v>
      </c>
      <c r="AI451" s="1794">
        <v>0</v>
      </c>
      <c r="AJ451" s="1794">
        <v>0</v>
      </c>
      <c r="AK451" s="1794">
        <v>0</v>
      </c>
      <c r="AL451" s="1794">
        <v>0</v>
      </c>
      <c r="AM451" s="1794">
        <v>0</v>
      </c>
      <c r="AN451" s="1764"/>
      <c r="AO451" s="1764"/>
      <c r="AP451" s="1808">
        <f t="shared" si="181"/>
        <v>2.1900610815202399</v>
      </c>
      <c r="AQ451" s="1812">
        <f>IF(AP451&gt;[11]核心假设及结论!$B$62,[11]核心假设及结论!$D$62,IF(AP451&lt;=[11]核心假设及结论!$B$61,[11]核心假设及结论!$D$60,[11]核心假设及结论!$D$61))</f>
        <v>1</v>
      </c>
      <c r="AR451" s="1809">
        <f t="shared" si="182"/>
        <v>1307.8399999999999</v>
      </c>
      <c r="AS451" s="1811">
        <f>AH451*(AS$2&lt;=YEAR($K451))+AR451*$AQ451*(AS$2=YEAR($K451)+1)+INDEX([11]核心假设及结论!$E$17:$E$21,MATCH($D451,[11]核心假设及结论!$B$17:$B$21,0))*(AS$2&gt;YEAR($K451)+1)*AR451</f>
        <v>1307.8399999999999</v>
      </c>
      <c r="AT451" s="1809">
        <f>AI451*(AT$2&lt;=YEAR($K451))+AS451*$AQ451*(AT$2=YEAR($K451)+1)+INDEX([11]核心假设及结论!$E$17:$E$21,MATCH($D451,[11]核心假设及结论!$B$17:$B$21,0))*(AT$2&gt;YEAR($K451)+1)*AS451</f>
        <v>1347.8826674314105</v>
      </c>
      <c r="AU451" s="1809">
        <f>AJ451*(AU$2&lt;=YEAR($K451))+AT451*$AQ451*(AU$2=YEAR($K451)+1)+INDEX([11]核心假设及结论!$E$17:$E$21,MATCH($D451,[11]核心假设及结论!$B$17:$B$21,0))*(AU$2&gt;YEAR($K451)+1)*AT451</f>
        <v>1389.1513374434292</v>
      </c>
      <c r="AV451" s="1809">
        <f>AK451*(AV$2&lt;=YEAR($K451))+AU451*$AQ451*(AV$2=YEAR($K451)+1)+INDEX([11]核心假设及结论!$E$17:$E$21,MATCH($D451,[11]核心假设及结论!$B$17:$B$21,0))*(AV$2&gt;YEAR($K451)+1)*AU451</f>
        <v>1431.6835470540441</v>
      </c>
      <c r="AW451" s="1809">
        <f>AL451*(AW$2&lt;=YEAR($K451))+AV451*$AQ451*(AW$2=YEAR($K451)+1)+INDEX([11]核心假设及结论!$E$17:$E$21,MATCH($D451,[11]核心假设及结论!$B$17:$B$21,0))*(AW$2&gt;YEAR($K451)+1)*AV451</f>
        <v>1475.5179825673388</v>
      </c>
      <c r="AX451" s="1809">
        <f>AM451*(AX$2&lt;=YEAR($K451))+AW451*$AQ451*(AX$2=YEAR($K451)+1)+INDEX([11]核心假设及结论!$E$17:$E$21,MATCH($D451,[11]核心假设及结论!$B$17:$B$21,0))*(AX$2&gt;YEAR($K451)+1)*AW451</f>
        <v>1520.6945147616514</v>
      </c>
      <c r="AZ451" s="1746">
        <f t="shared" si="172"/>
        <v>45695</v>
      </c>
      <c r="BA451" s="1817">
        <f t="shared" si="173"/>
        <v>45658</v>
      </c>
      <c r="BB451" s="1817">
        <f t="shared" si="174"/>
        <v>45695</v>
      </c>
      <c r="BC451" s="1841">
        <f t="shared" si="175"/>
        <v>46022</v>
      </c>
      <c r="BD451" s="1842">
        <f t="shared" si="176"/>
        <v>38</v>
      </c>
      <c r="BE451" s="1842">
        <f t="shared" si="177"/>
        <v>327</v>
      </c>
      <c r="BG451" s="1843">
        <f t="shared" si="192"/>
        <v>47.082240000000006</v>
      </c>
      <c r="BH451" s="1843">
        <f t="shared" si="188"/>
        <v>48.373698304116608</v>
      </c>
      <c r="BI451" s="1843">
        <f t="shared" si="188"/>
        <v>49.854775434055398</v>
      </c>
      <c r="BJ451" s="1843">
        <f t="shared" si="188"/>
        <v>51.381199302857034</v>
      </c>
      <c r="BK451" s="1843">
        <f t="shared" si="187"/>
        <v>52.954358310007244</v>
      </c>
      <c r="BL451" s="1843">
        <f t="shared" si="187"/>
        <v>54.575683364181593</v>
      </c>
      <c r="BM451" s="1843">
        <f t="shared" si="187"/>
        <v>5.6994797155998338</v>
      </c>
      <c r="BO451" s="1739">
        <f t="shared" si="178"/>
        <v>2025</v>
      </c>
      <c r="BP451" s="1742">
        <f>_xlfn.IFNA(INDEX($AR451:$AX451,MATCH(BO451,$AR$2:$AX$2,0))*12/365*[11]核心假设及结论!$C$70*$H451,0)</f>
        <v>38697.731506849312</v>
      </c>
      <c r="BR451" s="1739">
        <f t="shared" si="183"/>
        <v>2027</v>
      </c>
      <c r="BS451" s="1742">
        <f>_xlfn.IFNA(INDEX($AR451:$AX451,MATCH(BR451,$AR$2:$AX$2,0))*12/365*[11]核心假设及结论!$C$70*$H451,0)</f>
        <v>39882.555639066391</v>
      </c>
      <c r="BU451" s="1739">
        <f t="shared" si="184"/>
        <v>2029</v>
      </c>
      <c r="BV451" s="1742">
        <f>_xlfn.IFNA(INDEX($AR451:$AX451,MATCH(BU451,$AR$2:$AX$2,0))*12/365*[11]核心假设及结论!$C$70*$H451,0)</f>
        <v>42362.143310092259</v>
      </c>
      <c r="BX451" s="1739">
        <f t="shared" si="185"/>
        <v>2031</v>
      </c>
      <c r="BY451" s="1742">
        <f>_xlfn.IFNA(INDEX($AR451:$AX451,MATCH(BX451,$AR$2:$AX$2,0))*12/365*[11]核心假设及结论!$C$70*$H451,0)</f>
        <v>44995.89249157763</v>
      </c>
      <c r="CA451" s="1739">
        <f t="shared" si="186"/>
        <v>2033</v>
      </c>
      <c r="CB451" s="1742">
        <f>_xlfn.IFNA(INDEX($AR451:$AX451,MATCH(CA451,$AR$2:$AX$2,0))*12/365*[11]核心假设及结论!$C$70*$H451,0)</f>
        <v>0</v>
      </c>
    </row>
    <row r="452" spans="1:80" ht="30" customHeight="1">
      <c r="A452" s="1763" t="s">
        <v>1687</v>
      </c>
      <c r="B452" s="1757" t="s">
        <v>2601</v>
      </c>
      <c r="C452" s="1764" t="s">
        <v>2602</v>
      </c>
      <c r="D452" s="1764" t="s">
        <v>1685</v>
      </c>
      <c r="E452" s="1764" t="s">
        <v>1871</v>
      </c>
      <c r="F452" s="1765"/>
      <c r="G452" s="1760" t="s">
        <v>1661</v>
      </c>
      <c r="H452" s="1761">
        <v>30</v>
      </c>
      <c r="I452" s="1763" t="s">
        <v>2534</v>
      </c>
      <c r="J452" s="1773">
        <v>45278</v>
      </c>
      <c r="K452" s="1773">
        <v>46008</v>
      </c>
      <c r="L452" s="1764">
        <f t="shared" si="168"/>
        <v>24</v>
      </c>
      <c r="M452" s="1774">
        <f t="shared" si="179"/>
        <v>40802.400000000001</v>
      </c>
      <c r="N452" s="1775">
        <f t="shared" si="180"/>
        <v>1247.0800000000002</v>
      </c>
      <c r="O452" s="1777">
        <v>37412.400000000001</v>
      </c>
      <c r="P452" s="1763">
        <v>0.18</v>
      </c>
      <c r="Q452" s="1783">
        <f t="shared" si="169"/>
        <v>95</v>
      </c>
      <c r="R452" s="1763">
        <v>2850</v>
      </c>
      <c r="S452" s="1777">
        <f t="shared" si="170"/>
        <v>18</v>
      </c>
      <c r="T452" s="1763">
        <v>540</v>
      </c>
      <c r="U452" s="1763"/>
      <c r="V452" s="1785">
        <v>109860.425</v>
      </c>
      <c r="W452" s="1785">
        <f t="shared" si="171"/>
        <v>3662.0141666666668</v>
      </c>
      <c r="X452" s="1786">
        <f t="shared" si="196"/>
        <v>0.36648684000630799</v>
      </c>
      <c r="Y452" s="1789">
        <f>VLOOKUP(E452,[11]核心假设及结论!$C$25:$E$45,3,0)</f>
        <v>0.2</v>
      </c>
      <c r="Z452" s="1790">
        <f t="shared" si="195"/>
        <v>37868.699999999997</v>
      </c>
      <c r="AA452" s="1790">
        <f t="shared" si="195"/>
        <v>0</v>
      </c>
      <c r="AB452" s="1790">
        <f t="shared" si="195"/>
        <v>0</v>
      </c>
      <c r="AC452" s="1790">
        <f t="shared" si="194"/>
        <v>0</v>
      </c>
      <c r="AD452" s="1790">
        <f t="shared" si="194"/>
        <v>0</v>
      </c>
      <c r="AE452" s="1790">
        <f t="shared" si="194"/>
        <v>0</v>
      </c>
      <c r="AF452" s="1790">
        <f t="shared" si="194"/>
        <v>0</v>
      </c>
      <c r="AG452" s="1794">
        <v>1262.29</v>
      </c>
      <c r="AH452" s="1794">
        <v>0</v>
      </c>
      <c r="AI452" s="1794">
        <v>0</v>
      </c>
      <c r="AJ452" s="1794">
        <v>0</v>
      </c>
      <c r="AK452" s="1794">
        <v>0</v>
      </c>
      <c r="AL452" s="1794">
        <v>0</v>
      </c>
      <c r="AM452" s="1794">
        <v>0</v>
      </c>
      <c r="AN452" s="1764"/>
      <c r="AO452" s="1764"/>
      <c r="AP452" s="1808">
        <f t="shared" si="181"/>
        <v>1.8324342000315399</v>
      </c>
      <c r="AQ452" s="1810">
        <f>IF(AP452&gt;[11]核心假设及结论!$B$59,[11]核心假设及结论!$D$59,IF(AP452&lt;=[11]核心假设及结论!$B$58,[11]核心假设及结论!$D$57,[11]核心假设及结论!$D$58))</f>
        <v>1</v>
      </c>
      <c r="AR452" s="1809">
        <f t="shared" si="182"/>
        <v>1262.29</v>
      </c>
      <c r="AS452" s="1811">
        <f>AH452*(AS$2&lt;=YEAR($K452))+AR452*$AQ452*(AS$2=YEAR($K452)+1)+INDEX([11]核心假设及结论!$E$17:$E$21,MATCH($D452,[11]核心假设及结论!$B$17:$B$21,0))*(AS$2&gt;YEAR($K452)+1)*AR452</f>
        <v>1262.29</v>
      </c>
      <c r="AT452" s="1809">
        <f>AI452*(AT$2&lt;=YEAR($K452))+AS452*$AQ452*(AT$2=YEAR($K452)+1)+INDEX([11]核心假设及结论!$E$17:$E$21,MATCH($D452,[11]核心假设及结论!$B$17:$B$21,0))*(AT$2&gt;YEAR($K452)+1)*AS452</f>
        <v>1296.4658592535163</v>
      </c>
      <c r="AU452" s="1809">
        <f>AJ452*(AU$2&lt;=YEAR($K452))+AT452*$AQ452*(AU$2=YEAR($K452)+1)+INDEX([11]核心假设及结论!$E$17:$E$21,MATCH($D452,[11]核心假设及结论!$B$17:$B$21,0))*(AU$2&gt;YEAR($K452)+1)*AT452</f>
        <v>1331.5670125010563</v>
      </c>
      <c r="AV452" s="1809">
        <f>AK452*(AV$2&lt;=YEAR($K452))+AU452*$AQ452*(AV$2=YEAR($K452)+1)+INDEX([11]核心假设及结论!$E$17:$E$21,MATCH($D452,[11]核心假设及结论!$B$17:$B$21,0))*(AV$2&gt;YEAR($K452)+1)*AU452</f>
        <v>1367.6185116065403</v>
      </c>
      <c r="AW452" s="1809">
        <f>AL452*(AW$2&lt;=YEAR($K452))+AV452*$AQ452*(AW$2=YEAR($K452)+1)+INDEX([11]核心假设及结论!$E$17:$E$21,MATCH($D452,[11]核心假设及结论!$B$17:$B$21,0))*(AW$2&gt;YEAR($K452)+1)*AV452</f>
        <v>1404.646086700353</v>
      </c>
      <c r="AX452" s="1809">
        <f>AM452*(AX$2&lt;=YEAR($K452))+AW452*$AQ452*(AX$2=YEAR($K452)+1)+INDEX([11]核心假设及结论!$E$17:$E$21,MATCH($D452,[11]核心假设及结论!$B$17:$B$21,0))*(AX$2&gt;YEAR($K452)+1)*AW452</f>
        <v>1442.6761645430624</v>
      </c>
      <c r="AZ452" s="1746">
        <f t="shared" si="172"/>
        <v>46008</v>
      </c>
      <c r="BA452" s="1817">
        <f t="shared" ref="BA452:BA465" si="197">$BA$2</f>
        <v>45658</v>
      </c>
      <c r="BB452" s="1817">
        <f t="shared" si="174"/>
        <v>46008</v>
      </c>
      <c r="BC452" s="1841">
        <f t="shared" si="175"/>
        <v>46022</v>
      </c>
      <c r="BD452" s="1842">
        <f t="shared" si="176"/>
        <v>351</v>
      </c>
      <c r="BE452" s="1842">
        <f t="shared" si="177"/>
        <v>14</v>
      </c>
      <c r="BG452" s="1843">
        <f t="shared" si="192"/>
        <v>45.442439999999991</v>
      </c>
      <c r="BH452" s="1843">
        <f t="shared" si="188"/>
        <v>45.48963077551717</v>
      </c>
      <c r="BI452" s="1843">
        <f t="shared" si="188"/>
        <v>46.721239374871139</v>
      </c>
      <c r="BJ452" s="1843">
        <f t="shared" si="188"/>
        <v>47.986193150172724</v>
      </c>
      <c r="BK452" s="1843">
        <f t="shared" si="187"/>
        <v>49.285394905088275</v>
      </c>
      <c r="BL452" s="1843">
        <f t="shared" si="187"/>
        <v>50.619771886233877</v>
      </c>
      <c r="BM452" s="1843">
        <f t="shared" si="187"/>
        <v>49.944263055249685</v>
      </c>
      <c r="BO452" s="1739">
        <f t="shared" si="178"/>
        <v>2025</v>
      </c>
      <c r="BP452" s="1742">
        <f>_xlfn.IFNA(INDEX($AR452:$AX452,MATCH(BO452,$AR$2:$AX$2,0))*12/365*[11]核心假设及结论!$C$70*$H452,0)</f>
        <v>37349.950684931508</v>
      </c>
      <c r="BR452" s="1739">
        <f t="shared" si="183"/>
        <v>2027</v>
      </c>
      <c r="BS452" s="1742">
        <f>_xlfn.IFNA(INDEX($AR452:$AX452,MATCH(BR452,$AR$2:$AX$2,0))*12/365*[11]核心假设及结论!$C$70*$H452,0)</f>
        <v>38361.181588871172</v>
      </c>
      <c r="BU452" s="1739">
        <f t="shared" si="184"/>
        <v>2029</v>
      </c>
      <c r="BV452" s="1742">
        <f>_xlfn.IFNA(INDEX($AR452:$AX452,MATCH(BU452,$AR$2:$AX$2,0))*12/365*[11]核心假设及结论!$C$70*$H452,0)</f>
        <v>40466.520343426397</v>
      </c>
      <c r="BX452" s="1739">
        <f t="shared" si="185"/>
        <v>2031</v>
      </c>
      <c r="BY452" s="1742">
        <f>_xlfn.IFNA(INDEX($AR452:$AX452,MATCH(BX452,$AR$2:$AX$2,0))*12/365*[11]核心假设及结论!$C$70*$H452,0)</f>
        <v>42687.404320726229</v>
      </c>
      <c r="CA452" s="1739">
        <f t="shared" si="186"/>
        <v>2033</v>
      </c>
      <c r="CB452" s="1742">
        <f>_xlfn.IFNA(INDEX($AR452:$AX452,MATCH(CA452,$AR$2:$AX$2,0))*12/365*[11]核心假设及结论!$C$70*$H452,0)</f>
        <v>0</v>
      </c>
    </row>
    <row r="453" spans="1:80" ht="30" customHeight="1">
      <c r="A453" s="1763" t="s">
        <v>1687</v>
      </c>
      <c r="B453" s="1757" t="s">
        <v>2603</v>
      </c>
      <c r="C453" s="1764" t="s">
        <v>2604</v>
      </c>
      <c r="D453" s="1764" t="s">
        <v>1676</v>
      </c>
      <c r="E453" s="1764" t="s">
        <v>1677</v>
      </c>
      <c r="F453" s="1765"/>
      <c r="G453" s="1760" t="s">
        <v>1661</v>
      </c>
      <c r="H453" s="1761">
        <v>30</v>
      </c>
      <c r="I453" s="1763" t="s">
        <v>2534</v>
      </c>
      <c r="J453" s="1773">
        <v>45139</v>
      </c>
      <c r="K453" s="1773">
        <v>45716</v>
      </c>
      <c r="L453" s="1764">
        <f t="shared" ref="L453:L465" si="198">DATEDIF(J453,K453,"M")+1</f>
        <v>19</v>
      </c>
      <c r="M453" s="1774">
        <f t="shared" si="179"/>
        <v>29396.400000000001</v>
      </c>
      <c r="N453" s="1775">
        <f t="shared" si="180"/>
        <v>866.88</v>
      </c>
      <c r="O453" s="1777">
        <v>26006.400000000001</v>
      </c>
      <c r="P453" s="1763">
        <v>0.15</v>
      </c>
      <c r="Q453" s="1783">
        <f t="shared" ref="Q453:Q465" si="199">R453/H453</f>
        <v>95</v>
      </c>
      <c r="R453" s="1763">
        <v>2850</v>
      </c>
      <c r="S453" s="1777">
        <f t="shared" ref="S453:S465" si="200">T453/H453</f>
        <v>18</v>
      </c>
      <c r="T453" s="1763">
        <v>540</v>
      </c>
      <c r="U453" s="1763"/>
      <c r="V453" s="1785">
        <v>156882.75750000001</v>
      </c>
      <c r="W453" s="1785">
        <f t="shared" ref="W453:W465" si="201">V453/H453</f>
        <v>5229.4252500000002</v>
      </c>
      <c r="X453" s="1786">
        <f t="shared" si="196"/>
        <v>0.18393608360689351</v>
      </c>
      <c r="Y453" s="1789">
        <f>VLOOKUP(E453,[11]核心假设及结论!$C$25:$E$45,3,0)</f>
        <v>0.25</v>
      </c>
      <c r="Z453" s="1790">
        <f t="shared" si="195"/>
        <v>26006.400000000001</v>
      </c>
      <c r="AA453" s="1790">
        <f t="shared" si="195"/>
        <v>0</v>
      </c>
      <c r="AB453" s="1790">
        <f t="shared" si="195"/>
        <v>0</v>
      </c>
      <c r="AC453" s="1790">
        <f t="shared" si="194"/>
        <v>0</v>
      </c>
      <c r="AD453" s="1790">
        <f t="shared" si="194"/>
        <v>0</v>
      </c>
      <c r="AE453" s="1790">
        <f t="shared" si="194"/>
        <v>0</v>
      </c>
      <c r="AF453" s="1790">
        <f t="shared" si="194"/>
        <v>0</v>
      </c>
      <c r="AG453" s="1794">
        <v>866.88</v>
      </c>
      <c r="AH453" s="1794">
        <v>0</v>
      </c>
      <c r="AI453" s="1794">
        <v>0</v>
      </c>
      <c r="AJ453" s="1794">
        <v>0</v>
      </c>
      <c r="AK453" s="1794">
        <v>0</v>
      </c>
      <c r="AL453" s="1794">
        <v>0</v>
      </c>
      <c r="AM453" s="1794">
        <v>0</v>
      </c>
      <c r="AN453" s="1764"/>
      <c r="AO453" s="1764"/>
      <c r="AP453" s="1808">
        <f t="shared" ref="AP453:AP465" si="202">IFERROR(X453/Y453,1.25)</f>
        <v>0.73574433442757403</v>
      </c>
      <c r="AQ453" s="1808">
        <f>IF(AP453&gt;[11]核心假设及结论!$B$65,[11]核心假设及结论!$D$65,IF(AP453&lt;=[11]核心假设及结论!$B$64,[11]核心假设及结论!$D$63,[11]核心假设及结论!$D$64))</f>
        <v>1</v>
      </c>
      <c r="AR453" s="1809">
        <f t="shared" ref="AR453:AR465" si="203">IF(K453&lt;=BA453,AQ453*AG453,AG453)</f>
        <v>866.88</v>
      </c>
      <c r="AS453" s="1811">
        <f>AH453*(AS$2&lt;=YEAR($K453))+AR453*$AQ453*(AS$2=YEAR($K453)+1)+INDEX([11]核心假设及结论!$E$17:$E$21,MATCH($D453,[11]核心假设及结论!$B$17:$B$21,0))*(AS$2&gt;YEAR($K453)+1)*AR453</f>
        <v>866.88</v>
      </c>
      <c r="AT453" s="1809">
        <f>AI453*(AT$2&lt;=YEAR($K453))+AS453*$AQ453*(AT$2=YEAR($K453)+1)+INDEX([11]核心假设及结论!$E$17:$E$21,MATCH($D453,[11]核心假设及结论!$B$17:$B$21,0))*(AT$2&gt;YEAR($K453)+1)*AS453</f>
        <v>896.85245184983273</v>
      </c>
      <c r="AU453" s="1809">
        <f>AJ453*(AU$2&lt;=YEAR($K453))+AT453*$AQ453*(AU$2=YEAR($K453)+1)+INDEX([11]核心假设及结论!$E$17:$E$21,MATCH($D453,[11]核心假设及结论!$B$17:$B$21,0))*(AU$2&gt;YEAR($K453)+1)*AT453</f>
        <v>927.861203844888</v>
      </c>
      <c r="AV453" s="1809">
        <f>AK453*(AV$2&lt;=YEAR($K453))+AU453*$AQ453*(AV$2=YEAR($K453)+1)+INDEX([11]核心假设及结论!$E$17:$E$21,MATCH($D453,[11]核心假设及结论!$B$17:$B$21,0))*(AV$2&gt;YEAR($K453)+1)*AU453</f>
        <v>959.94208615336061</v>
      </c>
      <c r="AW453" s="1809">
        <f>AL453*(AW$2&lt;=YEAR($K453))+AV453*$AQ453*(AW$2=YEAR($K453)+1)+INDEX([11]核心假设及结论!$E$17:$E$21,MATCH($D453,[11]核心假设及结论!$B$17:$B$21,0))*(AW$2&gt;YEAR($K453)+1)*AV453</f>
        <v>993.13216777464572</v>
      </c>
      <c r="AX453" s="1809">
        <f>AM453*(AX$2&lt;=YEAR($K453))+AW453*$AQ453*(AX$2=YEAR($K453)+1)+INDEX([11]核心假设及结论!$E$17:$E$21,MATCH($D453,[11]核心假设及结论!$B$17:$B$21,0))*(AX$2&gt;YEAR($K453)+1)*AW453</f>
        <v>1027.4697993720358</v>
      </c>
      <c r="AZ453" s="1746">
        <f t="shared" ref="AZ453:AZ465" si="204">K453</f>
        <v>45716</v>
      </c>
      <c r="BA453" s="1817">
        <f t="shared" si="197"/>
        <v>45658</v>
      </c>
      <c r="BB453" s="1817">
        <f t="shared" ref="BB453:BB465" si="205">DATE(YEAR(BA453),MONTH(AZ453),DAY(AZ453))</f>
        <v>45716</v>
      </c>
      <c r="BC453" s="1841">
        <f t="shared" ref="BC453:BC465" si="206">$BB$2</f>
        <v>46022</v>
      </c>
      <c r="BD453" s="1842">
        <f t="shared" ref="BD453:BD465" si="207">BB453-BA453+1</f>
        <v>59</v>
      </c>
      <c r="BE453" s="1842">
        <f t="shared" ref="BE453:BE465" si="208">365-BD453</f>
        <v>306</v>
      </c>
      <c r="BG453" s="1843">
        <f t="shared" si="192"/>
        <v>31.20768</v>
      </c>
      <c r="BH453" s="1843">
        <f t="shared" si="188"/>
        <v>32.112273231719875</v>
      </c>
      <c r="BI453" s="1843">
        <f t="shared" si="188"/>
        <v>33.222557888450226</v>
      </c>
      <c r="BJ453" s="1843">
        <f t="shared" si="188"/>
        <v>34.371230734334155</v>
      </c>
      <c r="BK453" s="1843">
        <f t="shared" si="187"/>
        <v>35.559619044370507</v>
      </c>
      <c r="BL453" s="1843">
        <f t="shared" si="187"/>
        <v>36.789095984207378</v>
      </c>
      <c r="BM453" s="1843">
        <f t="shared" si="187"/>
        <v>5.9790297366197365</v>
      </c>
      <c r="BO453" s="1739">
        <f t="shared" ref="BO453:BO465" si="209">YEAR(K453)</f>
        <v>2025</v>
      </c>
      <c r="BP453" s="1742">
        <f>_xlfn.IFNA(INDEX($AR453:$AX453,MATCH(BO453,$AR$2:$AX$2,0))*12/365*[11]核心假设及结论!$C$70*$H453,0)</f>
        <v>25650.147945205477</v>
      </c>
      <c r="BR453" s="1739">
        <f t="shared" ref="BR453:BR465" si="210">BO453+ROUND($L453/12,0)</f>
        <v>2027</v>
      </c>
      <c r="BS453" s="1742">
        <f>_xlfn.IFNA(INDEX($AR453:$AX453,MATCH(BR453,$AR$2:$AX$2,0))*12/365*[11]核心假设及结论!$C$70*$H453,0)</f>
        <v>26537.004054734782</v>
      </c>
      <c r="BU453" s="1739">
        <f t="shared" ref="BU453:BU465" si="211">BR453+ROUND($L453/12,0)</f>
        <v>2029</v>
      </c>
      <c r="BV453" s="1742">
        <f>_xlfn.IFNA(INDEX($AR453:$AX453,MATCH(BU453,$AR$2:$AX$2,0))*12/365*[11]核心假设及结论!$C$70*$H453,0)</f>
        <v>28403.765836866558</v>
      </c>
      <c r="BX453" s="1739">
        <f t="shared" ref="BX453:BX465" si="212">BU453+ROUND($L453/12,0)</f>
        <v>2031</v>
      </c>
      <c r="BY453" s="1742">
        <f>_xlfn.IFNA(INDEX($AR453:$AX453,MATCH(BX453,$AR$2:$AX$2,0))*12/365*[11]核心假设及结论!$C$70*$H453,0)</f>
        <v>30401.846118405443</v>
      </c>
      <c r="CA453" s="1739">
        <f t="shared" ref="CA453:CA465" si="213">BX453+ROUND($L453/12,0)</f>
        <v>2033</v>
      </c>
      <c r="CB453" s="1742">
        <f>_xlfn.IFNA(INDEX($AR453:$AX453,MATCH(CA453,$AR$2:$AX$2,0))*12/365*[11]核心假设及结论!$C$70*$H453,0)</f>
        <v>0</v>
      </c>
    </row>
    <row r="454" spans="1:80" ht="30" customHeight="1">
      <c r="A454" s="1763" t="s">
        <v>1666</v>
      </c>
      <c r="B454" s="1757" t="s">
        <v>2605</v>
      </c>
      <c r="C454" s="1764" t="s">
        <v>2606</v>
      </c>
      <c r="D454" s="1764" t="s">
        <v>1698</v>
      </c>
      <c r="E454" s="1764" t="s">
        <v>1698</v>
      </c>
      <c r="F454" s="1765"/>
      <c r="G454" s="1760" t="s">
        <v>1661</v>
      </c>
      <c r="H454" s="1761">
        <v>29</v>
      </c>
      <c r="I454" s="1763" t="s">
        <v>2534</v>
      </c>
      <c r="J454" s="1773">
        <v>45196</v>
      </c>
      <c r="K454" s="1773">
        <v>45926</v>
      </c>
      <c r="L454" s="1764">
        <f t="shared" si="198"/>
        <v>24</v>
      </c>
      <c r="M454" s="1774">
        <f t="shared" ref="M454:M464" si="214">O454+R454+T454</f>
        <v>57789.75</v>
      </c>
      <c r="N454" s="1775">
        <f t="shared" ref="N454:N465" si="215">O454/H454</f>
        <v>1879.75</v>
      </c>
      <c r="O454" s="1777">
        <v>54512.75</v>
      </c>
      <c r="P454" s="1763">
        <v>0.18</v>
      </c>
      <c r="Q454" s="1783">
        <f t="shared" si="199"/>
        <v>95</v>
      </c>
      <c r="R454" s="1763">
        <v>2755</v>
      </c>
      <c r="S454" s="1777">
        <f t="shared" si="200"/>
        <v>18</v>
      </c>
      <c r="T454" s="1763">
        <v>522</v>
      </c>
      <c r="U454" s="1763"/>
      <c r="V454" s="1785">
        <v>183328.89583333299</v>
      </c>
      <c r="W454" s="1785">
        <f t="shared" si="201"/>
        <v>6321.6860632183789</v>
      </c>
      <c r="X454" s="1786">
        <f t="shared" si="196"/>
        <v>0.31237710640041688</v>
      </c>
      <c r="Y454" s="1789">
        <f>VLOOKUP(E454,[11]核心假设及结论!$C$25:$E$45,3,0)</f>
        <v>0.2</v>
      </c>
      <c r="Z454" s="1790">
        <f t="shared" si="195"/>
        <v>56188.659999999996</v>
      </c>
      <c r="AA454" s="1790">
        <f t="shared" si="195"/>
        <v>0</v>
      </c>
      <c r="AB454" s="1790">
        <f t="shared" si="195"/>
        <v>0</v>
      </c>
      <c r="AC454" s="1790">
        <f t="shared" si="194"/>
        <v>0</v>
      </c>
      <c r="AD454" s="1790">
        <f t="shared" si="194"/>
        <v>0</v>
      </c>
      <c r="AE454" s="1790">
        <f t="shared" si="194"/>
        <v>0</v>
      </c>
      <c r="AF454" s="1790">
        <f t="shared" si="194"/>
        <v>0</v>
      </c>
      <c r="AG454" s="1794">
        <v>1937.54</v>
      </c>
      <c r="AH454" s="1794">
        <v>0</v>
      </c>
      <c r="AI454" s="1794">
        <v>0</v>
      </c>
      <c r="AJ454" s="1794">
        <v>0</v>
      </c>
      <c r="AK454" s="1794">
        <v>0</v>
      </c>
      <c r="AL454" s="1794">
        <v>0</v>
      </c>
      <c r="AM454" s="1794">
        <v>0</v>
      </c>
      <c r="AN454" s="1764"/>
      <c r="AO454" s="1764"/>
      <c r="AP454" s="1808">
        <f t="shared" si="202"/>
        <v>1.5618855320020844</v>
      </c>
      <c r="AQ454" s="1812">
        <f>IF(AP454&gt;[11]核心假设及结论!$B$62,[11]核心假设及结论!$D$62,IF(AP454&lt;=[11]核心假设及结论!$B$61,[11]核心假设及结论!$D$60,[11]核心假设及结论!$D$61))</f>
        <v>1</v>
      </c>
      <c r="AR454" s="1809">
        <f t="shared" si="203"/>
        <v>1937.54</v>
      </c>
      <c r="AS454" s="1811">
        <f>AH454*(AS$2&lt;=YEAR($K454))+AR454*$AQ454*(AS$2=YEAR($K454)+1)+INDEX([11]核心假设及结论!$E$17:$E$21,MATCH($D454,[11]核心假设及结论!$B$17:$B$21,0))*(AS$2&gt;YEAR($K454)+1)*AR454</f>
        <v>1937.54</v>
      </c>
      <c r="AT454" s="1809">
        <f>AI454*(AT$2&lt;=YEAR($K454))+AS454*$AQ454*(AT$2=YEAR($K454)+1)+INDEX([11]核心假设及结论!$E$17:$E$21,MATCH($D454,[11]核心假设及结论!$B$17:$B$21,0))*(AT$2&gt;YEAR($K454)+1)*AS454</f>
        <v>1996.862447589197</v>
      </c>
      <c r="AU454" s="1809">
        <f>AJ454*(AU$2&lt;=YEAR($K454))+AT454*$AQ454*(AU$2=YEAR($K454)+1)+INDEX([11]核心假设及结论!$E$17:$E$21,MATCH($D454,[11]核心假设及结论!$B$17:$B$21,0))*(AU$2&gt;YEAR($K454)+1)*AT454</f>
        <v>2058.0011946034242</v>
      </c>
      <c r="AV454" s="1809">
        <f>AK454*(AV$2&lt;=YEAR($K454))+AU454*$AQ454*(AV$2=YEAR($K454)+1)+INDEX([11]核心假设及结论!$E$17:$E$21,MATCH($D454,[11]核心假设及结论!$B$17:$B$21,0))*(AV$2&gt;YEAR($K454)+1)*AU454</f>
        <v>2121.0118514184405</v>
      </c>
      <c r="AW454" s="1809">
        <f>AL454*(AW$2&lt;=YEAR($K454))+AV454*$AQ454*(AW$2=YEAR($K454)+1)+INDEX([11]核心假设及结论!$E$17:$E$21,MATCH($D454,[11]核心假设及结论!$B$17:$B$21,0))*(AW$2&gt;YEAR($K454)+1)*AV454</f>
        <v>2185.9517310554215</v>
      </c>
      <c r="AX454" s="1809">
        <f>AM454*(AX$2&lt;=YEAR($K454))+AW454*$AQ454*(AX$2=YEAR($K454)+1)+INDEX([11]核心假设及结论!$E$17:$E$21,MATCH($D454,[11]核心假设及结论!$B$17:$B$21,0))*(AX$2&gt;YEAR($K454)+1)*AW454</f>
        <v>2252.8799013115449</v>
      </c>
      <c r="AZ454" s="1746">
        <f t="shared" si="204"/>
        <v>45926</v>
      </c>
      <c r="BA454" s="1817">
        <f t="shared" si="197"/>
        <v>45658</v>
      </c>
      <c r="BB454" s="1817">
        <f t="shared" si="205"/>
        <v>45926</v>
      </c>
      <c r="BC454" s="1841">
        <f t="shared" si="206"/>
        <v>46022</v>
      </c>
      <c r="BD454" s="1842">
        <f t="shared" si="207"/>
        <v>269</v>
      </c>
      <c r="BE454" s="1842">
        <f t="shared" si="208"/>
        <v>96</v>
      </c>
      <c r="BG454" s="1843">
        <f t="shared" si="192"/>
        <v>67.426392000000007</v>
      </c>
      <c r="BH454" s="1843">
        <f t="shared" si="188"/>
        <v>67.969363049057506</v>
      </c>
      <c r="BI454" s="1843">
        <f t="shared" si="188"/>
        <v>70.050408589871537</v>
      </c>
      <c r="BJ454" s="1843">
        <f t="shared" si="188"/>
        <v>72.195170345589872</v>
      </c>
      <c r="BK454" s="1843">
        <f t="shared" si="187"/>
        <v>74.4055991413925</v>
      </c>
      <c r="BL454" s="1843">
        <f t="shared" si="187"/>
        <v>76.683705531664714</v>
      </c>
      <c r="BM454" s="1843">
        <f t="shared" si="187"/>
        <v>57.7798885812538</v>
      </c>
      <c r="BO454" s="1739">
        <f t="shared" si="209"/>
        <v>2025</v>
      </c>
      <c r="BP454" s="1742">
        <f>_xlfn.IFNA(INDEX($AR454:$AX454,MATCH(BO454,$AR$2:$AX$2,0))*12/365*[11]核心假设及结论!$C$70*$H454,0)</f>
        <v>55418.952328767118</v>
      </c>
      <c r="BR454" s="1739">
        <f t="shared" si="210"/>
        <v>2027</v>
      </c>
      <c r="BS454" s="1742">
        <f>_xlfn.IFNA(INDEX($AR454:$AX454,MATCH(BR454,$AR$2:$AX$2,0))*12/365*[11]核心假设及结论!$C$70*$H454,0)</f>
        <v>57115.736857071817</v>
      </c>
      <c r="BU454" s="1739">
        <f t="shared" si="211"/>
        <v>2029</v>
      </c>
      <c r="BV454" s="1742">
        <f>_xlfn.IFNA(INDEX($AR454:$AX454,MATCH(BU454,$AR$2:$AX$2,0))*12/365*[11]核心假设及结论!$C$70*$H454,0)</f>
        <v>60666.749941941154</v>
      </c>
      <c r="BX454" s="1739">
        <f t="shared" si="212"/>
        <v>2031</v>
      </c>
      <c r="BY454" s="1742">
        <f>_xlfn.IFNA(INDEX($AR454:$AX454,MATCH(BX454,$AR$2:$AX$2,0))*12/365*[11]核心假设及结论!$C$70*$H454,0)</f>
        <v>64438.537451212404</v>
      </c>
      <c r="CA454" s="1739">
        <f t="shared" si="213"/>
        <v>2033</v>
      </c>
      <c r="CB454" s="1742">
        <f>_xlfn.IFNA(INDEX($AR454:$AX454,MATCH(CA454,$AR$2:$AX$2,0))*12/365*[11]核心假设及结论!$C$70*$H454,0)</f>
        <v>0</v>
      </c>
    </row>
    <row r="455" spans="1:80" ht="30" customHeight="1">
      <c r="A455" s="1763" t="s">
        <v>1687</v>
      </c>
      <c r="B455" s="1757" t="s">
        <v>1748</v>
      </c>
      <c r="C455" s="1764" t="s">
        <v>2607</v>
      </c>
      <c r="D455" s="1764" t="s">
        <v>1685</v>
      </c>
      <c r="E455" s="1764" t="s">
        <v>1920</v>
      </c>
      <c r="F455" s="1765"/>
      <c r="G455" s="1760" t="s">
        <v>1661</v>
      </c>
      <c r="H455" s="1761">
        <v>29</v>
      </c>
      <c r="I455" s="1763" t="s">
        <v>2534</v>
      </c>
      <c r="J455" s="1773">
        <v>45483</v>
      </c>
      <c r="K455" s="1773">
        <v>45847</v>
      </c>
      <c r="L455" s="1764">
        <f t="shared" si="198"/>
        <v>12</v>
      </c>
      <c r="M455" s="1774">
        <f t="shared" si="214"/>
        <v>10629.66</v>
      </c>
      <c r="N455" s="1775">
        <f t="shared" si="215"/>
        <v>258.54000000000002</v>
      </c>
      <c r="O455" s="1777">
        <v>7497.66</v>
      </c>
      <c r="P455" s="1763">
        <v>0.105</v>
      </c>
      <c r="Q455" s="1783">
        <f t="shared" si="199"/>
        <v>90</v>
      </c>
      <c r="R455" s="1763">
        <v>2610</v>
      </c>
      <c r="S455" s="1777">
        <f t="shared" si="200"/>
        <v>18</v>
      </c>
      <c r="T455" s="1763">
        <v>522</v>
      </c>
      <c r="U455" s="1763"/>
      <c r="V455" s="1785"/>
      <c r="W455" s="1785">
        <f t="shared" si="201"/>
        <v>0</v>
      </c>
      <c r="X455" s="1786" t="e">
        <f t="shared" si="196"/>
        <v>#DIV/0!</v>
      </c>
      <c r="Y455" s="1789">
        <f>VLOOKUP(E455,[11]核心假设及结论!$C$25:$E$45,3,0)</f>
        <v>0.25</v>
      </c>
      <c r="Z455" s="1790">
        <f t="shared" si="195"/>
        <v>7497.6600000000008</v>
      </c>
      <c r="AA455" s="1790">
        <f t="shared" si="195"/>
        <v>0</v>
      </c>
      <c r="AB455" s="1790">
        <f t="shared" si="195"/>
        <v>0</v>
      </c>
      <c r="AC455" s="1790">
        <f t="shared" si="194"/>
        <v>0</v>
      </c>
      <c r="AD455" s="1790">
        <f t="shared" si="194"/>
        <v>0</v>
      </c>
      <c r="AE455" s="1790">
        <f t="shared" si="194"/>
        <v>0</v>
      </c>
      <c r="AF455" s="1790">
        <f t="shared" si="194"/>
        <v>0</v>
      </c>
      <c r="AG455" s="1794">
        <v>258.54000000000002</v>
      </c>
      <c r="AH455" s="1794">
        <v>0</v>
      </c>
      <c r="AI455" s="1794">
        <v>0</v>
      </c>
      <c r="AJ455" s="1794">
        <v>0</v>
      </c>
      <c r="AK455" s="1794">
        <v>0</v>
      </c>
      <c r="AL455" s="1794">
        <v>0</v>
      </c>
      <c r="AM455" s="1794">
        <v>0</v>
      </c>
      <c r="AN455" s="1764"/>
      <c r="AO455" s="1764"/>
      <c r="AP455" s="1808">
        <f t="shared" si="202"/>
        <v>1.25</v>
      </c>
      <c r="AQ455" s="1810">
        <f>IF(AP455&gt;[11]核心假设及结论!$B$59,[11]核心假设及结论!$D$59,IF(AP455&lt;=[11]核心假设及结论!$B$58,[11]核心假设及结论!$D$57,[11]核心假设及结论!$D$58))</f>
        <v>1.0069999999999999</v>
      </c>
      <c r="AR455" s="1809">
        <f t="shared" si="203"/>
        <v>258.54000000000002</v>
      </c>
      <c r="AS455" s="1811">
        <f>AH455*(AS$2&lt;=YEAR($K455))+AR455*$AQ455*(AS$2=YEAR($K455)+1)+INDEX([11]核心假设及结论!$E$17:$E$21,MATCH($D455,[11]核心假设及结论!$B$17:$B$21,0))*(AS$2&gt;YEAR($K455)+1)*AR455</f>
        <v>260.34978000000001</v>
      </c>
      <c r="AT455" s="1809">
        <f>AI455*(AT$2&lt;=YEAR($K455))+AS455*$AQ455*(AT$2=YEAR($K455)+1)+INDEX([11]核心假设及结论!$E$17:$E$21,MATCH($D455,[11]核心假设及结论!$B$17:$B$21,0))*(AT$2&gt;YEAR($K455)+1)*AS455</f>
        <v>267.39861777734433</v>
      </c>
      <c r="AU455" s="1809">
        <f>AJ455*(AU$2&lt;=YEAR($K455))+AT455*$AQ455*(AU$2=YEAR($K455)+1)+INDEX([11]核心假设及结论!$E$17:$E$21,MATCH($D455,[11]核心假设及结论!$B$17:$B$21,0))*(AU$2&gt;YEAR($K455)+1)*AT455</f>
        <v>274.63829924970275</v>
      </c>
      <c r="AV455" s="1809">
        <f>AK455*(AV$2&lt;=YEAR($K455))+AU455*$AQ455*(AV$2=YEAR($K455)+1)+INDEX([11]核心假设及结论!$E$17:$E$21,MATCH($D455,[11]核心假设及结论!$B$17:$B$21,0))*(AV$2&gt;YEAR($K455)+1)*AU455</f>
        <v>282.07399141297981</v>
      </c>
      <c r="AW455" s="1809">
        <f>AL455*(AW$2&lt;=YEAR($K455))+AV455*$AQ455*(AW$2=YEAR($K455)+1)+INDEX([11]核心假设及结论!$E$17:$E$21,MATCH($D455,[11]核心假设及结论!$B$17:$B$21,0))*(AW$2&gt;YEAR($K455)+1)*AV455</f>
        <v>289.71100115686403</v>
      </c>
      <c r="AX455" s="1809">
        <f>AM455*(AX$2&lt;=YEAR($K455))+AW455*$AQ455*(AX$2=YEAR($K455)+1)+INDEX([11]核心假设及结论!$E$17:$E$21,MATCH($D455,[11]核心假设及结论!$B$17:$B$21,0))*(AX$2&gt;YEAR($K455)+1)*AW455</f>
        <v>297.55477905238115</v>
      </c>
      <c r="AZ455" s="1746">
        <f t="shared" si="204"/>
        <v>45847</v>
      </c>
      <c r="BA455" s="1817">
        <f t="shared" si="197"/>
        <v>45658</v>
      </c>
      <c r="BB455" s="1817">
        <f t="shared" si="205"/>
        <v>45847</v>
      </c>
      <c r="BC455" s="1841">
        <f t="shared" si="206"/>
        <v>46022</v>
      </c>
      <c r="BD455" s="1842">
        <f t="shared" si="207"/>
        <v>190</v>
      </c>
      <c r="BE455" s="1842">
        <f t="shared" si="208"/>
        <v>175</v>
      </c>
      <c r="BG455" s="1843">
        <f t="shared" si="192"/>
        <v>9.0273880553424668</v>
      </c>
      <c r="BH455" s="1843">
        <f t="shared" si="188"/>
        <v>9.177781719517883</v>
      </c>
      <c r="BI455" s="1843">
        <f t="shared" si="188"/>
        <v>9.4262654881492889</v>
      </c>
      <c r="BJ455" s="1843">
        <f t="shared" si="188"/>
        <v>9.6814768283399495</v>
      </c>
      <c r="BK455" s="1843">
        <f t="shared" si="187"/>
        <v>9.9435978856655467</v>
      </c>
      <c r="BL455" s="1843">
        <f t="shared" si="187"/>
        <v>10.212815737200508</v>
      </c>
      <c r="BM455" s="1843">
        <f t="shared" si="187"/>
        <v>5.3902252029982041</v>
      </c>
      <c r="BO455" s="1739">
        <f t="shared" si="209"/>
        <v>2025</v>
      </c>
      <c r="BP455" s="1742">
        <f>_xlfn.IFNA(INDEX($AR455:$AX455,MATCH(BO455,$AR$2:$AX$2,0))*12/365*[11]核心假设及结论!$C$70*$H455,0)</f>
        <v>7394.9523287671254</v>
      </c>
      <c r="BR455" s="1739">
        <f t="shared" si="210"/>
        <v>2026</v>
      </c>
      <c r="BS455" s="1742">
        <f>_xlfn.IFNA(INDEX($AR455:$AX455,MATCH(BR455,$AR$2:$AX$2,0))*12/365*[11]核心假设及结论!$C$70*$H455,0)</f>
        <v>7446.7169950684938</v>
      </c>
      <c r="BU455" s="1739">
        <f t="shared" si="211"/>
        <v>2027</v>
      </c>
      <c r="BV455" s="1742">
        <f>_xlfn.IFNA(INDEX($AR455:$AX455,MATCH(BU455,$AR$2:$AX$2,0))*12/365*[11]核心假设及结论!$C$70*$H455,0)</f>
        <v>7648.3330673848632</v>
      </c>
      <c r="BX455" s="1739">
        <f t="shared" si="212"/>
        <v>2028</v>
      </c>
      <c r="BY455" s="1742">
        <f>_xlfn.IFNA(INDEX($AR455:$AX455,MATCH(BX455,$AR$2:$AX$2,0))*12/365*[11]核心假设及结论!$C$70*$H455,0)</f>
        <v>7855.4077922380729</v>
      </c>
      <c r="CA455" s="1739">
        <f t="shared" si="213"/>
        <v>2029</v>
      </c>
      <c r="CB455" s="1742">
        <f>_xlfn.IFNA(INDEX($AR455:$AX455,MATCH(CA455,$AR$2:$AX$2,0))*12/365*[11]核心假设及结论!$C$70*$H455,0)</f>
        <v>8068.0889598671483</v>
      </c>
    </row>
    <row r="456" spans="1:80" ht="30" customHeight="1">
      <c r="A456" s="1763" t="s">
        <v>1687</v>
      </c>
      <c r="B456" s="1757" t="s">
        <v>2608</v>
      </c>
      <c r="C456" s="1764" t="s">
        <v>2609</v>
      </c>
      <c r="D456" s="1764" t="s">
        <v>1676</v>
      </c>
      <c r="E456" s="1764" t="s">
        <v>1677</v>
      </c>
      <c r="F456" s="1765"/>
      <c r="G456" s="1760" t="s">
        <v>1661</v>
      </c>
      <c r="H456" s="1761">
        <v>29</v>
      </c>
      <c r="I456" s="1763" t="s">
        <v>2534</v>
      </c>
      <c r="J456" s="1773">
        <v>45275</v>
      </c>
      <c r="K456" s="1773">
        <v>46005</v>
      </c>
      <c r="L456" s="1764">
        <f t="shared" si="198"/>
        <v>24</v>
      </c>
      <c r="M456" s="1774">
        <f t="shared" si="214"/>
        <v>9483</v>
      </c>
      <c r="N456" s="1775">
        <f t="shared" si="215"/>
        <v>219</v>
      </c>
      <c r="O456" s="1777">
        <v>6351</v>
      </c>
      <c r="P456" s="1763">
        <v>0.15</v>
      </c>
      <c r="Q456" s="1783">
        <f t="shared" si="199"/>
        <v>90</v>
      </c>
      <c r="R456" s="1763">
        <v>2610</v>
      </c>
      <c r="S456" s="1777">
        <f t="shared" si="200"/>
        <v>18</v>
      </c>
      <c r="T456" s="1763">
        <v>522</v>
      </c>
      <c r="U456" s="1763"/>
      <c r="V456" s="1785">
        <v>65808.583333333299</v>
      </c>
      <c r="W456" s="1785">
        <f t="shared" si="201"/>
        <v>2269.2614942528726</v>
      </c>
      <c r="X456" s="1786">
        <f t="shared" si="196"/>
        <v>0.13616764783722496</v>
      </c>
      <c r="Y456" s="1789">
        <f>VLOOKUP(E456,[11]核心假设及结论!$C$25:$E$45,3,0)</f>
        <v>0.25</v>
      </c>
      <c r="Z456" s="1790">
        <f t="shared" si="195"/>
        <v>10585</v>
      </c>
      <c r="AA456" s="1790">
        <f t="shared" si="195"/>
        <v>0</v>
      </c>
      <c r="AB456" s="1790">
        <f t="shared" si="195"/>
        <v>0</v>
      </c>
      <c r="AC456" s="1790">
        <f t="shared" si="194"/>
        <v>0</v>
      </c>
      <c r="AD456" s="1790">
        <f t="shared" si="194"/>
        <v>0</v>
      </c>
      <c r="AE456" s="1790">
        <f t="shared" si="194"/>
        <v>0</v>
      </c>
      <c r="AF456" s="1790">
        <f t="shared" si="194"/>
        <v>0</v>
      </c>
      <c r="AG456" s="1794">
        <v>365</v>
      </c>
      <c r="AH456" s="1794">
        <v>0</v>
      </c>
      <c r="AI456" s="1794">
        <v>0</v>
      </c>
      <c r="AJ456" s="1794">
        <v>0</v>
      </c>
      <c r="AK456" s="1794">
        <v>0</v>
      </c>
      <c r="AL456" s="1794">
        <v>0</v>
      </c>
      <c r="AM456" s="1794">
        <v>0</v>
      </c>
      <c r="AN456" s="1764"/>
      <c r="AO456" s="1764"/>
      <c r="AP456" s="1808">
        <f t="shared" si="202"/>
        <v>0.54467059134889984</v>
      </c>
      <c r="AQ456" s="1808">
        <f>IF(AP456&gt;[11]核心假设及结论!$B$65,[11]核心假设及结论!$D$65,IF(AP456&lt;=[11]核心假设及结论!$B$64,[11]核心假设及结论!$D$63,[11]核心假设及结论!$D$64))</f>
        <v>1</v>
      </c>
      <c r="AR456" s="1809">
        <f t="shared" si="203"/>
        <v>365</v>
      </c>
      <c r="AS456" s="1811">
        <f>AH456*(AS$2&lt;=YEAR($K456))+AR456*$AQ456*(AS$2=YEAR($K456)+1)+INDEX([11]核心假设及结论!$E$17:$E$21,MATCH($D456,[11]核心假设及结论!$B$17:$B$21,0))*(AS$2&gt;YEAR($K456)+1)*AR456</f>
        <v>365</v>
      </c>
      <c r="AT456" s="1809">
        <f>AI456*(AT$2&lt;=YEAR($K456))+AS456*$AQ456*(AT$2=YEAR($K456)+1)+INDEX([11]核心假设及结论!$E$17:$E$21,MATCH($D456,[11]核心假设及结论!$B$17:$B$21,0))*(AT$2&gt;YEAR($K456)+1)*AS456</f>
        <v>377.61990693658748</v>
      </c>
      <c r="AU456" s="1809">
        <f>AJ456*(AU$2&lt;=YEAR($K456))+AT456*$AQ456*(AU$2=YEAR($K456)+1)+INDEX([11]核心假设及结论!$E$17:$E$21,MATCH($D456,[11]核心假设及结论!$B$17:$B$21,0))*(AU$2&gt;YEAR($K456)+1)*AT456</f>
        <v>390.67614825971776</v>
      </c>
      <c r="AV456" s="1809">
        <f>AK456*(AV$2&lt;=YEAR($K456))+AU456*$AQ456*(AV$2=YEAR($K456)+1)+INDEX([11]核心假设及结论!$E$17:$E$21,MATCH($D456,[11]核心假设及结论!$B$17:$B$21,0))*(AV$2&gt;YEAR($K456)+1)*AU456</f>
        <v>404.18381026898373</v>
      </c>
      <c r="AW456" s="1809">
        <f>AL456*(AW$2&lt;=YEAR($K456))+AV456*$AQ456*(AW$2=YEAR($K456)+1)+INDEX([11]核心假设及结论!$E$17:$E$21,MATCH($D456,[11]核心假设及结论!$B$17:$B$21,0))*(AW$2&gt;YEAR($K456)+1)*AV456</f>
        <v>418.15850087410678</v>
      </c>
      <c r="AX456" s="1809">
        <f>AM456*(AX$2&lt;=YEAR($K456))+AW456*$AQ456*(AX$2=YEAR($K456)+1)+INDEX([11]核心假设及结论!$E$17:$E$21,MATCH($D456,[11]核心假设及结论!$B$17:$B$21,0))*(AX$2&gt;YEAR($K456)+1)*AW456</f>
        <v>432.61636762965242</v>
      </c>
      <c r="AZ456" s="1746">
        <f t="shared" si="204"/>
        <v>46005</v>
      </c>
      <c r="BA456" s="1817">
        <f t="shared" si="197"/>
        <v>45658</v>
      </c>
      <c r="BB456" s="1817">
        <f t="shared" si="205"/>
        <v>46005</v>
      </c>
      <c r="BC456" s="1841">
        <f t="shared" si="206"/>
        <v>46022</v>
      </c>
      <c r="BD456" s="1842">
        <f t="shared" si="207"/>
        <v>348</v>
      </c>
      <c r="BE456" s="1842">
        <f t="shared" si="208"/>
        <v>17</v>
      </c>
      <c r="BG456" s="1843">
        <f t="shared" si="192"/>
        <v>12.702</v>
      </c>
      <c r="BH456" s="1843">
        <f t="shared" si="188"/>
        <v>12.722454621763521</v>
      </c>
      <c r="BI456" s="1843">
        <f t="shared" si="188"/>
        <v>13.162334603493965</v>
      </c>
      <c r="BJ456" s="1843">
        <f t="shared" si="188"/>
        <v>13.617423474081146</v>
      </c>
      <c r="BK456" s="1843">
        <f t="shared" si="187"/>
        <v>14.088247082188003</v>
      </c>
      <c r="BL456" s="1843">
        <f t="shared" si="187"/>
        <v>14.575349457741055</v>
      </c>
      <c r="BM456" s="1843">
        <f t="shared" si="187"/>
        <v>14.353855502855186</v>
      </c>
      <c r="BO456" s="1739">
        <f t="shared" si="209"/>
        <v>2025</v>
      </c>
      <c r="BP456" s="1742">
        <f>_xlfn.IFNA(INDEX($AR456:$AX456,MATCH(BO456,$AR$2:$AX$2,0))*12/365*[11]核心假设及结论!$C$70*$H456,0)</f>
        <v>10440</v>
      </c>
      <c r="BR456" s="1739">
        <f t="shared" si="210"/>
        <v>2027</v>
      </c>
      <c r="BS456" s="1742">
        <f>_xlfn.IFNA(INDEX($AR456:$AX456,MATCH(BR456,$AR$2:$AX$2,0))*12/365*[11]核心假设及结论!$C$70*$H456,0)</f>
        <v>10800.963913473897</v>
      </c>
      <c r="BU456" s="1739">
        <f t="shared" si="211"/>
        <v>2029</v>
      </c>
      <c r="BV456" s="1742">
        <f>_xlfn.IFNA(INDEX($AR456:$AX456,MATCH(BU456,$AR$2:$AX$2,0))*12/365*[11]核心假设及结论!$C$70*$H456,0)</f>
        <v>11560.76432659778</v>
      </c>
      <c r="BX456" s="1739">
        <f t="shared" si="212"/>
        <v>2031</v>
      </c>
      <c r="BY456" s="1742">
        <f>_xlfn.IFNA(INDEX($AR456:$AX456,MATCH(BX456,$AR$2:$AX$2,0))*12/365*[11]核心假设及结论!$C$70*$H456,0)</f>
        <v>12374.013364530332</v>
      </c>
      <c r="CA456" s="1739">
        <f t="shared" si="213"/>
        <v>2033</v>
      </c>
      <c r="CB456" s="1742">
        <f>_xlfn.IFNA(INDEX($AR456:$AX456,MATCH(CA456,$AR$2:$AX$2,0))*12/365*[11]核心假设及结论!$C$70*$H456,0)</f>
        <v>0</v>
      </c>
    </row>
    <row r="457" spans="1:80" ht="30" customHeight="1">
      <c r="A457" s="1763" t="s">
        <v>1666</v>
      </c>
      <c r="B457" s="1757" t="s">
        <v>2610</v>
      </c>
      <c r="C457" s="1764" t="s">
        <v>2611</v>
      </c>
      <c r="D457" s="1764" t="s">
        <v>1698</v>
      </c>
      <c r="E457" s="1764" t="s">
        <v>1698</v>
      </c>
      <c r="F457" s="1765"/>
      <c r="G457" s="1760" t="s">
        <v>1661</v>
      </c>
      <c r="H457" s="1761">
        <v>28</v>
      </c>
      <c r="I457" s="1763" t="s">
        <v>2534</v>
      </c>
      <c r="J457" s="1773">
        <v>44899</v>
      </c>
      <c r="K457" s="1773">
        <v>46359</v>
      </c>
      <c r="L457" s="1764">
        <f t="shared" si="198"/>
        <v>48</v>
      </c>
      <c r="M457" s="1774">
        <f t="shared" si="214"/>
        <v>43192.24</v>
      </c>
      <c r="N457" s="1775">
        <f t="shared" si="215"/>
        <v>1429.58</v>
      </c>
      <c r="O457" s="1777">
        <v>40028.239999999998</v>
      </c>
      <c r="P457" s="1763">
        <v>0.18</v>
      </c>
      <c r="Q457" s="1783">
        <f t="shared" si="199"/>
        <v>95</v>
      </c>
      <c r="R457" s="1763">
        <v>2660</v>
      </c>
      <c r="S457" s="1777">
        <f t="shared" si="200"/>
        <v>18</v>
      </c>
      <c r="T457" s="1763">
        <v>504</v>
      </c>
      <c r="U457" s="1763"/>
      <c r="V457" s="1785">
        <v>223787.69750000001</v>
      </c>
      <c r="W457" s="1785">
        <f t="shared" si="201"/>
        <v>7992.4177678571432</v>
      </c>
      <c r="X457" s="1786">
        <f t="shared" si="196"/>
        <v>0.19075329196771415</v>
      </c>
      <c r="Y457" s="1789">
        <f>VLOOKUP(E457,[11]核心假设及结论!$C$25:$E$45,3,0)</f>
        <v>0.2</v>
      </c>
      <c r="Z457" s="1790">
        <f t="shared" si="195"/>
        <v>41305.880000000005</v>
      </c>
      <c r="AA457" s="1790">
        <f t="shared" si="195"/>
        <v>41731.760000000002</v>
      </c>
      <c r="AB457" s="1790">
        <f t="shared" si="195"/>
        <v>0</v>
      </c>
      <c r="AC457" s="1790">
        <f t="shared" si="194"/>
        <v>0</v>
      </c>
      <c r="AD457" s="1790">
        <f t="shared" si="194"/>
        <v>0</v>
      </c>
      <c r="AE457" s="1790">
        <f t="shared" si="194"/>
        <v>0</v>
      </c>
      <c r="AF457" s="1790">
        <f t="shared" si="194"/>
        <v>0</v>
      </c>
      <c r="AG457" s="1794">
        <v>1475.21</v>
      </c>
      <c r="AH457" s="1794">
        <v>1490.42</v>
      </c>
      <c r="AI457" s="1794">
        <v>0</v>
      </c>
      <c r="AJ457" s="1794">
        <v>0</v>
      </c>
      <c r="AK457" s="1794">
        <v>0</v>
      </c>
      <c r="AL457" s="1794">
        <v>0</v>
      </c>
      <c r="AM457" s="1794">
        <v>0</v>
      </c>
      <c r="AN457" s="1764"/>
      <c r="AO457" s="1764"/>
      <c r="AP457" s="1808">
        <f t="shared" si="202"/>
        <v>0.95376645983857067</v>
      </c>
      <c r="AQ457" s="1812">
        <f>IF(AP457&gt;[11]核心假设及结论!$B$62,[11]核心假设及结论!$D$62,IF(AP457&lt;=[11]核心假设及结论!$B$61,[11]核心假设及结论!$D$60,[11]核心假设及结论!$D$61))</f>
        <v>1.0811176582269599</v>
      </c>
      <c r="AR457" s="1809">
        <f t="shared" si="203"/>
        <v>1475.21</v>
      </c>
      <c r="AS457" s="1809">
        <f>AH457*(AS$2&lt;=YEAR($K457))+AR457*$AQ457*(AS$2=YEAR($K457)+1)+INDEX([11]核心假设及结论!$E$17:$E$21,MATCH($D457,[11]核心假设及结论!$B$17:$B$21,0))*(AS$2&gt;YEAR($K457)+1)*AR457</f>
        <v>1490.42</v>
      </c>
      <c r="AT457" s="1811">
        <f>AI457*(AT$2&lt;=YEAR($K457))+AS457*$AQ457*(AT$2=YEAR($K457)+1)+INDEX([11]核心假设及结论!$E$17:$E$21,MATCH($D457,[11]核心假设及结论!$B$17:$B$21,0))*(AT$2&gt;YEAR($K457)+1)*AS457</f>
        <v>1611.3193801746256</v>
      </c>
      <c r="AU457" s="1809">
        <f>AJ457*(AU$2&lt;=YEAR($K457))+AT457*$AQ457*(AU$2=YEAR($K457)+1)+INDEX([11]核心假设及结论!$E$17:$E$21,MATCH($D457,[11]核心假设及结论!$B$17:$B$21,0))*(AU$2&gt;YEAR($K457)+1)*AT457</f>
        <v>1660.6537988084947</v>
      </c>
      <c r="AV457" s="1809">
        <f>AK457*(AV$2&lt;=YEAR($K457))+AU457*$AQ457*(AV$2=YEAR($K457)+1)+INDEX([11]核心假设及结论!$E$17:$E$21,MATCH($D457,[11]核心假设及结论!$B$17:$B$21,0))*(AV$2&gt;YEAR($K457)+1)*AU457</f>
        <v>1711.4987093360801</v>
      </c>
      <c r="AW457" s="1809">
        <f>AL457*(AW$2&lt;=YEAR($K457))+AV457*$AQ457*(AW$2=YEAR($K457)+1)+INDEX([11]核心假设及结论!$E$17:$E$21,MATCH($D457,[11]核心假设及结论!$B$17:$B$21,0))*(AW$2&gt;YEAR($K457)+1)*AV457</f>
        <v>1763.900359099991</v>
      </c>
      <c r="AX457" s="1809">
        <f>AM457*(AX$2&lt;=YEAR($K457))+AW457*$AQ457*(AX$2=YEAR($K457)+1)+INDEX([11]核心假设及结论!$E$17:$E$21,MATCH($D457,[11]核心假设及结论!$B$17:$B$21,0))*(AX$2&gt;YEAR($K457)+1)*AW457</f>
        <v>1817.9064114164721</v>
      </c>
      <c r="AZ457" s="1746">
        <f t="shared" si="204"/>
        <v>46359</v>
      </c>
      <c r="BA457" s="1817">
        <f t="shared" si="197"/>
        <v>45658</v>
      </c>
      <c r="BB457" s="1817">
        <f t="shared" si="205"/>
        <v>45994</v>
      </c>
      <c r="BC457" s="1841">
        <f t="shared" si="206"/>
        <v>46022</v>
      </c>
      <c r="BD457" s="1842">
        <f t="shared" si="207"/>
        <v>337</v>
      </c>
      <c r="BE457" s="1842">
        <f t="shared" si="208"/>
        <v>28</v>
      </c>
      <c r="BG457" s="1843">
        <f t="shared" si="192"/>
        <v>49.606260295890408</v>
      </c>
      <c r="BH457" s="1843">
        <f t="shared" si="188"/>
        <v>50.389734292789825</v>
      </c>
      <c r="BI457" s="1843">
        <f t="shared" si="188"/>
        <v>54.267492327431086</v>
      </c>
      <c r="BJ457" s="1843">
        <f t="shared" si="188"/>
        <v>55.929022138114334</v>
      </c>
      <c r="BK457" s="1843">
        <f t="shared" si="187"/>
        <v>57.641423680535823</v>
      </c>
      <c r="BL457" s="1843">
        <f t="shared" si="187"/>
        <v>59.40625451512777</v>
      </c>
      <c r="BM457" s="1843">
        <f t="shared" si="187"/>
        <v>56.395939391098622</v>
      </c>
      <c r="BO457" s="1739">
        <f t="shared" si="209"/>
        <v>2026</v>
      </c>
      <c r="BP457" s="1742">
        <f>_xlfn.IFNA(INDEX($AR457:$AX457,MATCH(BO457,$AR$2:$AX$2,0))*12/365*[11]核心假设及结论!$C$70*$H457,0)</f>
        <v>41160.092054794521</v>
      </c>
      <c r="BR457" s="1739">
        <f t="shared" si="210"/>
        <v>2030</v>
      </c>
      <c r="BS457" s="1742">
        <f>_xlfn.IFNA(INDEX($AR457:$AX457,MATCH(BR457,$AR$2:$AX$2,0))*12/365*[11]核心假设及结论!$C$70*$H457,0)</f>
        <v>48712.64553350112</v>
      </c>
      <c r="BU457" s="1739">
        <f t="shared" si="211"/>
        <v>2034</v>
      </c>
      <c r="BV457" s="1742">
        <f>_xlfn.IFNA(INDEX($AR457:$AX457,MATCH(BU457,$AR$2:$AX$2,0))*12/365*[11]核心假设及结论!$C$70*$H457,0)</f>
        <v>0</v>
      </c>
      <c r="BX457" s="1739">
        <f t="shared" si="212"/>
        <v>2038</v>
      </c>
      <c r="BY457" s="1742">
        <f>_xlfn.IFNA(INDEX($AR457:$AX457,MATCH(BX457,$AR$2:$AX$2,0))*12/365*[11]核心假设及结论!$C$70*$H457,0)</f>
        <v>0</v>
      </c>
      <c r="CA457" s="1739">
        <f t="shared" si="213"/>
        <v>2042</v>
      </c>
      <c r="CB457" s="1742">
        <f>_xlfn.IFNA(INDEX($AR457:$AX457,MATCH(CA457,$AR$2:$AX$2,0))*12/365*[11]核心假设及结论!$C$70*$H457,0)</f>
        <v>0</v>
      </c>
    </row>
    <row r="458" spans="1:80" ht="30" customHeight="1">
      <c r="A458" s="1763" t="s">
        <v>1687</v>
      </c>
      <c r="B458" s="1757" t="s">
        <v>2612</v>
      </c>
      <c r="C458" s="1764" t="s">
        <v>2613</v>
      </c>
      <c r="D458" s="1764" t="s">
        <v>1685</v>
      </c>
      <c r="E458" s="1764" t="s">
        <v>1871</v>
      </c>
      <c r="F458" s="1765"/>
      <c r="G458" s="1760" t="s">
        <v>1661</v>
      </c>
      <c r="H458" s="1761">
        <v>27</v>
      </c>
      <c r="I458" s="1763" t="s">
        <v>2534</v>
      </c>
      <c r="J458" s="1773">
        <v>44887</v>
      </c>
      <c r="K458" s="1773">
        <v>46347</v>
      </c>
      <c r="L458" s="1764">
        <f t="shared" si="198"/>
        <v>48</v>
      </c>
      <c r="M458" s="1774">
        <f t="shared" si="214"/>
        <v>35094.06</v>
      </c>
      <c r="N458" s="1775">
        <f t="shared" si="215"/>
        <v>1186.1600000000001</v>
      </c>
      <c r="O458" s="1777">
        <v>32026.32</v>
      </c>
      <c r="P458" s="1763">
        <v>0.15</v>
      </c>
      <c r="Q458" s="1783">
        <f t="shared" si="199"/>
        <v>95</v>
      </c>
      <c r="R458" s="1763">
        <v>2565</v>
      </c>
      <c r="S458" s="1777">
        <f t="shared" si="200"/>
        <v>18.62</v>
      </c>
      <c r="T458" s="1763">
        <v>502.74</v>
      </c>
      <c r="U458" s="1763"/>
      <c r="V458" s="1785">
        <v>231878</v>
      </c>
      <c r="W458" s="1785">
        <f t="shared" si="201"/>
        <v>8588.0740740740748</v>
      </c>
      <c r="X458" s="1786">
        <f>(N458+Q458+S458)*H458/V458</f>
        <v>0.15134708769266597</v>
      </c>
      <c r="Y458" s="1789">
        <f>VLOOKUP(E458,[11]核心假设及结论!$C$25:$E$45,3,0)</f>
        <v>0.2</v>
      </c>
      <c r="Z458" s="1790">
        <f t="shared" si="195"/>
        <v>35313.840000000004</v>
      </c>
      <c r="AA458" s="1790">
        <f t="shared" si="195"/>
        <v>36373.050000000003</v>
      </c>
      <c r="AB458" s="1790">
        <f t="shared" si="195"/>
        <v>0</v>
      </c>
      <c r="AC458" s="1790">
        <f t="shared" si="194"/>
        <v>0</v>
      </c>
      <c r="AD458" s="1790">
        <f t="shared" si="194"/>
        <v>0</v>
      </c>
      <c r="AE458" s="1790">
        <f t="shared" si="194"/>
        <v>0</v>
      </c>
      <c r="AF458" s="1790">
        <f t="shared" si="194"/>
        <v>0</v>
      </c>
      <c r="AG458" s="1794">
        <v>1307.92</v>
      </c>
      <c r="AH458" s="1794">
        <v>1347.15</v>
      </c>
      <c r="AI458" s="1794">
        <v>0</v>
      </c>
      <c r="AJ458" s="1794">
        <v>0</v>
      </c>
      <c r="AK458" s="1794">
        <v>0</v>
      </c>
      <c r="AL458" s="1794">
        <v>0</v>
      </c>
      <c r="AM458" s="1794">
        <v>0</v>
      </c>
      <c r="AN458" s="1764"/>
      <c r="AO458" s="1764"/>
      <c r="AP458" s="1808">
        <f t="shared" si="202"/>
        <v>0.7567354384633298</v>
      </c>
      <c r="AQ458" s="1810">
        <f>IF(AP458&gt;[11]核心假设及结论!$B$59,[11]核心假设及结论!$D$59,IF(AP458&lt;=[11]核心假设及结论!$B$58,[11]核心假设及结论!$D$57,[11]核心假设及结论!$D$58))</f>
        <v>1.0342640124442799</v>
      </c>
      <c r="AR458" s="1809">
        <f t="shared" si="203"/>
        <v>1307.92</v>
      </c>
      <c r="AS458" s="1809">
        <f>AH458*(AS$2&lt;=YEAR($K458))+AR458*$AQ458*(AS$2=YEAR($K458)+1)+INDEX([11]核心假设及结论!$E$17:$E$21,MATCH($D458,[11]核心假设及结论!$B$17:$B$21,0))*(AS$2&gt;YEAR($K458)+1)*AR458</f>
        <v>1347.15</v>
      </c>
      <c r="AT458" s="1811">
        <f>AI458*(AT$2&lt;=YEAR($K458))+AS458*$AQ458*(AT$2=YEAR($K458)+1)+INDEX([11]核心假设及结论!$E$17:$E$21,MATCH($D458,[11]核心假设及结论!$B$17:$B$21,0))*(AT$2&gt;YEAR($K458)+1)*AS458</f>
        <v>1393.3087643643119</v>
      </c>
      <c r="AU458" s="1809">
        <f>AJ458*(AU$2&lt;=YEAR($K458))+AT458*$AQ458*(AU$2=YEAR($K458)+1)+INDEX([11]核心假设及结论!$E$17:$E$21,MATCH($D458,[11]核心假设及结论!$B$17:$B$21,0))*(AU$2&gt;YEAR($K458)+1)*AT458</f>
        <v>1431.0318899753881</v>
      </c>
      <c r="AV458" s="1809">
        <f>AK458*(AV$2&lt;=YEAR($K458))+AU458*$AQ458*(AV$2=YEAR($K458)+1)+INDEX([11]核心假设及结论!$E$17:$E$21,MATCH($D458,[11]核心假设及结论!$B$17:$B$21,0))*(AV$2&gt;YEAR($K458)+1)*AU458</f>
        <v>1469.7763500115861</v>
      </c>
      <c r="AW458" s="1809">
        <f>AL458*(AW$2&lt;=YEAR($K458))+AV458*$AQ458*(AW$2=YEAR($K458)+1)+INDEX([11]核心假设及结论!$E$17:$E$21,MATCH($D458,[11]核心假设及结论!$B$17:$B$21,0))*(AW$2&gt;YEAR($K458)+1)*AV458</f>
        <v>1509.5697965826141</v>
      </c>
      <c r="AX458" s="1809">
        <f>AM458*(AX$2&lt;=YEAR($K458))+AW458*$AQ458*(AX$2=YEAR($K458)+1)+INDEX([11]核心假设及结论!$E$17:$E$21,MATCH($D458,[11]核心假设及结论!$B$17:$B$21,0))*(AX$2&gt;YEAR($K458)+1)*AW458</f>
        <v>1550.4406304649763</v>
      </c>
      <c r="AZ458" s="1746">
        <f t="shared" si="204"/>
        <v>46347</v>
      </c>
      <c r="BA458" s="1817">
        <f t="shared" si="197"/>
        <v>45658</v>
      </c>
      <c r="BB458" s="1817">
        <f t="shared" si="205"/>
        <v>45982</v>
      </c>
      <c r="BC458" s="1841">
        <f t="shared" si="206"/>
        <v>46022</v>
      </c>
      <c r="BD458" s="1842">
        <f t="shared" si="207"/>
        <v>325</v>
      </c>
      <c r="BE458" s="1842">
        <f t="shared" si="208"/>
        <v>40</v>
      </c>
      <c r="BG458" s="1843">
        <f t="shared" si="192"/>
        <v>42.515901369863009</v>
      </c>
      <c r="BH458" s="1843">
        <f t="shared" si="188"/>
        <v>43.811555229085343</v>
      </c>
      <c r="BI458" s="1843">
        <f t="shared" si="188"/>
        <v>45.277146899080293</v>
      </c>
      <c r="BJ458" s="1843">
        <f t="shared" si="188"/>
        <v>46.503002605632467</v>
      </c>
      <c r="BK458" s="1843">
        <f t="shared" si="187"/>
        <v>47.762047731487861</v>
      </c>
      <c r="BL458" s="1843">
        <f t="shared" si="187"/>
        <v>49.055180863280917</v>
      </c>
      <c r="BM458" s="1843">
        <f t="shared" si="187"/>
        <v>44.729150243277253</v>
      </c>
      <c r="BO458" s="1739">
        <f t="shared" si="209"/>
        <v>2026</v>
      </c>
      <c r="BP458" s="1742">
        <f>_xlfn.IFNA(INDEX($AR458:$AX458,MATCH(BO458,$AR$2:$AX$2,0))*12/365*[11]核心假设及结论!$C$70*$H458,0)</f>
        <v>35874.789041095893</v>
      </c>
      <c r="BR458" s="1739">
        <f t="shared" si="210"/>
        <v>2030</v>
      </c>
      <c r="BS458" s="1742">
        <f>_xlfn.IFNA(INDEX($AR458:$AX458,MATCH(BR458,$AR$2:$AX$2,0))*12/365*[11]核心假设及结论!$C$70*$H458,0)</f>
        <v>40200.050473378105</v>
      </c>
      <c r="BU458" s="1739">
        <f t="shared" si="211"/>
        <v>2034</v>
      </c>
      <c r="BV458" s="1742">
        <f>_xlfn.IFNA(INDEX($AR458:$AX458,MATCH(BU458,$AR$2:$AX$2,0))*12/365*[11]核心假设及结论!$C$70*$H458,0)</f>
        <v>0</v>
      </c>
      <c r="BX458" s="1739">
        <f t="shared" si="212"/>
        <v>2038</v>
      </c>
      <c r="BY458" s="1742">
        <f>_xlfn.IFNA(INDEX($AR458:$AX458,MATCH(BX458,$AR$2:$AX$2,0))*12/365*[11]核心假设及结论!$C$70*$H458,0)</f>
        <v>0</v>
      </c>
      <c r="CA458" s="1739">
        <f t="shared" si="213"/>
        <v>2042</v>
      </c>
      <c r="CB458" s="1742">
        <f>_xlfn.IFNA(INDEX($AR458:$AX458,MATCH(CA458,$AR$2:$AX$2,0))*12/365*[11]核心假设及结论!$C$70*$H458,0)</f>
        <v>0</v>
      </c>
    </row>
    <row r="459" spans="1:80" ht="30" customHeight="1">
      <c r="A459" s="1763" t="s">
        <v>1687</v>
      </c>
      <c r="B459" s="1757" t="s">
        <v>2614</v>
      </c>
      <c r="C459" s="1764" t="s">
        <v>2615</v>
      </c>
      <c r="D459" s="1764" t="s">
        <v>1698</v>
      </c>
      <c r="E459" s="1764" t="s">
        <v>1698</v>
      </c>
      <c r="F459" s="1765"/>
      <c r="G459" s="1763" t="s">
        <v>1682</v>
      </c>
      <c r="H459" s="1761">
        <v>24</v>
      </c>
      <c r="I459" s="1763" t="s">
        <v>2534</v>
      </c>
      <c r="J459" s="1773">
        <v>45530</v>
      </c>
      <c r="K459" s="1773">
        <v>45894</v>
      </c>
      <c r="L459" s="1764">
        <f t="shared" si="198"/>
        <v>12</v>
      </c>
      <c r="M459" s="1774">
        <f t="shared" si="214"/>
        <v>18055.919999999998</v>
      </c>
      <c r="N459" s="1775">
        <f t="shared" si="215"/>
        <v>608.33000000000004</v>
      </c>
      <c r="O459" s="1777">
        <v>14599.92</v>
      </c>
      <c r="P459" s="1763">
        <v>0</v>
      </c>
      <c r="Q459" s="1783">
        <f t="shared" si="199"/>
        <v>90</v>
      </c>
      <c r="R459" s="1763">
        <v>2160</v>
      </c>
      <c r="S459" s="1777">
        <f t="shared" si="200"/>
        <v>54</v>
      </c>
      <c r="T459" s="1763">
        <v>1296</v>
      </c>
      <c r="U459" s="1763"/>
      <c r="V459" s="1785"/>
      <c r="W459" s="1785">
        <f t="shared" si="201"/>
        <v>0</v>
      </c>
      <c r="X459" s="1786" t="e">
        <f t="shared" ref="X459:X465" si="216">(N459+Q459)*H459/V459</f>
        <v>#DIV/0!</v>
      </c>
      <c r="Y459" s="1789">
        <f>VLOOKUP(E459,[11]核心假设及结论!$C$25:$E$45,3,0)</f>
        <v>0.2</v>
      </c>
      <c r="Z459" s="1790">
        <f t="shared" si="195"/>
        <v>14599.920000000002</v>
      </c>
      <c r="AA459" s="1790">
        <f t="shared" si="195"/>
        <v>0</v>
      </c>
      <c r="AB459" s="1790">
        <f t="shared" si="195"/>
        <v>0</v>
      </c>
      <c r="AC459" s="1790">
        <f t="shared" si="194"/>
        <v>0</v>
      </c>
      <c r="AD459" s="1790">
        <f t="shared" si="194"/>
        <v>0</v>
      </c>
      <c r="AE459" s="1790">
        <f t="shared" si="194"/>
        <v>0</v>
      </c>
      <c r="AF459" s="1790">
        <f t="shared" si="194"/>
        <v>0</v>
      </c>
      <c r="AG459" s="1794">
        <v>608.33000000000004</v>
      </c>
      <c r="AH459" s="1794">
        <v>0</v>
      </c>
      <c r="AI459" s="1794">
        <v>0</v>
      </c>
      <c r="AJ459" s="1794">
        <v>0</v>
      </c>
      <c r="AK459" s="1794">
        <v>0</v>
      </c>
      <c r="AL459" s="1794">
        <v>0</v>
      </c>
      <c r="AM459" s="1794">
        <v>0</v>
      </c>
      <c r="AN459" s="1764"/>
      <c r="AO459" s="1764"/>
      <c r="AP459" s="1808">
        <f t="shared" si="202"/>
        <v>1.25</v>
      </c>
      <c r="AQ459" s="1812">
        <f>IF(AP459&gt;[11]核心假设及结论!$B$62,[11]核心假设及结论!$D$62,IF(AP459&lt;=[11]核心假设及结论!$B$61,[11]核心假设及结论!$D$60,[11]核心假设及结论!$D$61))</f>
        <v>1.0489999999999999</v>
      </c>
      <c r="AR459" s="1809">
        <f t="shared" si="203"/>
        <v>608.33000000000004</v>
      </c>
      <c r="AS459" s="1811">
        <f>AH459*(AS$2&lt;=YEAR($K459))+AR459*$AQ459*(AS$2=YEAR($K459)+1)+INDEX([11]核心假设及结论!$E$17:$E$21,MATCH($D459,[11]核心假设及结论!$B$17:$B$21,0))*(AS$2&gt;YEAR($K459)+1)*AR459</f>
        <v>638.13816999999995</v>
      </c>
      <c r="AT459" s="1809">
        <f>AI459*(AT$2&lt;=YEAR($K459))+AS459*$AQ459*(AT$2=YEAR($K459)+1)+INDEX([11]核心假设及结论!$E$17:$E$21,MATCH($D459,[11]核心假设及结论!$B$17:$B$21,0))*(AT$2&gt;YEAR($K459)+1)*AS459</f>
        <v>657.67630502920758</v>
      </c>
      <c r="AU459" s="1809">
        <f>AJ459*(AU$2&lt;=YEAR($K459))+AT459*$AQ459*(AU$2=YEAR($K459)+1)+INDEX([11]核心假设及结论!$E$17:$E$21,MATCH($D459,[11]核心假设及结论!$B$17:$B$21,0))*(AU$2&gt;YEAR($K459)+1)*AT459</f>
        <v>677.8126470586634</v>
      </c>
      <c r="AV459" s="1809">
        <f>AK459*(AV$2&lt;=YEAR($K459))+AU459*$AQ459*(AV$2=YEAR($K459)+1)+INDEX([11]核心假设及结论!$E$17:$E$21,MATCH($D459,[11]核心假设及结论!$B$17:$B$21,0))*(AV$2&gt;YEAR($K459)+1)*AU459</f>
        <v>698.56551163458562</v>
      </c>
      <c r="AW459" s="1809">
        <f>AL459*(AW$2&lt;=YEAR($K459))+AV459*$AQ459*(AW$2=YEAR($K459)+1)+INDEX([11]核心假设及结论!$E$17:$E$21,MATCH($D459,[11]核心假设及结论!$B$17:$B$21,0))*(AW$2&gt;YEAR($K459)+1)*AV459</f>
        <v>719.95377507769558</v>
      </c>
      <c r="AX459" s="1809">
        <f>AM459*(AX$2&lt;=YEAR($K459))+AW459*$AQ459*(AX$2=YEAR($K459)+1)+INDEX([11]核心假设及结论!$E$17:$E$21,MATCH($D459,[11]核心假设及结论!$B$17:$B$21,0))*(AX$2&gt;YEAR($K459)+1)*AW459</f>
        <v>741.99689165267785</v>
      </c>
      <c r="AZ459" s="1746">
        <f t="shared" si="204"/>
        <v>45894</v>
      </c>
      <c r="BA459" s="1817">
        <f t="shared" si="197"/>
        <v>45658</v>
      </c>
      <c r="BB459" s="1817">
        <f t="shared" si="205"/>
        <v>45894</v>
      </c>
      <c r="BC459" s="1841">
        <f t="shared" si="206"/>
        <v>46022</v>
      </c>
      <c r="BD459" s="1842">
        <f t="shared" si="207"/>
        <v>237</v>
      </c>
      <c r="BE459" s="1842">
        <f t="shared" si="208"/>
        <v>128</v>
      </c>
      <c r="BG459" s="1843">
        <f t="shared" si="192"/>
        <v>17.820958350378081</v>
      </c>
      <c r="BH459" s="1843">
        <f t="shared" si="188"/>
        <v>18.575709106881288</v>
      </c>
      <c r="BI459" s="1843">
        <f t="shared" si="188"/>
        <v>19.144449122532645</v>
      </c>
      <c r="BJ459" s="1843">
        <f t="shared" si="188"/>
        <v>19.730602481789997</v>
      </c>
      <c r="BK459" s="1843">
        <f t="shared" si="187"/>
        <v>20.334702336053272</v>
      </c>
      <c r="BL459" s="1843">
        <f t="shared" si="187"/>
        <v>20.957298160434934</v>
      </c>
      <c r="BM459" s="1843">
        <f t="shared" si="187"/>
        <v>13.875545160724705</v>
      </c>
      <c r="BO459" s="1739">
        <f t="shared" si="209"/>
        <v>2025</v>
      </c>
      <c r="BP459" s="1742">
        <f>_xlfn.IFNA(INDEX($AR459:$AX459,MATCH(BO459,$AR$2:$AX$2,0))*12/365*[11]核心假设及结论!$C$70*$H459,0)</f>
        <v>14399.921095890413</v>
      </c>
      <c r="BR459" s="1739">
        <f t="shared" si="210"/>
        <v>2026</v>
      </c>
      <c r="BS459" s="1742">
        <f>_xlfn.IFNA(INDEX($AR459:$AX459,MATCH(BR459,$AR$2:$AX$2,0))*12/365*[11]核心假设及结论!$C$70*$H459,0)</f>
        <v>15105.517229589039</v>
      </c>
      <c r="BU459" s="1739">
        <f t="shared" si="211"/>
        <v>2027</v>
      </c>
      <c r="BV459" s="1742">
        <f>_xlfn.IFNA(INDEX($AR459:$AX459,MATCH(BU459,$AR$2:$AX$2,0))*12/365*[11]核心假设及结论!$C$70*$H459,0)</f>
        <v>15568.008973842065</v>
      </c>
      <c r="BX459" s="1739">
        <f t="shared" si="212"/>
        <v>2028</v>
      </c>
      <c r="BY459" s="1742">
        <f>_xlfn.IFNA(INDEX($AR459:$AX459,MATCH(BX459,$AR$2:$AX$2,0))*12/365*[11]核心假设及结论!$C$70*$H459,0)</f>
        <v>16044.661015306443</v>
      </c>
      <c r="CA459" s="1739">
        <f t="shared" si="213"/>
        <v>2029</v>
      </c>
      <c r="CB459" s="1742">
        <f>_xlfn.IFNA(INDEX($AR459:$AX459,MATCH(CA459,$AR$2:$AX$2,0))*12/365*[11]核心假设及结论!$C$70*$H459,0)</f>
        <v>16535.906905541971</v>
      </c>
    </row>
    <row r="460" spans="1:80" ht="30" customHeight="1">
      <c r="A460" s="1763" t="s">
        <v>1662</v>
      </c>
      <c r="B460" s="1757" t="s">
        <v>2616</v>
      </c>
      <c r="C460" s="1764" t="s">
        <v>2617</v>
      </c>
      <c r="D460" s="1764" t="s">
        <v>1676</v>
      </c>
      <c r="E460" s="1764" t="s">
        <v>1758</v>
      </c>
      <c r="F460" s="1765"/>
      <c r="G460" s="1763" t="s">
        <v>1682</v>
      </c>
      <c r="H460" s="1761">
        <v>23</v>
      </c>
      <c r="I460" s="1763" t="s">
        <v>2534</v>
      </c>
      <c r="J460" s="1773">
        <v>45078</v>
      </c>
      <c r="K460" s="1773">
        <v>45808</v>
      </c>
      <c r="L460" s="1764">
        <f t="shared" si="198"/>
        <v>24</v>
      </c>
      <c r="M460" s="1774">
        <f t="shared" si="214"/>
        <v>14998.07</v>
      </c>
      <c r="N460" s="1775">
        <f t="shared" si="215"/>
        <v>538.47</v>
      </c>
      <c r="O460" s="1777">
        <v>12384.81</v>
      </c>
      <c r="P460" s="1763">
        <v>0</v>
      </c>
      <c r="Q460" s="1783">
        <f t="shared" si="199"/>
        <v>95</v>
      </c>
      <c r="R460" s="1763">
        <v>2185</v>
      </c>
      <c r="S460" s="1777">
        <f t="shared" si="200"/>
        <v>18.62</v>
      </c>
      <c r="T460" s="1763">
        <v>428.26</v>
      </c>
      <c r="U460" s="1763"/>
      <c r="V460" s="1785">
        <v>70132.554166666698</v>
      </c>
      <c r="W460" s="1785">
        <f t="shared" si="201"/>
        <v>3049.2414855072479</v>
      </c>
      <c r="X460" s="1786">
        <f t="shared" si="216"/>
        <v>0.20774674718641412</v>
      </c>
      <c r="Y460" s="1789">
        <f>VLOOKUP(E460,[11]核心假设及结论!$C$25:$E$45,3,0)</f>
        <v>0.2</v>
      </c>
      <c r="Z460" s="1790">
        <f t="shared" si="195"/>
        <v>12384.810000000001</v>
      </c>
      <c r="AA460" s="1790">
        <f t="shared" si="195"/>
        <v>0</v>
      </c>
      <c r="AB460" s="1790">
        <f t="shared" si="195"/>
        <v>0</v>
      </c>
      <c r="AC460" s="1790">
        <f t="shared" si="194"/>
        <v>0</v>
      </c>
      <c r="AD460" s="1790">
        <f t="shared" si="194"/>
        <v>0</v>
      </c>
      <c r="AE460" s="1790">
        <f t="shared" si="194"/>
        <v>0</v>
      </c>
      <c r="AF460" s="1790">
        <f t="shared" si="194"/>
        <v>0</v>
      </c>
      <c r="AG460" s="1794">
        <v>538.47</v>
      </c>
      <c r="AH460" s="1794">
        <v>0</v>
      </c>
      <c r="AI460" s="1794">
        <v>0</v>
      </c>
      <c r="AJ460" s="1794">
        <v>0</v>
      </c>
      <c r="AK460" s="1794">
        <v>0</v>
      </c>
      <c r="AL460" s="1794">
        <v>0</v>
      </c>
      <c r="AM460" s="1794">
        <v>0</v>
      </c>
      <c r="AN460" s="1764"/>
      <c r="AO460" s="1764"/>
      <c r="AP460" s="1808">
        <f t="shared" si="202"/>
        <v>1.0387337359320705</v>
      </c>
      <c r="AQ460" s="1808">
        <f>IF(AP460&gt;[11]核心假设及结论!$B$65,[11]核心假设及结论!$D$65,IF(AP460&lt;=[11]核心假设及结论!$B$64,[11]核心假设及结论!$D$63,[11]核心假设及结论!$D$64))</f>
        <v>0.754</v>
      </c>
      <c r="AR460" s="1809">
        <f t="shared" si="203"/>
        <v>538.47</v>
      </c>
      <c r="AS460" s="1811">
        <f>AH460*(AS$2&lt;=YEAR($K460))+AR460*$AQ460*(AS$2=YEAR($K460)+1)+INDEX([11]核心假设及结论!$E$17:$E$21,MATCH($D460,[11]核心假设及结论!$B$17:$B$21,0))*(AS$2&gt;YEAR($K460)+1)*AR460</f>
        <v>406.00638000000004</v>
      </c>
      <c r="AT460" s="1809">
        <f>AI460*(AT$2&lt;=YEAR($K460))+AS460*$AQ460*(AT$2=YEAR($K460)+1)+INDEX([11]核心假设及结论!$E$17:$E$21,MATCH($D460,[11]核心假设及结论!$B$17:$B$21,0))*(AT$2&gt;YEAR($K460)+1)*AS460</f>
        <v>420.04408611304325</v>
      </c>
      <c r="AU460" s="1809">
        <f>AJ460*(AU$2&lt;=YEAR($K460))+AT460*$AQ460*(AU$2=YEAR($K460)+1)+INDEX([11]核心假设及结论!$E$17:$E$21,MATCH($D460,[11]核心假设及结论!$B$17:$B$21,0))*(AU$2&gt;YEAR($K460)+1)*AT460</f>
        <v>434.56714714320913</v>
      </c>
      <c r="AV460" s="1809">
        <f>AK460*(AV$2&lt;=YEAR($K460))+AU460*$AQ460*(AV$2=YEAR($K460)+1)+INDEX([11]核心假设及结论!$E$17:$E$21,MATCH($D460,[11]核心假设及结论!$B$17:$B$21,0))*(AV$2&gt;YEAR($K460)+1)*AU460</f>
        <v>449.59234427922451</v>
      </c>
      <c r="AW460" s="1809">
        <f>AL460*(AW$2&lt;=YEAR($K460))+AV460*$AQ460*(AW$2=YEAR($K460)+1)+INDEX([11]核心假设及结论!$E$17:$E$21,MATCH($D460,[11]核心假设及结论!$B$17:$B$21,0))*(AW$2&gt;YEAR($K460)+1)*AV460</f>
        <v>465.13703892088483</v>
      </c>
      <c r="AX460" s="1809">
        <f>AM460*(AX$2&lt;=YEAR($K460))+AW460*$AQ460*(AX$2=YEAR($K460)+1)+INDEX([11]核心假设及结论!$E$17:$E$21,MATCH($D460,[11]核心假设及结论!$B$17:$B$21,0))*(AX$2&gt;YEAR($K460)+1)*AW460</f>
        <v>481.21919273990244</v>
      </c>
      <c r="AZ460" s="1746">
        <f t="shared" si="204"/>
        <v>45808</v>
      </c>
      <c r="BA460" s="1817">
        <f t="shared" si="197"/>
        <v>45658</v>
      </c>
      <c r="BB460" s="1817">
        <f t="shared" si="205"/>
        <v>45808</v>
      </c>
      <c r="BC460" s="1841">
        <f t="shared" si="206"/>
        <v>46022</v>
      </c>
      <c r="BD460" s="1842">
        <f t="shared" si="207"/>
        <v>151</v>
      </c>
      <c r="BE460" s="1842">
        <f t="shared" si="208"/>
        <v>214</v>
      </c>
      <c r="BG460" s="1843">
        <f t="shared" si="192"/>
        <v>12.718256588580823</v>
      </c>
      <c r="BH460" s="1843">
        <f t="shared" si="188"/>
        <v>11.432933094537201</v>
      </c>
      <c r="BI460" s="1843">
        <f t="shared" si="188"/>
        <v>11.82822775663389</v>
      </c>
      <c r="BJ460" s="1843">
        <f t="shared" si="188"/>
        <v>12.237189766259862</v>
      </c>
      <c r="BK460" s="1843">
        <f t="shared" si="187"/>
        <v>12.660291673151809</v>
      </c>
      <c r="BL460" s="1843">
        <f t="shared" si="187"/>
        <v>13.098022365494902</v>
      </c>
      <c r="BM460" s="1843">
        <f t="shared" si="187"/>
        <v>5.4946002949666228</v>
      </c>
      <c r="BO460" s="1739">
        <f t="shared" si="209"/>
        <v>2025</v>
      </c>
      <c r="BP460" s="1742">
        <f>_xlfn.IFNA(INDEX($AR460:$AX460,MATCH(BO460,$AR$2:$AX$2,0))*12/365*[11]核心假设及结论!$C$70*$H460,0)</f>
        <v>12215.15506849315</v>
      </c>
      <c r="BR460" s="1739">
        <f t="shared" si="210"/>
        <v>2027</v>
      </c>
      <c r="BS460" s="1742">
        <f>_xlfn.IFNA(INDEX($AR460:$AX460,MATCH(BR460,$AR$2:$AX$2,0))*12/365*[11]核心假设及结论!$C$70*$H460,0)</f>
        <v>9528.6713233315022</v>
      </c>
      <c r="BU460" s="1739">
        <f t="shared" si="211"/>
        <v>2029</v>
      </c>
      <c r="BV460" s="1742">
        <f>_xlfn.IFNA(INDEX($AR460:$AX460,MATCH(BU460,$AR$2:$AX$2,0))*12/365*[11]核心假设及结论!$C$70*$H460,0)</f>
        <v>10198.971535978024</v>
      </c>
      <c r="BX460" s="1739">
        <f t="shared" si="212"/>
        <v>2031</v>
      </c>
      <c r="BY460" s="1742">
        <f>_xlfn.IFNA(INDEX($AR460:$AX460,MATCH(BX460,$AR$2:$AX$2,0))*12/365*[11]核心假设及结论!$C$70*$H460,0)</f>
        <v>10916.424427086007</v>
      </c>
      <c r="CA460" s="1739">
        <f t="shared" si="213"/>
        <v>2033</v>
      </c>
      <c r="CB460" s="1742">
        <f>_xlfn.IFNA(INDEX($AR460:$AX460,MATCH(CA460,$AR$2:$AX$2,0))*12/365*[11]核心假设及结论!$C$70*$H460,0)</f>
        <v>0</v>
      </c>
    </row>
    <row r="461" spans="1:80" ht="30" customHeight="1">
      <c r="A461" s="1763" t="s">
        <v>1687</v>
      </c>
      <c r="B461" s="1757" t="s">
        <v>2618</v>
      </c>
      <c r="C461" s="1764" t="s">
        <v>2619</v>
      </c>
      <c r="D461" s="1764" t="s">
        <v>1685</v>
      </c>
      <c r="E461" s="1764" t="s">
        <v>1871</v>
      </c>
      <c r="F461" s="1765"/>
      <c r="G461" s="1760" t="s">
        <v>1661</v>
      </c>
      <c r="H461" s="1761">
        <v>22</v>
      </c>
      <c r="I461" s="1763" t="s">
        <v>2534</v>
      </c>
      <c r="J461" s="1773">
        <v>45377</v>
      </c>
      <c r="K461" s="1773">
        <v>45914</v>
      </c>
      <c r="L461" s="1764">
        <f t="shared" si="198"/>
        <v>18</v>
      </c>
      <c r="M461" s="1774">
        <f t="shared" si="214"/>
        <v>36278.879999999997</v>
      </c>
      <c r="N461" s="1775">
        <f t="shared" si="215"/>
        <v>1536.04</v>
      </c>
      <c r="O461" s="1777">
        <v>33792.879999999997</v>
      </c>
      <c r="P461" s="1763">
        <v>0.18</v>
      </c>
      <c r="Q461" s="1783">
        <f t="shared" si="199"/>
        <v>95</v>
      </c>
      <c r="R461" s="1763">
        <v>2090</v>
      </c>
      <c r="S461" s="1777">
        <f t="shared" si="200"/>
        <v>18</v>
      </c>
      <c r="T461" s="1763">
        <v>396</v>
      </c>
      <c r="U461" s="1763"/>
      <c r="V461" s="1785">
        <v>178158.40833333301</v>
      </c>
      <c r="W461" s="1785">
        <f t="shared" si="201"/>
        <v>8098.1094696969549</v>
      </c>
      <c r="X461" s="1786">
        <f t="shared" si="216"/>
        <v>0.20140997180926429</v>
      </c>
      <c r="Y461" s="1789">
        <f>VLOOKUP(E461,[11]核心假设及结论!$C$25:$E$45,3,0)</f>
        <v>0.2</v>
      </c>
      <c r="Z461" s="1790">
        <f t="shared" si="195"/>
        <v>33792.879999999997</v>
      </c>
      <c r="AA461" s="1790">
        <f t="shared" si="195"/>
        <v>0</v>
      </c>
      <c r="AB461" s="1790">
        <f t="shared" si="195"/>
        <v>0</v>
      </c>
      <c r="AC461" s="1790">
        <f t="shared" si="194"/>
        <v>0</v>
      </c>
      <c r="AD461" s="1790">
        <f t="shared" si="194"/>
        <v>0</v>
      </c>
      <c r="AE461" s="1790">
        <f t="shared" si="194"/>
        <v>0</v>
      </c>
      <c r="AF461" s="1790">
        <f t="shared" si="194"/>
        <v>0</v>
      </c>
      <c r="AG461" s="1794">
        <v>1536.04</v>
      </c>
      <c r="AH461" s="1794">
        <v>0</v>
      </c>
      <c r="AI461" s="1794">
        <v>0</v>
      </c>
      <c r="AJ461" s="1794">
        <v>0</v>
      </c>
      <c r="AK461" s="1794">
        <v>0</v>
      </c>
      <c r="AL461" s="1794">
        <v>0</v>
      </c>
      <c r="AM461" s="1794">
        <v>0</v>
      </c>
      <c r="AN461" s="1764"/>
      <c r="AO461" s="1764"/>
      <c r="AP461" s="1808">
        <f t="shared" si="202"/>
        <v>1.0070498590463213</v>
      </c>
      <c r="AQ461" s="1810">
        <f>IF(AP461&gt;[11]核心假设及结论!$B$59,[11]核心假设及结论!$D$59,IF(AP461&lt;=[11]核心假设及结论!$B$58,[11]核心假设及结论!$D$57,[11]核心假设及结论!$D$58))</f>
        <v>1.0069999999999999</v>
      </c>
      <c r="AR461" s="1809">
        <f t="shared" si="203"/>
        <v>1536.04</v>
      </c>
      <c r="AS461" s="1811">
        <f>AH461*(AS$2&lt;=YEAR($K461))+AR461*$AQ461*(AS$2=YEAR($K461)+1)+INDEX([11]核心假设及结论!$E$17:$E$21,MATCH($D461,[11]核心假设及结论!$B$17:$B$21,0))*(AS$2&gt;YEAR($K461)+1)*AR461</f>
        <v>1546.7922799999999</v>
      </c>
      <c r="AT461" s="1809">
        <f>AI461*(AT$2&lt;=YEAR($K461))+AS461*$AQ461*(AT$2=YEAR($K461)+1)+INDEX([11]核心假设及结论!$E$17:$E$21,MATCH($D461,[11]核心假设及结论!$B$17:$B$21,0))*(AT$2&gt;YEAR($K461)+1)*AS461</f>
        <v>1588.6708936749128</v>
      </c>
      <c r="AU461" s="1809">
        <f>AJ461*(AU$2&lt;=YEAR($K461))+AT461*$AQ461*(AU$2=YEAR($K461)+1)+INDEX([11]核心假设及结论!$E$17:$E$21,MATCH($D461,[11]核心假设及结论!$B$17:$B$21,0))*(AU$2&gt;YEAR($K461)+1)*AT461</f>
        <v>1631.6833494991624</v>
      </c>
      <c r="AV461" s="1809">
        <f>AK461*(AV$2&lt;=YEAR($K461))+AU461*$AQ461*(AV$2=YEAR($K461)+1)+INDEX([11]核心假设及结论!$E$17:$E$21,MATCH($D461,[11]核心假设及结论!$B$17:$B$21,0))*(AV$2&gt;YEAR($K461)+1)*AU461</f>
        <v>1675.8603456718245</v>
      </c>
      <c r="AW461" s="1809">
        <f>AL461*(AW$2&lt;=YEAR($K461))+AV461*$AQ461*(AW$2=YEAR($K461)+1)+INDEX([11]核心假设及结论!$E$17:$E$21,MATCH($D461,[11]核心假设及结论!$B$17:$B$21,0))*(AW$2&gt;YEAR($K461)+1)*AV461</f>
        <v>1721.2334115300896</v>
      </c>
      <c r="AX461" s="1809">
        <f>AM461*(AX$2&lt;=YEAR($K461))+AW461*$AQ461*(AX$2=YEAR($K461)+1)+INDEX([11]核心假设及结论!$E$17:$E$21,MATCH($D461,[11]核心假设及结论!$B$17:$B$21,0))*(AX$2&gt;YEAR($K461)+1)*AW461</f>
        <v>1767.8349300519048</v>
      </c>
      <c r="AZ461" s="1746">
        <f t="shared" si="204"/>
        <v>45914</v>
      </c>
      <c r="BA461" s="1817">
        <f t="shared" si="197"/>
        <v>45658</v>
      </c>
      <c r="BB461" s="1817">
        <f t="shared" si="205"/>
        <v>45914</v>
      </c>
      <c r="BC461" s="1841">
        <f t="shared" si="206"/>
        <v>46022</v>
      </c>
      <c r="BD461" s="1842">
        <f t="shared" si="207"/>
        <v>257</v>
      </c>
      <c r="BE461" s="1842">
        <f t="shared" si="208"/>
        <v>108</v>
      </c>
      <c r="BG461" s="1843">
        <f t="shared" si="192"/>
        <v>40.635447508865752</v>
      </c>
      <c r="BH461" s="1843">
        <f t="shared" si="188"/>
        <v>41.162451269561402</v>
      </c>
      <c r="BI461" s="1843">
        <f t="shared" si="188"/>
        <v>42.276903686294688</v>
      </c>
      <c r="BJ461" s="1843">
        <f t="shared" si="188"/>
        <v>43.421529334962806</v>
      </c>
      <c r="BK461" s="1843">
        <f t="shared" si="187"/>
        <v>44.59714514046243</v>
      </c>
      <c r="BL461" s="1843">
        <f t="shared" si="187"/>
        <v>45.804590145516009</v>
      </c>
      <c r="BM461" s="1843">
        <f t="shared" si="187"/>
        <v>32.86138748881141</v>
      </c>
      <c r="BO461" s="1739">
        <f t="shared" si="209"/>
        <v>2025</v>
      </c>
      <c r="BP461" s="1742">
        <f>_xlfn.IFNA(INDEX($AR461:$AX461,MATCH(BO461,$AR$2:$AX$2,0))*12/365*[11]核心假设及结论!$C$70*$H461,0)</f>
        <v>33329.963835616436</v>
      </c>
      <c r="BR461" s="1739">
        <f t="shared" si="210"/>
        <v>2027</v>
      </c>
      <c r="BS461" s="1742">
        <f>_xlfn.IFNA(INDEX($AR461:$AX461,MATCH(BR461,$AR$2:$AX$2,0))*12/365*[11]核心假设及结论!$C$70*$H461,0)</f>
        <v>34471.982131247423</v>
      </c>
      <c r="BU461" s="1739">
        <f t="shared" si="211"/>
        <v>2029</v>
      </c>
      <c r="BV461" s="1742">
        <f>_xlfn.IFNA(INDEX($AR461:$AX461,MATCH(BU461,$AR$2:$AX$2,0))*12/365*[11]核心假设及结论!$C$70*$H461,0)</f>
        <v>36363.873801974929</v>
      </c>
      <c r="BX461" s="1739">
        <f t="shared" si="212"/>
        <v>2031</v>
      </c>
      <c r="BY461" s="1742">
        <f>_xlfn.IFNA(INDEX($AR461:$AX461,MATCH(BX461,$AR$2:$AX$2,0))*12/365*[11]核心假设及结论!$C$70*$H461,0)</f>
        <v>38359.596290441332</v>
      </c>
      <c r="CA461" s="1739">
        <f t="shared" si="213"/>
        <v>2033</v>
      </c>
      <c r="CB461" s="1742">
        <f>_xlfn.IFNA(INDEX($AR461:$AX461,MATCH(CA461,$AR$2:$AX$2,0))*12/365*[11]核心假设及结论!$C$70*$H461,0)</f>
        <v>0</v>
      </c>
    </row>
    <row r="462" spans="1:80" ht="30" customHeight="1">
      <c r="A462" s="1763" t="s">
        <v>1662</v>
      </c>
      <c r="B462" s="1757" t="s">
        <v>2620</v>
      </c>
      <c r="C462" s="1764" t="s">
        <v>2621</v>
      </c>
      <c r="D462" s="1764" t="s">
        <v>1698</v>
      </c>
      <c r="E462" s="1764" t="s">
        <v>1698</v>
      </c>
      <c r="F462" s="1765"/>
      <c r="G462" s="1760" t="s">
        <v>1661</v>
      </c>
      <c r="H462" s="1761">
        <v>20</v>
      </c>
      <c r="I462" s="1763" t="s">
        <v>2534</v>
      </c>
      <c r="J462" s="1773">
        <v>44842</v>
      </c>
      <c r="K462" s="1773">
        <v>46302</v>
      </c>
      <c r="L462" s="1764">
        <f t="shared" si="198"/>
        <v>48</v>
      </c>
      <c r="M462" s="1774">
        <f t="shared" si="214"/>
        <v>33285</v>
      </c>
      <c r="N462" s="1775">
        <f t="shared" si="215"/>
        <v>1551.25</v>
      </c>
      <c r="O462" s="1777">
        <v>31025</v>
      </c>
      <c r="P462" s="1763">
        <v>0.15</v>
      </c>
      <c r="Q462" s="1783">
        <f t="shared" si="199"/>
        <v>95</v>
      </c>
      <c r="R462" s="1763">
        <v>1900</v>
      </c>
      <c r="S462" s="1777">
        <f t="shared" si="200"/>
        <v>18</v>
      </c>
      <c r="T462" s="1763">
        <v>360</v>
      </c>
      <c r="U462" s="1763"/>
      <c r="V462" s="1785">
        <v>201548.74249999999</v>
      </c>
      <c r="W462" s="1785">
        <f t="shared" si="201"/>
        <v>10077.437125</v>
      </c>
      <c r="X462" s="1786">
        <f t="shared" si="216"/>
        <v>0.16335998722492651</v>
      </c>
      <c r="Y462" s="1789">
        <f>VLOOKUP(E462,[11]核心假设及结论!$C$25:$E$45,3,0)</f>
        <v>0.2</v>
      </c>
      <c r="Z462" s="1790">
        <f t="shared" si="195"/>
        <v>35283.4</v>
      </c>
      <c r="AA462" s="1790">
        <f t="shared" si="195"/>
        <v>36500</v>
      </c>
      <c r="AB462" s="1790">
        <f t="shared" si="195"/>
        <v>0</v>
      </c>
      <c r="AC462" s="1790">
        <f t="shared" si="194"/>
        <v>0</v>
      </c>
      <c r="AD462" s="1790">
        <f t="shared" si="194"/>
        <v>0</v>
      </c>
      <c r="AE462" s="1790">
        <f t="shared" si="194"/>
        <v>0</v>
      </c>
      <c r="AF462" s="1790">
        <f t="shared" si="194"/>
        <v>0</v>
      </c>
      <c r="AG462" s="1794">
        <v>1764.17</v>
      </c>
      <c r="AH462" s="1794">
        <v>1825</v>
      </c>
      <c r="AI462" s="1794">
        <v>0</v>
      </c>
      <c r="AJ462" s="1794">
        <v>0</v>
      </c>
      <c r="AK462" s="1794">
        <v>0</v>
      </c>
      <c r="AL462" s="1794">
        <v>0</v>
      </c>
      <c r="AM462" s="1794">
        <v>0</v>
      </c>
      <c r="AN462" s="1764"/>
      <c r="AO462" s="1764"/>
      <c r="AP462" s="1808">
        <f t="shared" si="202"/>
        <v>0.81679993612463253</v>
      </c>
      <c r="AQ462" s="1812">
        <f>IF(AP462&gt;[11]核心假设及结论!$B$62,[11]核心假设及结论!$D$62,IF(AP462&lt;=[11]核心假设及结论!$B$61,[11]核心假设及结论!$D$60,[11]核心假设及结论!$D$61))</f>
        <v>1.0811176582269599</v>
      </c>
      <c r="AR462" s="1809">
        <f t="shared" si="203"/>
        <v>1764.17</v>
      </c>
      <c r="AS462" s="1809">
        <f>AH462*(AS$2&lt;=YEAR($K462))+AR462*$AQ462*(AS$2=YEAR($K462)+1)+INDEX([11]核心假设及结论!$E$17:$E$21,MATCH($D462,[11]核心假设及结论!$B$17:$B$21,0))*(AS$2&gt;YEAR($K462)+1)*AR462</f>
        <v>1825</v>
      </c>
      <c r="AT462" s="1811">
        <f>AI462*(AT$2&lt;=YEAR($K462))+AS462*$AQ462*(AT$2=YEAR($K462)+1)+INDEX([11]核心假设及结论!$E$17:$E$21,MATCH($D462,[11]核心假设及结论!$B$17:$B$21,0))*(AT$2&gt;YEAR($K462)+1)*AS462</f>
        <v>1973.0397262642018</v>
      </c>
      <c r="AU462" s="1809">
        <f>AJ462*(AU$2&lt;=YEAR($K462))+AT462*$AQ462*(AU$2=YEAR($K462)+1)+INDEX([11]核心假设及结论!$E$17:$E$21,MATCH($D462,[11]核心假设及结论!$B$17:$B$21,0))*(AU$2&gt;YEAR($K462)+1)*AT462</f>
        <v>2033.4490833627451</v>
      </c>
      <c r="AV462" s="1809">
        <f>AK462*(AV$2&lt;=YEAR($K462))+AU462*$AQ462*(AV$2=YEAR($K462)+1)+INDEX([11]核心假设及结论!$E$17:$E$21,MATCH($D462,[11]核心假设及结论!$B$17:$B$21,0))*(AV$2&gt;YEAR($K462)+1)*AU462</f>
        <v>2095.7080182353602</v>
      </c>
      <c r="AW462" s="1809">
        <f>AL462*(AW$2&lt;=YEAR($K462))+AV462*$AQ462*(AW$2=YEAR($K462)+1)+INDEX([11]核心假设及结论!$E$17:$E$21,MATCH($D462,[11]核心假设及结论!$B$17:$B$21,0))*(AW$2&gt;YEAR($K462)+1)*AV462</f>
        <v>2159.8731601545087</v>
      </c>
      <c r="AX462" s="1809">
        <f>AM462*(AX$2&lt;=YEAR($K462))+AW462*$AQ462*(AX$2=YEAR($K462)+1)+INDEX([11]核心假设及结论!$E$17:$E$21,MATCH($D462,[11]核心假设及结论!$B$17:$B$21,0))*(AX$2&gt;YEAR($K462)+1)*AW462</f>
        <v>2226.0028722340421</v>
      </c>
      <c r="AZ462" s="1746">
        <f t="shared" si="204"/>
        <v>46302</v>
      </c>
      <c r="BA462" s="1817">
        <f t="shared" si="197"/>
        <v>45658</v>
      </c>
      <c r="BB462" s="1817">
        <f t="shared" si="205"/>
        <v>45937</v>
      </c>
      <c r="BC462" s="1841">
        <f t="shared" si="206"/>
        <v>46022</v>
      </c>
      <c r="BD462" s="1842">
        <f t="shared" si="207"/>
        <v>280</v>
      </c>
      <c r="BE462" s="1842">
        <f t="shared" si="208"/>
        <v>85</v>
      </c>
      <c r="BG462" s="1843">
        <f t="shared" si="192"/>
        <v>42.680061369863012</v>
      </c>
      <c r="BH462" s="1843">
        <f t="shared" si="188"/>
        <v>44.627400113914995</v>
      </c>
      <c r="BI462" s="1843">
        <f t="shared" si="188"/>
        <v>47.690583809740922</v>
      </c>
      <c r="BJ462" s="1843">
        <f t="shared" si="188"/>
        <v>49.150745746295293</v>
      </c>
      <c r="BK462" s="1843">
        <f t="shared" si="188"/>
        <v>50.655614052758409</v>
      </c>
      <c r="BL462" s="1843">
        <f t="shared" si="188"/>
        <v>52.206557522180127</v>
      </c>
      <c r="BM462" s="1843">
        <f t="shared" si="188"/>
        <v>40.982847401130854</v>
      </c>
      <c r="BO462" s="1739">
        <f t="shared" si="209"/>
        <v>2026</v>
      </c>
      <c r="BP462" s="1742">
        <f>_xlfn.IFNA(INDEX($AR462:$AX462,MATCH(BO462,$AR$2:$AX$2,0))*12/365*[11]核心假设及结论!$C$70*$H462,0)</f>
        <v>36000</v>
      </c>
      <c r="BR462" s="1739">
        <f t="shared" si="210"/>
        <v>2030</v>
      </c>
      <c r="BS462" s="1742">
        <f>_xlfn.IFNA(INDEX($AR462:$AX462,MATCH(BR462,$AR$2:$AX$2,0))*12/365*[11]核心假设及结论!$C$70*$H462,0)</f>
        <v>42605.71713181497</v>
      </c>
      <c r="BU462" s="1739">
        <f t="shared" si="211"/>
        <v>2034</v>
      </c>
      <c r="BV462" s="1742">
        <f>_xlfn.IFNA(INDEX($AR462:$AX462,MATCH(BU462,$AR$2:$AX$2,0))*12/365*[11]核心假设及结论!$C$70*$H462,0)</f>
        <v>0</v>
      </c>
      <c r="BX462" s="1739">
        <f t="shared" si="212"/>
        <v>2038</v>
      </c>
      <c r="BY462" s="1742">
        <f>_xlfn.IFNA(INDEX($AR462:$AX462,MATCH(BX462,$AR$2:$AX$2,0))*12/365*[11]核心假设及结论!$C$70*$H462,0)</f>
        <v>0</v>
      </c>
      <c r="CA462" s="1739">
        <f t="shared" si="213"/>
        <v>2042</v>
      </c>
      <c r="CB462" s="1742">
        <f>_xlfn.IFNA(INDEX($AR462:$AX462,MATCH(CA462,$AR$2:$AX$2,0))*12/365*[11]核心假设及结论!$C$70*$H462,0)</f>
        <v>0</v>
      </c>
    </row>
    <row r="463" spans="1:80" ht="30" customHeight="1">
      <c r="A463" s="1763" t="s">
        <v>1687</v>
      </c>
      <c r="B463" s="1757" t="s">
        <v>2622</v>
      </c>
      <c r="C463" s="1764" t="s">
        <v>2623</v>
      </c>
      <c r="D463" s="1764" t="s">
        <v>1698</v>
      </c>
      <c r="E463" s="1764" t="s">
        <v>1698</v>
      </c>
      <c r="F463" s="1765"/>
      <c r="G463" s="1760" t="s">
        <v>1661</v>
      </c>
      <c r="H463" s="1761">
        <v>20</v>
      </c>
      <c r="I463" s="1763" t="s">
        <v>2534</v>
      </c>
      <c r="J463" s="1773">
        <v>45047</v>
      </c>
      <c r="K463" s="1773">
        <v>46060</v>
      </c>
      <c r="L463" s="1764">
        <f t="shared" si="198"/>
        <v>34</v>
      </c>
      <c r="M463" s="1774">
        <f t="shared" si="214"/>
        <v>28416.799999999999</v>
      </c>
      <c r="N463" s="1775">
        <f t="shared" si="215"/>
        <v>1307.8399999999999</v>
      </c>
      <c r="O463" s="1777">
        <v>26156.799999999999</v>
      </c>
      <c r="P463" s="1763">
        <v>0.14000000000000001</v>
      </c>
      <c r="Q463" s="1783">
        <f t="shared" si="199"/>
        <v>95</v>
      </c>
      <c r="R463" s="1763">
        <v>1900</v>
      </c>
      <c r="S463" s="1777">
        <f t="shared" si="200"/>
        <v>18</v>
      </c>
      <c r="T463" s="1763">
        <v>360</v>
      </c>
      <c r="U463" s="1763"/>
      <c r="V463" s="1785">
        <v>64374.730833333299</v>
      </c>
      <c r="W463" s="1785">
        <f t="shared" si="201"/>
        <v>3218.7365416666648</v>
      </c>
      <c r="X463" s="1786">
        <f t="shared" si="216"/>
        <v>0.43583560873659077</v>
      </c>
      <c r="Y463" s="1789">
        <f>VLOOKUP(E463,[11]核心假设及结论!$C$25:$E$45,3,0)</f>
        <v>0.2</v>
      </c>
      <c r="Z463" s="1790">
        <f t="shared" si="195"/>
        <v>27375</v>
      </c>
      <c r="AA463" s="1790">
        <f t="shared" si="195"/>
        <v>28196.199999999997</v>
      </c>
      <c r="AB463" s="1790">
        <f t="shared" si="195"/>
        <v>0</v>
      </c>
      <c r="AC463" s="1790">
        <f t="shared" si="194"/>
        <v>0</v>
      </c>
      <c r="AD463" s="1790">
        <f t="shared" si="194"/>
        <v>0</v>
      </c>
      <c r="AE463" s="1790">
        <f t="shared" si="194"/>
        <v>0</v>
      </c>
      <c r="AF463" s="1790">
        <f t="shared" si="194"/>
        <v>0</v>
      </c>
      <c r="AG463" s="1794">
        <v>1368.75</v>
      </c>
      <c r="AH463" s="1794">
        <v>1409.81</v>
      </c>
      <c r="AI463" s="1794">
        <v>0</v>
      </c>
      <c r="AJ463" s="1794">
        <v>0</v>
      </c>
      <c r="AK463" s="1794">
        <v>0</v>
      </c>
      <c r="AL463" s="1794">
        <v>0</v>
      </c>
      <c r="AM463" s="1794">
        <v>0</v>
      </c>
      <c r="AN463" s="1764"/>
      <c r="AO463" s="1764"/>
      <c r="AP463" s="1808">
        <f t="shared" si="202"/>
        <v>2.1791780436829535</v>
      </c>
      <c r="AQ463" s="1812">
        <f>IF(AP463&gt;[11]核心假设及结论!$B$62,[11]核心假设及结论!$D$62,IF(AP463&lt;=[11]核心假设及结论!$B$61,[11]核心假设及结论!$D$60,[11]核心假设及结论!$D$61))</f>
        <v>1</v>
      </c>
      <c r="AR463" s="1809">
        <f t="shared" si="203"/>
        <v>1368.75</v>
      </c>
      <c r="AS463" s="1809">
        <f>AH463*(AS$2&lt;=YEAR($K463))+AR463*$AQ463*(AS$2=YEAR($K463)+1)+INDEX([11]核心假设及结论!$E$17:$E$21,MATCH($D463,[11]核心假设及结论!$B$17:$B$21,0))*(AS$2&gt;YEAR($K463)+1)*AR463</f>
        <v>1409.81</v>
      </c>
      <c r="AT463" s="1811">
        <f>AI463*(AT$2&lt;=YEAR($K463))+AS463*$AQ463*(AT$2=YEAR($K463)+1)+INDEX([11]核心假设及结论!$E$17:$E$21,MATCH($D463,[11]核心假设及结论!$B$17:$B$21,0))*(AT$2&gt;YEAR($K463)+1)*AS463</f>
        <v>1409.81</v>
      </c>
      <c r="AU463" s="1809">
        <f>AJ463*(AU$2&lt;=YEAR($K463))+AT463*$AQ463*(AU$2=YEAR($K463)+1)+INDEX([11]核心假设及结论!$E$17:$E$21,MATCH($D463,[11]核心假设及结论!$B$17:$B$21,0))*(AU$2&gt;YEAR($K463)+1)*AT463</f>
        <v>1452.9747242563899</v>
      </c>
      <c r="AV463" s="1809">
        <f>AK463*(AV$2&lt;=YEAR($K463))+AU463*$AQ463*(AV$2=YEAR($K463)+1)+INDEX([11]核心假设及结论!$E$17:$E$21,MATCH($D463,[11]核心假设及结论!$B$17:$B$21,0))*(AV$2&gt;YEAR($K463)+1)*AU463</f>
        <v>1497.4610403727681</v>
      </c>
      <c r="AW463" s="1809">
        <f>AL463*(AW$2&lt;=YEAR($K463))+AV463*$AQ463*(AW$2=YEAR($K463)+1)+INDEX([11]核心假设及结论!$E$17:$E$21,MATCH($D463,[11]核心假设及结论!$B$17:$B$21,0))*(AW$2&gt;YEAR($K463)+1)*AV463</f>
        <v>1543.309412062838</v>
      </c>
      <c r="AX463" s="1809">
        <f>AM463*(AX$2&lt;=YEAR($K463))+AW463*$AQ463*(AX$2=YEAR($K463)+1)+INDEX([11]核心假设及结论!$E$17:$E$21,MATCH($D463,[11]核心假设及结论!$B$17:$B$21,0))*(AX$2&gt;YEAR($K463)+1)*AW463</f>
        <v>1590.5615419342275</v>
      </c>
      <c r="AZ463" s="1746">
        <f t="shared" si="204"/>
        <v>46060</v>
      </c>
      <c r="BA463" s="1817">
        <f t="shared" si="197"/>
        <v>45658</v>
      </c>
      <c r="BB463" s="1817">
        <f t="shared" si="205"/>
        <v>45695</v>
      </c>
      <c r="BC463" s="1841">
        <f t="shared" si="206"/>
        <v>46022</v>
      </c>
      <c r="BD463" s="1842">
        <f t="shared" si="207"/>
        <v>38</v>
      </c>
      <c r="BE463" s="1842">
        <f t="shared" si="208"/>
        <v>327</v>
      </c>
      <c r="BG463" s="1843">
        <f t="shared" si="192"/>
        <v>33.732846246575342</v>
      </c>
      <c r="BH463" s="1843">
        <f t="shared" ref="BH463:BM465" si="217">(AS463*$BD463*$H463*12/365+$BE463*AT463*$H463*12/365)/10000</f>
        <v>33.835440000000006</v>
      </c>
      <c r="BI463" s="1843">
        <f t="shared" si="217"/>
        <v>34.763540701271644</v>
      </c>
      <c r="BJ463" s="1843">
        <f t="shared" si="217"/>
        <v>35.827910118814557</v>
      </c>
      <c r="BK463" s="1843">
        <f t="shared" si="217"/>
        <v>36.924867766271554</v>
      </c>
      <c r="BL463" s="1843">
        <f t="shared" si="217"/>
        <v>38.055411410688023</v>
      </c>
      <c r="BM463" s="1843">
        <f t="shared" si="217"/>
        <v>3.9742250034082613</v>
      </c>
      <c r="BO463" s="1739">
        <f t="shared" si="209"/>
        <v>2026</v>
      </c>
      <c r="BP463" s="1742">
        <f>_xlfn.IFNA(INDEX($AR463:$AX463,MATCH(BO463,$AR$2:$AX$2,0))*12/365*[11]核心假设及结论!$C$70*$H463,0)</f>
        <v>27809.950684931508</v>
      </c>
      <c r="BR463" s="1739">
        <f t="shared" si="210"/>
        <v>2029</v>
      </c>
      <c r="BS463" s="1742">
        <f>_xlfn.IFNA(INDEX($AR463:$AX463,MATCH(BR463,$AR$2:$AX$2,0))*12/365*[11]核心假设及结论!$C$70*$H463,0)</f>
        <v>29538.957508723099</v>
      </c>
      <c r="BU463" s="1739">
        <f t="shared" si="211"/>
        <v>2032</v>
      </c>
      <c r="BV463" s="1742">
        <f>_xlfn.IFNA(INDEX($AR463:$AX463,MATCH(BU463,$AR$2:$AX$2,0))*12/365*[11]核心假设及结论!$C$70*$H463,0)</f>
        <v>0</v>
      </c>
      <c r="BX463" s="1739">
        <f t="shared" si="212"/>
        <v>2035</v>
      </c>
      <c r="BY463" s="1742">
        <f>_xlfn.IFNA(INDEX($AR463:$AX463,MATCH(BX463,$AR$2:$AX$2,0))*12/365*[11]核心假设及结论!$C$70*$H463,0)</f>
        <v>0</v>
      </c>
      <c r="CA463" s="1739">
        <f t="shared" si="213"/>
        <v>2038</v>
      </c>
      <c r="CB463" s="1742">
        <f>_xlfn.IFNA(INDEX($AR463:$AX463,MATCH(CA463,$AR$2:$AX$2,0))*12/365*[11]核心假设及结论!$C$70*$H463,0)</f>
        <v>0</v>
      </c>
    </row>
    <row r="464" spans="1:80" ht="30" customHeight="1">
      <c r="A464" s="1763" t="s">
        <v>1666</v>
      </c>
      <c r="B464" s="1757" t="s">
        <v>2624</v>
      </c>
      <c r="C464" s="1764" t="s">
        <v>2625</v>
      </c>
      <c r="D464" s="1764" t="s">
        <v>1698</v>
      </c>
      <c r="E464" s="1764" t="s">
        <v>1698</v>
      </c>
      <c r="F464" s="1765"/>
      <c r="G464" s="1760" t="s">
        <v>1661</v>
      </c>
      <c r="H464" s="1761">
        <v>17</v>
      </c>
      <c r="I464" s="1763" t="s">
        <v>2534</v>
      </c>
      <c r="J464" s="1773">
        <v>45271</v>
      </c>
      <c r="K464" s="1773">
        <v>46001</v>
      </c>
      <c r="L464" s="1764">
        <f t="shared" si="198"/>
        <v>24</v>
      </c>
      <c r="M464" s="1774">
        <f t="shared" si="214"/>
        <v>33975.520000000004</v>
      </c>
      <c r="N464" s="1775">
        <f t="shared" si="215"/>
        <v>1885.83</v>
      </c>
      <c r="O464" s="1777">
        <v>32059.11</v>
      </c>
      <c r="P464" s="1763">
        <v>0.18</v>
      </c>
      <c r="Q464" s="1783">
        <f t="shared" si="199"/>
        <v>95</v>
      </c>
      <c r="R464" s="1763">
        <v>1615</v>
      </c>
      <c r="S464" s="1777">
        <f t="shared" si="200"/>
        <v>17.73</v>
      </c>
      <c r="T464" s="1763">
        <v>301.41000000000003</v>
      </c>
      <c r="U464" s="1763"/>
      <c r="V464" s="1785">
        <v>138935.97150000001</v>
      </c>
      <c r="W464" s="1785">
        <f t="shared" si="201"/>
        <v>8172.7042058823536</v>
      </c>
      <c r="X464" s="1786">
        <f t="shared" si="216"/>
        <v>0.24237142934578318</v>
      </c>
      <c r="Y464" s="1789">
        <f>VLOOKUP(E464,[11]核心假设及结论!$C$25:$E$45,3,0)</f>
        <v>0.2</v>
      </c>
      <c r="Z464" s="1790">
        <f t="shared" si="195"/>
        <v>33093.39</v>
      </c>
      <c r="AA464" s="1790">
        <f t="shared" si="195"/>
        <v>0</v>
      </c>
      <c r="AB464" s="1790">
        <f t="shared" si="195"/>
        <v>0</v>
      </c>
      <c r="AC464" s="1790">
        <f t="shared" si="194"/>
        <v>0</v>
      </c>
      <c r="AD464" s="1790">
        <f t="shared" si="194"/>
        <v>0</v>
      </c>
      <c r="AE464" s="1790">
        <f t="shared" si="194"/>
        <v>0</v>
      </c>
      <c r="AF464" s="1790">
        <f t="shared" si="194"/>
        <v>0</v>
      </c>
      <c r="AG464" s="1794">
        <v>1946.67</v>
      </c>
      <c r="AH464" s="1794">
        <v>0</v>
      </c>
      <c r="AI464" s="1794">
        <v>0</v>
      </c>
      <c r="AJ464" s="1794">
        <v>0</v>
      </c>
      <c r="AK464" s="1794">
        <v>0</v>
      </c>
      <c r="AL464" s="1794">
        <v>0</v>
      </c>
      <c r="AM464" s="1794">
        <v>0</v>
      </c>
      <c r="AN464" s="1764"/>
      <c r="AO464" s="1764"/>
      <c r="AP464" s="1808">
        <f t="shared" si="202"/>
        <v>1.2118571467289159</v>
      </c>
      <c r="AQ464" s="1812">
        <f>IF(AP464&gt;[11]核心假设及结论!$B$62,[11]核心假设及结论!$D$62,IF(AP464&lt;=[11]核心假设及结论!$B$61,[11]核心假设及结论!$D$60,[11]核心假设及结论!$D$61))</f>
        <v>1.0489999999999999</v>
      </c>
      <c r="AR464" s="1809">
        <f t="shared" si="203"/>
        <v>1946.67</v>
      </c>
      <c r="AS464" s="1811">
        <f>AH464*(AS$2&lt;=YEAR($K464))+AR464*$AQ464*(AS$2=YEAR($K464)+1)+INDEX([11]核心假设及结论!$E$17:$E$21,MATCH($D464,[11]核心假设及结论!$B$17:$B$21,0))*(AS$2&gt;YEAR($K464)+1)*AR464</f>
        <v>2042.05683</v>
      </c>
      <c r="AT464" s="1809">
        <f>AI464*(AT$2&lt;=YEAR($K464))+AS464*$AQ464*(AT$2=YEAR($K464)+1)+INDEX([11]核心假设及结论!$E$17:$E$21,MATCH($D464,[11]核心假设及结论!$B$17:$B$21,0))*(AT$2&gt;YEAR($K464)+1)*AS464</f>
        <v>2104.5793117406797</v>
      </c>
      <c r="AU464" s="1809">
        <f>AJ464*(AU$2&lt;=YEAR($K464))+AT464*$AQ464*(AU$2=YEAR($K464)+1)+INDEX([11]核心假设及结论!$E$17:$E$21,MATCH($D464,[11]核心假设及结论!$B$17:$B$21,0))*(AU$2&gt;YEAR($K464)+1)*AT464</f>
        <v>2169.0160696491848</v>
      </c>
      <c r="AV464" s="1809">
        <f>AK464*(AV$2&lt;=YEAR($K464))+AU464*$AQ464*(AV$2=YEAR($K464)+1)+INDEX([11]核心假设及结论!$E$17:$E$21,MATCH($D464,[11]核心假设及结论!$B$17:$B$21,0))*(AV$2&gt;YEAR($K464)+1)*AU464</f>
        <v>2235.4257138949242</v>
      </c>
      <c r="AW464" s="1809">
        <f>AL464*(AW$2&lt;=YEAR($K464))+AV464*$AQ464*(AW$2=YEAR($K464)+1)+INDEX([11]核心假设及结论!$E$17:$E$21,MATCH($D464,[11]核心假设及结论!$B$17:$B$21,0))*(AW$2&gt;YEAR($K464)+1)*AV464</f>
        <v>2303.8686491386225</v>
      </c>
      <c r="AX464" s="1809">
        <f>AM464*(AX$2&lt;=YEAR($K464))+AW464*$AQ464*(AX$2=YEAR($K464)+1)+INDEX([11]核心假设及结论!$E$17:$E$21,MATCH($D464,[11]核心假设及结论!$B$17:$B$21,0))*(AX$2&gt;YEAR($K464)+1)*AW464</f>
        <v>2374.407129474987</v>
      </c>
      <c r="AZ464" s="1746">
        <f t="shared" si="204"/>
        <v>46001</v>
      </c>
      <c r="BA464" s="1817">
        <f t="shared" si="197"/>
        <v>45658</v>
      </c>
      <c r="BB464" s="1817">
        <f t="shared" si="205"/>
        <v>46001</v>
      </c>
      <c r="BC464" s="1841">
        <f t="shared" si="206"/>
        <v>46022</v>
      </c>
      <c r="BD464" s="1842">
        <f t="shared" si="207"/>
        <v>344</v>
      </c>
      <c r="BE464" s="1842">
        <f t="shared" si="208"/>
        <v>21</v>
      </c>
      <c r="BG464" s="1843">
        <f t="shared" si="192"/>
        <v>39.824023391704117</v>
      </c>
      <c r="BH464" s="1843">
        <f t="shared" si="217"/>
        <v>41.731341883171801</v>
      </c>
      <c r="BI464" s="1843">
        <f t="shared" si="217"/>
        <v>43.009047293997547</v>
      </c>
      <c r="BJ464" s="1843">
        <f t="shared" si="217"/>
        <v>44.325872729322469</v>
      </c>
      <c r="BK464" s="1843">
        <f t="shared" si="217"/>
        <v>45.68301594279454</v>
      </c>
      <c r="BL464" s="1843">
        <f t="shared" si="217"/>
        <v>47.081711360170637</v>
      </c>
      <c r="BM464" s="1843">
        <f t="shared" si="217"/>
        <v>45.651067046037447</v>
      </c>
      <c r="BO464" s="1739">
        <f t="shared" si="209"/>
        <v>2025</v>
      </c>
      <c r="BP464" s="1742">
        <f>_xlfn.IFNA(INDEX($AR464:$AX464,MATCH(BO464,$AR$2:$AX$2,0))*12/365*[11]核心假设及结论!$C$70*$H464,0)</f>
        <v>32640.05589041096</v>
      </c>
      <c r="BR464" s="1739">
        <f t="shared" si="210"/>
        <v>2027</v>
      </c>
      <c r="BS464" s="1742">
        <f>_xlfn.IFNA(INDEX($AR464:$AX464,MATCH(BR464,$AR$2:$AX$2,0))*12/365*[11]核心假设及结论!$C$70*$H464,0)</f>
        <v>35287.740788638257</v>
      </c>
      <c r="BU464" s="1739">
        <f t="shared" si="211"/>
        <v>2029</v>
      </c>
      <c r="BV464" s="1742">
        <f>_xlfn.IFNA(INDEX($AR464:$AX464,MATCH(BU464,$AR$2:$AX$2,0))*12/365*[11]核心假设及结论!$C$70*$H464,0)</f>
        <v>37481.65854530668</v>
      </c>
      <c r="BX464" s="1739">
        <f t="shared" si="212"/>
        <v>2031</v>
      </c>
      <c r="BY464" s="1742">
        <f>_xlfn.IFNA(INDEX($AR464:$AX464,MATCH(BX464,$AR$2:$AX$2,0))*12/365*[11]核心假设及结论!$C$70*$H464,0)</f>
        <v>39811.977075032664</v>
      </c>
      <c r="CA464" s="1739">
        <f t="shared" si="213"/>
        <v>2033</v>
      </c>
      <c r="CB464" s="1742">
        <f>_xlfn.IFNA(INDEX($AR464:$AX464,MATCH(CA464,$AR$2:$AX$2,0))*12/365*[11]核心假设及结论!$C$70*$H464,0)</f>
        <v>0</v>
      </c>
    </row>
    <row r="465" spans="1:80" ht="30" customHeight="1">
      <c r="A465" s="1763" t="s">
        <v>1662</v>
      </c>
      <c r="B465" s="1757" t="s">
        <v>2626</v>
      </c>
      <c r="C465" s="1764" t="s">
        <v>2627</v>
      </c>
      <c r="D465" s="1764" t="s">
        <v>1676</v>
      </c>
      <c r="E465" s="1764" t="s">
        <v>1758</v>
      </c>
      <c r="F465" s="1765"/>
      <c r="G465" s="1763" t="s">
        <v>1682</v>
      </c>
      <c r="H465" s="1761">
        <v>15</v>
      </c>
      <c r="I465" s="1763" t="s">
        <v>2534</v>
      </c>
      <c r="J465" s="1773">
        <v>45383</v>
      </c>
      <c r="K465" s="1773">
        <v>46477</v>
      </c>
      <c r="L465" s="1764">
        <f t="shared" si="198"/>
        <v>36</v>
      </c>
      <c r="M465" s="1774">
        <f>O465+R465+T465</f>
        <v>10181.25</v>
      </c>
      <c r="N465" s="1775">
        <f t="shared" si="215"/>
        <v>565.75</v>
      </c>
      <c r="O465" s="1777">
        <v>8486.25</v>
      </c>
      <c r="P465" s="1763">
        <v>0</v>
      </c>
      <c r="Q465" s="1783">
        <f t="shared" si="199"/>
        <v>95</v>
      </c>
      <c r="R465" s="1763">
        <v>1425</v>
      </c>
      <c r="S465" s="1777">
        <f t="shared" si="200"/>
        <v>18</v>
      </c>
      <c r="T465" s="1763">
        <v>270</v>
      </c>
      <c r="U465" s="1763"/>
      <c r="V465" s="1785">
        <v>100156.91666666701</v>
      </c>
      <c r="W465" s="1785">
        <f t="shared" si="201"/>
        <v>6677.1277777778005</v>
      </c>
      <c r="X465" s="1786">
        <f t="shared" si="216"/>
        <v>9.8957219629530996E-2</v>
      </c>
      <c r="Y465" s="1789">
        <f>VLOOKUP(E465,[11]核心假设及结论!$C$25:$E$45,3,0)</f>
        <v>0.2</v>
      </c>
      <c r="Z465" s="1790">
        <f t="shared" si="195"/>
        <v>8486.25</v>
      </c>
      <c r="AA465" s="1790">
        <f t="shared" si="195"/>
        <v>8760</v>
      </c>
      <c r="AB465" s="1790">
        <f t="shared" si="195"/>
        <v>9033.75</v>
      </c>
      <c r="AC465" s="1790">
        <f t="shared" si="194"/>
        <v>0</v>
      </c>
      <c r="AD465" s="1790">
        <f t="shared" si="194"/>
        <v>0</v>
      </c>
      <c r="AE465" s="1790">
        <f t="shared" si="194"/>
        <v>0</v>
      </c>
      <c r="AF465" s="1790">
        <f t="shared" si="194"/>
        <v>0</v>
      </c>
      <c r="AG465" s="1794">
        <v>565.75</v>
      </c>
      <c r="AH465" s="1794">
        <v>584</v>
      </c>
      <c r="AI465" s="1794">
        <v>602.25</v>
      </c>
      <c r="AJ465" s="1794">
        <v>0</v>
      </c>
      <c r="AK465" s="1794">
        <v>0</v>
      </c>
      <c r="AL465" s="1794">
        <v>0</v>
      </c>
      <c r="AM465" s="1794">
        <v>0</v>
      </c>
      <c r="AN465" s="1764"/>
      <c r="AO465" s="1764"/>
      <c r="AP465" s="1808">
        <f t="shared" si="202"/>
        <v>0.49478609814765495</v>
      </c>
      <c r="AQ465" s="1808">
        <f>IF(AP465&gt;[11]核心假设及结论!$B$65,[11]核心假设及结论!$D$65,IF(AP465&lt;=[11]核心假设及结论!$B$64,[11]核心假设及结论!$D$63,[11]核心假设及结论!$D$64))</f>
        <v>1</v>
      </c>
      <c r="AR465" s="1809">
        <f t="shared" si="203"/>
        <v>565.75</v>
      </c>
      <c r="AS465" s="1809">
        <f>AH465*(AS$2&lt;=YEAR($K465))+AR465*$AQ465*(AS$2=YEAR($K465)+1)+INDEX([11]核心假设及结论!$E$17:$E$21,MATCH($D465,[11]核心假设及结论!$B$17:$B$21,0))*(AS$2&gt;YEAR($K465)+1)*AR465</f>
        <v>584</v>
      </c>
      <c r="AT465" s="1809">
        <f>AI465*(AT$2&lt;=YEAR($K465))+AS465*$AQ465*(AT$2=YEAR($K465)+1)+INDEX([11]核心假设及结论!$E$17:$E$21,MATCH($D465,[11]核心假设及结论!$B$17:$B$21,0))*(AT$2&gt;YEAR($K465)+1)*AS465</f>
        <v>602.25</v>
      </c>
      <c r="AU465" s="1811">
        <f>AJ465*(AU$2&lt;=YEAR($K465))+AT465*$AQ465*(AU$2=YEAR($K465)+1)+INDEX([11]核心假设及结论!$E$17:$E$21,MATCH($D465,[11]核心假设及结论!$B$17:$B$21,0))*(AU$2&gt;YEAR($K465)+1)*AT465</f>
        <v>602.25</v>
      </c>
      <c r="AV465" s="1809">
        <f>AK465*(AV$2&lt;=YEAR($K465))+AU465*$AQ465*(AV$2=YEAR($K465)+1)+INDEX([11]核心假设及结论!$E$17:$E$21,MATCH($D465,[11]核心假设及结论!$B$17:$B$21,0))*(AV$2&gt;YEAR($K465)+1)*AU465</f>
        <v>623.07284644536935</v>
      </c>
      <c r="AW465" s="1809">
        <f>AL465*(AW$2&lt;=YEAR($K465))+AV465*$AQ465*(AW$2=YEAR($K465)+1)+INDEX([11]核心假设及结论!$E$17:$E$21,MATCH($D465,[11]核心假设及结论!$B$17:$B$21,0))*(AW$2&gt;YEAR($K465)+1)*AV465</f>
        <v>644.61564462853437</v>
      </c>
      <c r="AX465" s="1809">
        <f>AM465*(AX$2&lt;=YEAR($K465))+AW465*$AQ465*(AX$2=YEAR($K465)+1)+INDEX([11]核心假设及结论!$E$17:$E$21,MATCH($D465,[11]核心假设及结论!$B$17:$B$21,0))*(AX$2&gt;YEAR($K465)+1)*AW465</f>
        <v>666.90328694382322</v>
      </c>
      <c r="AZ465" s="1746">
        <f t="shared" si="204"/>
        <v>46477</v>
      </c>
      <c r="BA465" s="1817">
        <f t="shared" si="197"/>
        <v>45658</v>
      </c>
      <c r="BB465" s="1817">
        <f t="shared" si="205"/>
        <v>45747</v>
      </c>
      <c r="BC465" s="1841">
        <f t="shared" si="206"/>
        <v>46022</v>
      </c>
      <c r="BD465" s="1842">
        <f t="shared" si="207"/>
        <v>90</v>
      </c>
      <c r="BE465" s="1842">
        <f t="shared" si="208"/>
        <v>275</v>
      </c>
      <c r="BG465" s="1843">
        <f t="shared" si="192"/>
        <v>10.430999999999999</v>
      </c>
      <c r="BH465" s="1843">
        <f t="shared" si="217"/>
        <v>10.759499999999999</v>
      </c>
      <c r="BI465" s="1843">
        <f t="shared" si="217"/>
        <v>10.8405</v>
      </c>
      <c r="BJ465" s="1843">
        <f t="shared" si="217"/>
        <v>11.122892027135832</v>
      </c>
      <c r="BK465" s="1843">
        <f t="shared" si="217"/>
        <v>11.507466992199298</v>
      </c>
      <c r="BL465" s="1843">
        <f t="shared" si="217"/>
        <v>11.905338670329179</v>
      </c>
      <c r="BM465" s="1843">
        <f t="shared" si="217"/>
        <v>2.9599543146547771</v>
      </c>
      <c r="BO465" s="1739">
        <f t="shared" si="209"/>
        <v>2027</v>
      </c>
      <c r="BP465" s="1742">
        <f>_xlfn.IFNA(INDEX($AR465:$AX465,MATCH(BO465,$AR$2:$AX$2,0))*12/365*[11]核心假设及结论!$C$70*$H465,0)</f>
        <v>8910</v>
      </c>
      <c r="BR465" s="1739">
        <f t="shared" si="210"/>
        <v>2030</v>
      </c>
      <c r="BS465" s="1742">
        <f>_xlfn.IFNA(INDEX($AR465:$AX465,MATCH(BR465,$AR$2:$AX$2,0))*12/365*[11]核心假设及结论!$C$70*$H465,0)</f>
        <v>9536.7793999837959</v>
      </c>
      <c r="BU465" s="1739">
        <f t="shared" si="211"/>
        <v>2033</v>
      </c>
      <c r="BV465" s="1742">
        <f>_xlfn.IFNA(INDEX($AR465:$AX465,MATCH(BU465,$AR$2:$AX$2,0))*12/365*[11]核心假设及结论!$C$70*$H465,0)</f>
        <v>0</v>
      </c>
      <c r="BX465" s="1739">
        <f t="shared" si="212"/>
        <v>2036</v>
      </c>
      <c r="BY465" s="1742">
        <f>_xlfn.IFNA(INDEX($AR465:$AX465,MATCH(BX465,$AR$2:$AX$2,0))*12/365*[11]核心假设及结论!$C$70*$H465,0)</f>
        <v>0</v>
      </c>
      <c r="CA465" s="1739">
        <f t="shared" si="213"/>
        <v>2039</v>
      </c>
      <c r="CB465" s="1742">
        <f>_xlfn.IFNA(INDEX($AR465:$AX465,MATCH(CA465,$AR$2:$AX$2,0))*12/365*[11]核心假设及结论!$C$70*$H465,0)</f>
        <v>0</v>
      </c>
    </row>
    <row r="466" spans="1:80" ht="30" customHeight="1">
      <c r="H466" s="1739">
        <f>SUM(H4:H465)</f>
        <v>189952.13</v>
      </c>
      <c r="M466" s="1846">
        <f>SUM(M4:M465)</f>
        <v>69258435.548390865</v>
      </c>
      <c r="Q466" s="1742">
        <f>SUM(Q4:Q465)</f>
        <v>41187.789499165949</v>
      </c>
      <c r="BF466" s="1739" t="s">
        <v>350</v>
      </c>
      <c r="BG466" s="1777">
        <f t="shared" ref="BG466:BM466" si="218">SUM(BG4:BG465)</f>
        <v>70831.246781522335</v>
      </c>
      <c r="BH466" s="1777">
        <f t="shared" si="218"/>
        <v>72906.981647272143</v>
      </c>
      <c r="BI466" s="1777">
        <f t="shared" si="218"/>
        <v>74792.589082776743</v>
      </c>
      <c r="BJ466" s="1777">
        <f t="shared" si="218"/>
        <v>76620.953175704883</v>
      </c>
      <c r="BK466" s="1777">
        <f t="shared" si="218"/>
        <v>78575.62964667214</v>
      </c>
      <c r="BL466" s="1777">
        <f t="shared" si="218"/>
        <v>80655.204079842762</v>
      </c>
      <c r="BM466" s="1777">
        <f t="shared" si="218"/>
        <v>47994.93589948005</v>
      </c>
    </row>
    <row r="467" spans="1:80" ht="30" customHeight="1">
      <c r="B467" s="1819" t="s">
        <v>2628</v>
      </c>
      <c r="C467" s="1844">
        <f>SUM(H4:H465)</f>
        <v>189952.13</v>
      </c>
      <c r="M467" s="1742"/>
      <c r="BG467" s="1739">
        <v>2025</v>
      </c>
      <c r="BH467" s="1739">
        <v>2026</v>
      </c>
      <c r="BI467" s="1739">
        <v>2027</v>
      </c>
      <c r="BJ467" s="1739">
        <v>2028</v>
      </c>
      <c r="BK467" s="1739">
        <v>2029</v>
      </c>
      <c r="BL467" s="1739">
        <v>2030</v>
      </c>
    </row>
    <row r="468" spans="1:80" ht="30" customHeight="1">
      <c r="B468" s="1819" t="s">
        <v>2629</v>
      </c>
      <c r="C468" s="1845">
        <f>C467/C469</f>
        <v>0.98065116159008781</v>
      </c>
      <c r="M468" s="3288">
        <f>M466*12</f>
        <v>831101226.58069038</v>
      </c>
      <c r="BF468" s="1738" t="s">
        <v>1656</v>
      </c>
      <c r="BG468" s="1847">
        <f>SUMIF($BR$4:$BR$465,BG467,$BS$4:$BS$465)/10000+SUMIF($BU$4:$BU$465,BG467,$BV$4:$BV$465)/10000+SUMIF($BX$4:$BX$465,BG467,$BY$4:$BY$465)/10000+SUMIF($CA$4:$CA$465,BG467,$CB$4:$CB$465)/10000++SUMIF($BO$4:$BO$465,BG467,$BP$4:$BP$465)/10000</f>
        <v>1330.5057116712323</v>
      </c>
      <c r="BH468" s="1847">
        <f t="shared" ref="BH468:BL468" si="219">SUMIF($BR$4:$BR$465,BH467,$BS$4:$BS$465)/10000+SUMIF($BU$4:$BU$465,BH467,$BV$4:$BV$465)/10000+SUMIF($BX$4:$BX$465,BH467,$BY$4:$BY$465)/10000+SUMIF($CA$4:$CA$465,BH467,$CB$4:$CB$465)/10000++SUMIF($BO$4:$BO$465,BH467,$BP$4:$BP$465)/10000</f>
        <v>1854.5951346566576</v>
      </c>
      <c r="BI468" s="1847">
        <f t="shared" si="219"/>
        <v>1670.9488231328069</v>
      </c>
      <c r="BJ468" s="1847">
        <f t="shared" si="219"/>
        <v>1334.6375767580491</v>
      </c>
      <c r="BK468" s="1847">
        <f t="shared" si="219"/>
        <v>2304.4592289495381</v>
      </c>
      <c r="BL468" s="1847">
        <f t="shared" si="219"/>
        <v>1400.3666876859756</v>
      </c>
      <c r="BM468" s="1742"/>
    </row>
    <row r="469" spans="1:80" ht="30" customHeight="1">
      <c r="B469" s="1819" t="s">
        <v>2630</v>
      </c>
      <c r="C469" s="1819">
        <v>193700</v>
      </c>
      <c r="BF469" s="1848" t="s">
        <v>2631</v>
      </c>
      <c r="BG469" s="1849">
        <f>BG466-BG468</f>
        <v>69500.741069851108</v>
      </c>
      <c r="BH469" s="1849">
        <f t="shared" ref="BH469:BL469" si="220">BH466-BH468</f>
        <v>71052.386512615485</v>
      </c>
      <c r="BI469" s="1849">
        <f t="shared" si="220"/>
        <v>73121.640259643929</v>
      </c>
      <c r="BJ469" s="1849">
        <f t="shared" si="220"/>
        <v>75286.315598946836</v>
      </c>
      <c r="BK469" s="1849">
        <f t="shared" si="220"/>
        <v>76271.170417722606</v>
      </c>
      <c r="BL469" s="1849">
        <f t="shared" si="220"/>
        <v>79254.837392156784</v>
      </c>
    </row>
    <row r="470" spans="1:80" ht="30" customHeight="1">
      <c r="BH470" s="1850"/>
      <c r="BI470" s="1850"/>
      <c r="BJ470" s="1850"/>
      <c r="BK470" s="1850"/>
      <c r="BL470" s="1850"/>
    </row>
    <row r="471" spans="1:80" ht="30" customHeight="1">
      <c r="AT471" s="1745" t="s">
        <v>2632</v>
      </c>
    </row>
  </sheetData>
  <autoFilter ref="A3:BT471" xr:uid="{00000000-0009-0000-0000-000018000000}"/>
  <mergeCells count="13">
    <mergeCell ref="CA1:CB2"/>
    <mergeCell ref="A1:X1"/>
    <mergeCell ref="AG1:AM1"/>
    <mergeCell ref="AR1:AX1"/>
    <mergeCell ref="BA1:BE1"/>
    <mergeCell ref="A2:G2"/>
    <mergeCell ref="H2:U2"/>
    <mergeCell ref="V2:X2"/>
    <mergeCell ref="BG1:BM2"/>
    <mergeCell ref="BR1:BS2"/>
    <mergeCell ref="BX1:BY2"/>
    <mergeCell ref="BO1:BP2"/>
    <mergeCell ref="BU1:BV2"/>
  </mergeCells>
  <phoneticPr fontId="237" type="noConversion"/>
  <conditionalFormatting sqref="B333:B334">
    <cfRule type="duplicateValues" dxfId="122" priority="2"/>
  </conditionalFormatting>
  <conditionalFormatting sqref="AR4:AX465">
    <cfRule type="cellIs" dxfId="121" priority="1" operator="equal">
      <formula>0</formula>
    </cfRule>
  </conditionalFormatting>
  <pageMargins left="0.75" right="0.75" top="1" bottom="1" header="0.5" footer="0.5"/>
  <pageSetup paperSize="9"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X28"/>
  <sheetViews>
    <sheetView topLeftCell="A7" workbookViewId="0">
      <selection activeCell="X29" sqref="X29"/>
    </sheetView>
  </sheetViews>
  <sheetFormatPr defaultColWidth="9" defaultRowHeight="13.5"/>
  <sheetData>
    <row r="28" spans="24:24">
      <c r="X28">
        <f>6.97709+0.06567+0.34506+0.15889</f>
        <v>7.54671</v>
      </c>
    </row>
  </sheetData>
  <phoneticPr fontId="23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1400</v>
      </c>
      <c r="B1" s="864"/>
      <c r="C1" s="1468"/>
      <c r="D1" s="1469" t="s">
        <v>124</v>
      </c>
      <c r="E1" s="1470" t="s">
        <v>1401</v>
      </c>
      <c r="F1" s="1471">
        <f ca="1">J53</f>
        <v>0</v>
      </c>
      <c r="G1" s="1472">
        <f>MATCH(C1,'数据-取费表'!A6:A16,0)+5</f>
        <v>7</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1402</v>
      </c>
      <c r="B2" s="1474" t="e">
        <f ca="1">ROUND(D2/10000,4)</f>
        <v>#DIV/0!</v>
      </c>
      <c r="C2" s="1475" t="s">
        <v>1403</v>
      </c>
      <c r="D2" s="1476" t="e">
        <f ca="1">C40+J29+L46</f>
        <v>#DIV/0!</v>
      </c>
      <c r="E2" s="1477" t="s">
        <v>2633</v>
      </c>
      <c r="F2" s="1478"/>
      <c r="G2" s="1479"/>
      <c r="H2" s="1480"/>
      <c r="I2" s="1480"/>
      <c r="J2" s="1480"/>
      <c r="K2" s="1635"/>
      <c r="L2" s="1480"/>
      <c r="M2" s="1480"/>
    </row>
    <row r="3" spans="1:37" ht="18" customHeight="1">
      <c r="A3" s="1481" t="s">
        <v>1404</v>
      </c>
      <c r="B3" s="1482">
        <f ca="1">IF(ISERROR(D2/F43),0,ROUND(D2/F43,0))</f>
        <v>0</v>
      </c>
      <c r="C3" s="1475" t="s">
        <v>1405</v>
      </c>
      <c r="D3" s="1475"/>
      <c r="E3" s="1477"/>
      <c r="F3" s="1478"/>
      <c r="G3" s="1479"/>
      <c r="H3" s="1483" t="s">
        <v>1406</v>
      </c>
      <c r="I3" s="1636"/>
      <c r="J3" s="1636"/>
      <c r="K3" s="1637"/>
      <c r="L3" s="1636"/>
      <c r="M3" s="1636"/>
    </row>
    <row r="4" spans="1:37" ht="18" customHeight="1">
      <c r="A4" s="1484" t="s">
        <v>1407</v>
      </c>
      <c r="B4" s="1485" t="s">
        <v>1408</v>
      </c>
      <c r="C4" s="1485" t="s">
        <v>1409</v>
      </c>
      <c r="D4" s="1485" t="s">
        <v>1410</v>
      </c>
      <c r="E4" s="1486" t="s">
        <v>1411</v>
      </c>
      <c r="F4" s="1487"/>
      <c r="G4" s="1465"/>
      <c r="H4" s="1484" t="s">
        <v>1407</v>
      </c>
      <c r="I4" s="1485" t="s">
        <v>1408</v>
      </c>
      <c r="J4" s="1485" t="s">
        <v>1409</v>
      </c>
      <c r="K4" s="1485" t="s">
        <v>1410</v>
      </c>
      <c r="L4" s="1486" t="s">
        <v>1411</v>
      </c>
      <c r="M4" s="1487"/>
    </row>
    <row r="5" spans="1:37" ht="18" customHeight="1">
      <c r="A5" s="1488">
        <v>1</v>
      </c>
      <c r="B5" s="1489" t="s">
        <v>1412</v>
      </c>
      <c r="C5" s="1490">
        <f ca="1">C6+C10+C12</f>
        <v>0</v>
      </c>
      <c r="D5" s="1491" t="s">
        <v>1413</v>
      </c>
      <c r="E5" s="1492"/>
      <c r="F5" s="1493"/>
      <c r="G5" s="1465"/>
      <c r="H5" s="1488">
        <v>1</v>
      </c>
      <c r="I5" s="1489" t="s">
        <v>1412</v>
      </c>
      <c r="J5" s="1490">
        <f ca="1">J6+J10+J12</f>
        <v>0</v>
      </c>
      <c r="K5" s="1491" t="s">
        <v>1413</v>
      </c>
      <c r="L5" s="1492"/>
      <c r="M5" s="1493"/>
    </row>
    <row r="6" spans="1:37" ht="18" customHeight="1">
      <c r="A6" s="1494" t="s">
        <v>938</v>
      </c>
      <c r="B6" s="3495" t="s">
        <v>1414</v>
      </c>
      <c r="C6" s="1495">
        <f ca="1">ROUND(F6*F8*F7*(1-F9),0)</f>
        <v>0</v>
      </c>
      <c r="D6" s="1496" t="s">
        <v>2634</v>
      </c>
      <c r="E6" s="1497" t="s">
        <v>1416</v>
      </c>
      <c r="F6" s="1498">
        <f ca="1">INDIRECT("'数据-取费表'!u"&amp;$G$1)</f>
        <v>0</v>
      </c>
      <c r="G6" s="1465"/>
      <c r="H6" s="1494" t="s">
        <v>938</v>
      </c>
      <c r="I6" s="3495" t="s">
        <v>1414</v>
      </c>
      <c r="J6" s="1568">
        <f ca="1">ROUND(M6*M8*M7*(1-M9),0)</f>
        <v>0</v>
      </c>
      <c r="K6" s="1638" t="s">
        <v>2635</v>
      </c>
      <c r="L6" s="1497" t="s">
        <v>1416</v>
      </c>
      <c r="M6" s="1498">
        <f ca="1">INDIRECT("'数据-取费表'!z"&amp;$G$1)</f>
        <v>0</v>
      </c>
    </row>
    <row r="7" spans="1:37" ht="18" customHeight="1">
      <c r="A7" s="1499"/>
      <c r="B7" s="3496"/>
      <c r="C7" s="1500"/>
      <c r="D7" s="1501"/>
      <c r="E7" s="1502" t="s">
        <v>1418</v>
      </c>
      <c r="F7" s="1498">
        <f ca="1">IF(INDIRECT("'数据-取费表'!ah"&amp;$G$1)="",INDIRECT("'数据-取费表'!k"&amp;$G$1),INDIRECT("'数据-取费表'!ah"&amp;$G$1))</f>
        <v>0</v>
      </c>
      <c r="G7" s="1465"/>
      <c r="H7" s="1503"/>
      <c r="I7" s="3496"/>
      <c r="J7" s="1504"/>
      <c r="K7" s="1501"/>
      <c r="L7" s="1497" t="s">
        <v>1418</v>
      </c>
      <c r="M7" s="1498">
        <f ca="1">F7</f>
        <v>0</v>
      </c>
    </row>
    <row r="8" spans="1:37" ht="18" customHeight="1">
      <c r="A8" s="1503"/>
      <c r="B8" s="3496"/>
      <c r="C8" s="1504"/>
      <c r="D8" s="1501"/>
      <c r="E8" s="1497" t="s">
        <v>1419</v>
      </c>
      <c r="F8" s="1498">
        <f ca="1">INDIRECT("'数据-取费表'!ai"&amp;$G$1)</f>
        <v>0</v>
      </c>
      <c r="G8" s="1465"/>
      <c r="H8" s="1503"/>
      <c r="I8" s="3496"/>
      <c r="J8" s="1504"/>
      <c r="K8" s="1501"/>
      <c r="L8" s="1497" t="s">
        <v>1419</v>
      </c>
      <c r="M8" s="1498">
        <f ca="1">INDIRECT("'数据-取费表'!ai"&amp;$G$1)</f>
        <v>0</v>
      </c>
    </row>
    <row r="9" spans="1:37" ht="18" customHeight="1">
      <c r="A9" s="1503"/>
      <c r="B9" s="3497"/>
      <c r="C9" s="1504"/>
      <c r="D9" s="1501"/>
      <c r="E9" s="1497" t="s">
        <v>1420</v>
      </c>
      <c r="F9" s="1505">
        <f ca="1">INDIRECT("'数据-取费表'!w"&amp;$G$1)</f>
        <v>0</v>
      </c>
      <c r="G9" s="1465"/>
      <c r="H9" s="1503"/>
      <c r="I9" s="3497"/>
      <c r="J9" s="1504"/>
      <c r="K9" s="1501"/>
      <c r="L9" s="1508" t="s">
        <v>1420</v>
      </c>
      <c r="M9" s="1513">
        <f ca="1">INDIRECT("'数据-取费表'!ab"&amp;$G$1)</f>
        <v>0</v>
      </c>
    </row>
    <row r="10" spans="1:37" ht="18" customHeight="1">
      <c r="A10" s="1494" t="s">
        <v>942</v>
      </c>
      <c r="B10" s="1506" t="s">
        <v>1421</v>
      </c>
      <c r="C10" s="570">
        <f ca="1">ROUND(IF(F10="押一",C6/12*F11,IF(F10="押二",C6/12*2*F11,IF(F10="押三",C6/12*3*F11,C11*F11))),0)</f>
        <v>0</v>
      </c>
      <c r="D10" s="1507" t="s">
        <v>1422</v>
      </c>
      <c r="E10" s="1508" t="s">
        <v>1423</v>
      </c>
      <c r="F10" s="1509"/>
      <c r="G10" s="1465"/>
      <c r="H10" s="1494" t="s">
        <v>942</v>
      </c>
      <c r="I10" s="1506" t="s">
        <v>1421</v>
      </c>
      <c r="J10" s="1568">
        <f ca="1">ROUND(IF(M10="押一",J6/12*M11,IF(M10="押二",J6/12*2*M11,IF(M10="押三",J6/12*3*M11,J11*M11))),0)</f>
        <v>0</v>
      </c>
      <c r="K10" s="1639" t="s">
        <v>2636</v>
      </c>
      <c r="L10" s="1508" t="s">
        <v>1423</v>
      </c>
      <c r="M10" s="1509"/>
    </row>
    <row r="11" spans="1:37" ht="18" customHeight="1">
      <c r="A11" s="1510"/>
      <c r="B11" s="1511" t="s">
        <v>2637</v>
      </c>
      <c r="C11" s="1512"/>
      <c r="D11" s="1501"/>
      <c r="E11" s="1508" t="s">
        <v>1426</v>
      </c>
      <c r="F11" s="1513">
        <f ca="1">'数据-取费表'!B39</f>
        <v>1.4999999999999999E-2</v>
      </c>
      <c r="G11" s="1465"/>
      <c r="H11" s="1514"/>
      <c r="I11" s="1511" t="s">
        <v>2638</v>
      </c>
      <c r="J11" s="1512"/>
      <c r="K11" s="1640"/>
      <c r="L11" s="1508" t="s">
        <v>1426</v>
      </c>
      <c r="M11" s="1641">
        <f ca="1">'数据-取费表'!B39</f>
        <v>1.4999999999999999E-2</v>
      </c>
    </row>
    <row r="12" spans="1:37" ht="18" customHeight="1">
      <c r="A12" s="1515" t="s">
        <v>987</v>
      </c>
      <c r="B12" s="1516" t="s">
        <v>1427</v>
      </c>
      <c r="C12" s="1517"/>
      <c r="D12" s="1518"/>
      <c r="E12" s="1519"/>
      <c r="F12" s="1520"/>
      <c r="G12" s="1465"/>
      <c r="H12" s="1515" t="s">
        <v>987</v>
      </c>
      <c r="I12" s="1516" t="s">
        <v>1427</v>
      </c>
      <c r="J12" s="1517"/>
      <c r="K12" s="1642"/>
      <c r="L12" s="1519"/>
      <c r="M12" s="1643"/>
    </row>
    <row r="13" spans="1:37" ht="18" customHeight="1">
      <c r="A13" s="1521">
        <v>2</v>
      </c>
      <c r="B13" s="1522" t="s">
        <v>1428</v>
      </c>
      <c r="C13" s="1523">
        <f ca="1">ROUND(C29*F13,0)</f>
        <v>0</v>
      </c>
      <c r="D13" s="1524" t="s">
        <v>1429</v>
      </c>
      <c r="E13" s="1524" t="s">
        <v>1430</v>
      </c>
      <c r="F13" s="1525">
        <f ca="1">INDIRECT("'数据-取费表'!y"&amp;$G$1)</f>
        <v>0</v>
      </c>
      <c r="G13" s="1465"/>
      <c r="H13" s="1521">
        <v>2</v>
      </c>
      <c r="I13" s="1522" t="s">
        <v>1428</v>
      </c>
      <c r="J13" s="1644">
        <f ca="1">ROUND(J14*J15,0)</f>
        <v>0</v>
      </c>
      <c r="K13" s="1546" t="s">
        <v>1429</v>
      </c>
      <c r="L13" s="1645"/>
      <c r="M13" s="1646"/>
    </row>
    <row r="14" spans="1:37" ht="18" customHeight="1">
      <c r="A14" s="1526" t="s">
        <v>961</v>
      </c>
      <c r="B14" s="1497" t="s">
        <v>1431</v>
      </c>
      <c r="C14" s="1527">
        <f ca="1">ROUND(INDIRECT("'数据-取费表'!l"&amp;$G$1)*F43+'数据-取费表'!L14*INDIRECT("'数据-取费表'!S"&amp;$G$1),0)</f>
        <v>0</v>
      </c>
      <c r="D14" s="1528" t="s">
        <v>1432</v>
      </c>
      <c r="E14" s="1529"/>
      <c r="F14" s="1530"/>
      <c r="G14" s="1465"/>
      <c r="H14" s="1526" t="s">
        <v>938</v>
      </c>
      <c r="I14" s="1497" t="s">
        <v>1433</v>
      </c>
      <c r="J14" s="571">
        <f ca="1">C29</f>
        <v>0</v>
      </c>
      <c r="K14" s="1647"/>
      <c r="L14" s="1648"/>
      <c r="M14" s="1649"/>
    </row>
    <row r="15" spans="1:37" s="1464" customFormat="1" ht="18" customHeight="1">
      <c r="A15" s="1526" t="s">
        <v>965</v>
      </c>
      <c r="B15" s="1497" t="s">
        <v>1147</v>
      </c>
      <c r="C15" s="571">
        <f ca="1">ROUND(C14*F15,0)</f>
        <v>0</v>
      </c>
      <c r="D15" s="1531" t="s">
        <v>1434</v>
      </c>
      <c r="E15" s="1531" t="s">
        <v>1435</v>
      </c>
      <c r="F15" s="1532">
        <f>'数据-取费表'!B33</f>
        <v>0.1</v>
      </c>
      <c r="G15" s="1533"/>
      <c r="H15" s="1534" t="s">
        <v>942</v>
      </c>
      <c r="I15" s="1519" t="s">
        <v>1430</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968</v>
      </c>
      <c r="B16" s="1497" t="s">
        <v>1150</v>
      </c>
      <c r="C16" s="571">
        <f ca="1">ROUND(INDIRECT("'数据-取费表'!l"&amp;$G$1)*F43*F16,0)</f>
        <v>0</v>
      </c>
      <c r="D16" s="1497" t="s">
        <v>1434</v>
      </c>
      <c r="E16" s="1497" t="s">
        <v>1435</v>
      </c>
      <c r="F16" s="1535">
        <f ca="1">IF(INDIRECT("'数据-取费表'!c"&amp;$G$1)="住宅",'数据-取费表'!B34,0)</f>
        <v>0</v>
      </c>
      <c r="G16" s="1465"/>
      <c r="H16" s="1521" t="s">
        <v>1436</v>
      </c>
      <c r="I16" s="1522" t="s">
        <v>1437</v>
      </c>
      <c r="J16" s="1523">
        <f ca="1">ROUND(J17+J22+J23+J24,0)</f>
        <v>0</v>
      </c>
      <c r="K16" s="1546" t="s">
        <v>1438</v>
      </c>
      <c r="L16" s="1547"/>
      <c r="M16" s="1493"/>
    </row>
    <row r="17" spans="1:37" s="1464" customFormat="1" ht="18" customHeight="1">
      <c r="A17" s="1526" t="s">
        <v>1439</v>
      </c>
      <c r="B17" s="1497" t="s">
        <v>1440</v>
      </c>
      <c r="C17" s="571">
        <f ca="1">ROUND(F17*(F43+INDIRECT("'数据-取费表'!S"&amp;$G$1)),0)</f>
        <v>0</v>
      </c>
      <c r="D17" s="1497" t="s">
        <v>1441</v>
      </c>
      <c r="E17" s="1497" t="s">
        <v>1442</v>
      </c>
      <c r="F17" s="1536">
        <f>'数据-取费表'!B35</f>
        <v>200</v>
      </c>
      <c r="G17" s="1533"/>
      <c r="H17" s="1526" t="s">
        <v>938</v>
      </c>
      <c r="I17" s="1497" t="s">
        <v>1443</v>
      </c>
      <c r="J17" s="1549">
        <f ca="1">ROUND(IF(AND(项目基本情况!B11="自然人",项目基本情况!B10="北京市"),J6*M17/(1+'数据-取费表'!C42),J18+J19+J20),0)</f>
        <v>0</v>
      </c>
      <c r="K17" s="1528" t="s">
        <v>1444</v>
      </c>
      <c r="L17" s="1550" t="s">
        <v>1445</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1446</v>
      </c>
      <c r="B18" s="1497" t="s">
        <v>1156</v>
      </c>
      <c r="C18" s="571">
        <f ca="1">ROUND(C14*F18,0)</f>
        <v>0</v>
      </c>
      <c r="D18" s="1497" t="s">
        <v>1434</v>
      </c>
      <c r="E18" s="1497" t="s">
        <v>1435</v>
      </c>
      <c r="F18" s="1535">
        <f>'数据-取费表'!B36</f>
        <v>0.03</v>
      </c>
      <c r="G18" s="1533"/>
      <c r="H18" s="1526" t="s">
        <v>961</v>
      </c>
      <c r="I18" s="1497" t="s">
        <v>1447</v>
      </c>
      <c r="J18" s="571">
        <f ca="1">ROUND(J6*M18/(1+'数据-取费表'!C42),0)</f>
        <v>0</v>
      </c>
      <c r="K18" s="1550" t="s">
        <v>1448</v>
      </c>
      <c r="L18" s="1497" t="s">
        <v>1435</v>
      </c>
      <c r="M18" s="1535">
        <f>'数据-取费表'!B41</f>
        <v>5.5000000000000007E-2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938</v>
      </c>
      <c r="B19" s="1497" t="s">
        <v>1449</v>
      </c>
      <c r="C19" s="571">
        <f ca="1">SUM(C14:C18)</f>
        <v>0</v>
      </c>
      <c r="D19" s="1537" t="s">
        <v>1450</v>
      </c>
      <c r="E19" s="573"/>
      <c r="F19" s="1536"/>
      <c r="G19" s="1465"/>
      <c r="H19" s="1526" t="s">
        <v>965</v>
      </c>
      <c r="I19" s="1497" t="s">
        <v>1451</v>
      </c>
      <c r="J19" s="571">
        <f ca="1">IF(K19="按租金收入计税",ROUND(J6*M19/(1+'数据-取费表'!C42),0),ROUND(C29*M19*0.7,0))</f>
        <v>0</v>
      </c>
      <c r="K19" s="1553" t="s">
        <v>1452</v>
      </c>
      <c r="L19" s="1497" t="s">
        <v>1435</v>
      </c>
      <c r="M19" s="1535">
        <f>IF(K19="按租金收入计税",'数据-取费表'!B51,'数据-取费表'!B50)</f>
        <v>0.12</v>
      </c>
    </row>
    <row r="20" spans="1:37" s="1464" customFormat="1" ht="18" customHeight="1">
      <c r="A20" s="1526" t="s">
        <v>942</v>
      </c>
      <c r="B20" s="1497" t="s">
        <v>1453</v>
      </c>
      <c r="C20" s="571">
        <f ca="1">ROUND(C19*F20,0)</f>
        <v>0</v>
      </c>
      <c r="D20" s="1538" t="s">
        <v>1454</v>
      </c>
      <c r="E20" s="1497" t="s">
        <v>1435</v>
      </c>
      <c r="F20" s="1535">
        <f>'数据-取费表'!B37</f>
        <v>0.03</v>
      </c>
      <c r="G20" s="1533"/>
      <c r="H20" s="1526" t="s">
        <v>968</v>
      </c>
      <c r="I20" s="1496" t="s">
        <v>1455</v>
      </c>
      <c r="J20" s="1555">
        <f ca="1">ROUND(M20*M21,0)</f>
        <v>0</v>
      </c>
      <c r="K20" s="1556" t="s">
        <v>1456</v>
      </c>
      <c r="L20" s="1497" t="s">
        <v>1457</v>
      </c>
      <c r="M20" s="1540">
        <f>'数据-取费表'!B52</f>
        <v>1.5</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987</v>
      </c>
      <c r="B21" s="1497" t="s">
        <v>1458</v>
      </c>
      <c r="C21" s="571" t="s">
        <v>124</v>
      </c>
      <c r="D21" s="1538" t="s">
        <v>1459</v>
      </c>
      <c r="E21" s="1497" t="s">
        <v>1460</v>
      </c>
      <c r="F21" s="1535">
        <f>'数据-取费表'!B38</f>
        <v>0.03</v>
      </c>
      <c r="G21" s="1533"/>
      <c r="H21" s="1539"/>
      <c r="I21" s="1653"/>
      <c r="J21" s="1559"/>
      <c r="K21" s="1560"/>
      <c r="L21" s="1497" t="s">
        <v>1461</v>
      </c>
      <c r="M21" s="1498">
        <f ca="1">INDIRECT("'数据-取费表'!r"&amp;$G$1)</f>
        <v>0</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990</v>
      </c>
      <c r="B22" s="1497" t="s">
        <v>1462</v>
      </c>
      <c r="C22" s="571"/>
      <c r="D22" s="1537" t="str">
        <f>IF(F23&lt;=1,"单利计息。","复利计息。")&amp;"建造成本、管理费用、销售费用产生的利息。"</f>
        <v>复利计息。建造成本、管理费用、销售费用产生的利息。</v>
      </c>
      <c r="E22" s="573"/>
      <c r="F22" s="1536"/>
      <c r="G22" s="1465"/>
      <c r="H22" s="1526" t="s">
        <v>942</v>
      </c>
      <c r="I22" s="1497" t="s">
        <v>1463</v>
      </c>
      <c r="J22" s="571">
        <f ca="1">ROUND(J14*M22,0)</f>
        <v>0</v>
      </c>
      <c r="K22" s="1550" t="s">
        <v>1464</v>
      </c>
      <c r="L22" s="1497" t="s">
        <v>1435</v>
      </c>
      <c r="M22" s="1562">
        <f ca="1">INDIRECT("'数据-取费表'!Ak"&amp;$G$1)</f>
        <v>0</v>
      </c>
    </row>
    <row r="23" spans="1:37" s="1464" customFormat="1" ht="18" customHeight="1">
      <c r="A23" s="1526" t="s">
        <v>961</v>
      </c>
      <c r="B23" s="1497" t="s">
        <v>1465</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497" t="s">
        <v>1466</v>
      </c>
      <c r="F23" s="1540">
        <f>'数据-取费表'!B20</f>
        <v>3.5</v>
      </c>
      <c r="G23" s="1533"/>
      <c r="H23" s="1526" t="s">
        <v>987</v>
      </c>
      <c r="I23" s="1497" t="s">
        <v>1467</v>
      </c>
      <c r="J23" s="571">
        <f ca="1">ROUND(J13*M23,0)</f>
        <v>0</v>
      </c>
      <c r="K23" s="1550" t="s">
        <v>1468</v>
      </c>
      <c r="L23" s="1497" t="s">
        <v>1435</v>
      </c>
      <c r="M23" s="1563">
        <f ca="1">INDIRECT("'数据-取费表'!Al"&amp;$G$1)</f>
        <v>0</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965</v>
      </c>
      <c r="B24" s="1497" t="s">
        <v>1469</v>
      </c>
      <c r="C24" s="571">
        <f ca="1">ROUND(IF('数据-取费表'!B22&lt;=1,F21*F24*F23/2,F21*(POWER((1+F24),F23/2)-1)),4)</f>
        <v>1.6000000000000001E-3</v>
      </c>
      <c r="D24" s="518" t="str">
        <f>IF(F23&lt;=1,"销售费用×利率×(建设周期÷2)","销售费用×((1+利率)^(建设周期÷2)-1)")</f>
        <v>销售费用×((1+利率)^(建设周期÷2)-1)</v>
      </c>
      <c r="E24" s="1497" t="s">
        <v>1470</v>
      </c>
      <c r="F24" s="1541">
        <f ca="1">'数据-取费表'!B40</f>
        <v>0.03</v>
      </c>
      <c r="G24" s="1533"/>
      <c r="H24" s="1534" t="s">
        <v>990</v>
      </c>
      <c r="I24" s="1519" t="s">
        <v>1453</v>
      </c>
      <c r="J24" s="1542">
        <f ca="1">ROUND(J5*M24,0)</f>
        <v>0</v>
      </c>
      <c r="K24" s="1543" t="s">
        <v>1471</v>
      </c>
      <c r="L24" s="1519" t="s">
        <v>1435</v>
      </c>
      <c r="M24" s="1520">
        <f ca="1">INDIRECT("'数据-取费表'!Am"&amp;$G$1)</f>
        <v>0</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18" customHeight="1">
      <c r="A25" s="1526" t="s">
        <v>994</v>
      </c>
      <c r="B25" s="1497" t="s">
        <v>1472</v>
      </c>
      <c r="C25" s="571"/>
      <c r="D25" s="1537" t="s">
        <v>1473</v>
      </c>
      <c r="E25" s="573"/>
      <c r="F25" s="1536"/>
      <c r="G25" s="1465"/>
      <c r="H25" s="1521" t="s">
        <v>1474</v>
      </c>
      <c r="I25" s="1564" t="s">
        <v>1475</v>
      </c>
      <c r="J25" s="1523">
        <f ca="1">J5-J16</f>
        <v>0</v>
      </c>
      <c r="K25" s="1565" t="s">
        <v>1476</v>
      </c>
      <c r="L25" s="1566"/>
      <c r="M25" s="1567"/>
    </row>
    <row r="26" spans="1:37" ht="18" customHeight="1">
      <c r="A26" s="1526" t="s">
        <v>961</v>
      </c>
      <c r="B26" s="1497" t="s">
        <v>1477</v>
      </c>
      <c r="C26" s="571">
        <f ca="1">ROUND((C19+C20)*F26,0)</f>
        <v>0</v>
      </c>
      <c r="D26" s="1538" t="s">
        <v>1478</v>
      </c>
      <c r="E26" s="1508" t="s">
        <v>1479</v>
      </c>
      <c r="F26" s="1505">
        <f ca="1">INDIRECT("'数据-取费表'!q"&amp;$G$1)</f>
        <v>0</v>
      </c>
      <c r="G26" s="1465"/>
      <c r="H26" s="1488" t="s">
        <v>1480</v>
      </c>
      <c r="I26" s="1489" t="s">
        <v>1481</v>
      </c>
      <c r="J26" s="1568">
        <f ca="1">IF(J5&lt;&gt;0,ROUND(J25*(1-((1+M28)/(1+M26))^M27)/(M26-M28),0),0)</f>
        <v>0</v>
      </c>
      <c r="K26" s="1556" t="s">
        <v>1482</v>
      </c>
      <c r="L26" s="1497" t="s">
        <v>1483</v>
      </c>
      <c r="M26" s="1505">
        <f ca="1">INDIRECT("'数据-取费表'!I"&amp;$G$1)</f>
        <v>0</v>
      </c>
    </row>
    <row r="27" spans="1:37" ht="18" customHeight="1">
      <c r="A27" s="1526" t="s">
        <v>965</v>
      </c>
      <c r="B27" s="1497" t="s">
        <v>1484</v>
      </c>
      <c r="C27" s="571">
        <f ca="1">ROUND(F21*F26,4)</f>
        <v>0</v>
      </c>
      <c r="D27" s="1538" t="s">
        <v>1485</v>
      </c>
      <c r="E27" s="1531"/>
      <c r="F27" s="1532"/>
      <c r="G27" s="1465"/>
      <c r="H27" s="1503"/>
      <c r="I27" s="1570"/>
      <c r="J27" s="1504"/>
      <c r="K27" s="1571" t="s">
        <v>1486</v>
      </c>
      <c r="L27" s="1497" t="s">
        <v>1487</v>
      </c>
      <c r="M27" s="1572">
        <f ca="1">INDIRECT("'数据-取费表'!ag"&amp;$G$1)</f>
        <v>0</v>
      </c>
    </row>
    <row r="28" spans="1:37" s="1464" customFormat="1" ht="18" customHeight="1">
      <c r="A28" s="1526" t="s">
        <v>995</v>
      </c>
      <c r="B28" s="1497" t="s">
        <v>1488</v>
      </c>
      <c r="C28" s="571">
        <f>ROUND(F28/(1+'数据-取费表'!C42),4)</f>
        <v>5.2400000000000002E-2</v>
      </c>
      <c r="D28" s="1538" t="s">
        <v>1489</v>
      </c>
      <c r="E28" s="1497" t="s">
        <v>1435</v>
      </c>
      <c r="F28" s="1535">
        <f>'数据-取费表'!B41</f>
        <v>5.5000000000000007E-2</v>
      </c>
      <c r="G28" s="1533"/>
      <c r="H28" s="1510"/>
      <c r="I28" s="1573"/>
      <c r="J28" s="1523"/>
      <c r="K28" s="1560"/>
      <c r="L28" s="1497" t="s">
        <v>1490</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1181</v>
      </c>
      <c r="B29" s="1519" t="s">
        <v>1491</v>
      </c>
      <c r="C29" s="1542">
        <f ca="1">ROUND((C19+C20+C23+C26)/(1-F21-C24-C27-C28),0)</f>
        <v>0</v>
      </c>
      <c r="D29" s="1543"/>
      <c r="E29" s="1519"/>
      <c r="F29" s="1544"/>
      <c r="G29" s="1533"/>
      <c r="H29" s="1545" t="s">
        <v>1492</v>
      </c>
      <c r="I29" s="1574" t="s">
        <v>1493</v>
      </c>
      <c r="J29" s="1575">
        <f ca="1">ROUND(J26/(1+F40)^F41,0)</f>
        <v>0</v>
      </c>
      <c r="K29" s="1576" t="s">
        <v>1494</v>
      </c>
      <c r="L29" s="1577"/>
      <c r="M29" s="1578">
        <f ca="1">INDIRECT("'数据-取费表'!k"&amp;$G$1)</f>
        <v>0</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1436</v>
      </c>
      <c r="B30" s="1522" t="s">
        <v>1437</v>
      </c>
      <c r="C30" s="1523">
        <f ca="1">ROUND(C31+C36+C37+C38,0)</f>
        <v>0</v>
      </c>
      <c r="D30" s="1546" t="s">
        <v>1438</v>
      </c>
      <c r="E30" s="1547"/>
      <c r="F30" s="1493"/>
      <c r="G30" s="1465"/>
      <c r="H30" s="1548"/>
      <c r="I30" s="1654"/>
      <c r="J30" s="1655"/>
      <c r="K30" s="560"/>
      <c r="L30" s="1656"/>
      <c r="M30" s="1657"/>
    </row>
    <row r="31" spans="1:37" ht="18" customHeight="1">
      <c r="A31" s="1526" t="s">
        <v>938</v>
      </c>
      <c r="B31" s="1497" t="s">
        <v>1443</v>
      </c>
      <c r="C31" s="1549">
        <f ca="1">ROUND(IF(AND(项目基本情况!B11="自然人",项目基本情况!B10="北京市"),C6*F31/(1+'数据-取费表'!C42),C32+C33+C34),0)</f>
        <v>0</v>
      </c>
      <c r="D31" s="1528" t="s">
        <v>1444</v>
      </c>
      <c r="E31" s="1550" t="s">
        <v>1445</v>
      </c>
      <c r="F31" s="1551" t="str">
        <f>IF(项目基本情况!B11="企业","——",IF(M47="住宅",IF(F6*F7*F8/12/(1+'数据-取费表'!F30)&gt;100000,4%,2.5%),IF(F6*F7*F8/12/(1+'数据-取费表'!F30)&gt;100000,12%,7%)))</f>
        <v>——</v>
      </c>
      <c r="G31" s="1465"/>
      <c r="H31" s="1552" t="s">
        <v>1495</v>
      </c>
      <c r="I31" s="1654"/>
      <c r="J31" s="1655"/>
      <c r="K31" s="560"/>
      <c r="L31" s="1656"/>
      <c r="M31" s="1657"/>
    </row>
    <row r="32" spans="1:37" ht="18" customHeight="1">
      <c r="A32" s="1526" t="s">
        <v>961</v>
      </c>
      <c r="B32" s="1497" t="s">
        <v>1447</v>
      </c>
      <c r="C32" s="571">
        <f ca="1">IF(项目基本情况!B11="自然人","——",ROUND(C6*F32/(1+'数据-取费表'!C42),0))</f>
        <v>0</v>
      </c>
      <c r="D32" s="1550" t="s">
        <v>1448</v>
      </c>
      <c r="E32" s="1497" t="s">
        <v>1435</v>
      </c>
      <c r="F32" s="1541">
        <f>'数据-取费表'!B41</f>
        <v>5.5000000000000007E-2</v>
      </c>
      <c r="G32" s="1465"/>
      <c r="H32" s="1548"/>
      <c r="I32" s="1654"/>
      <c r="J32" s="1655"/>
      <c r="K32" s="560"/>
      <c r="L32" s="1656"/>
      <c r="M32" s="1657"/>
    </row>
    <row r="33" spans="1:18" ht="18" customHeight="1">
      <c r="A33" s="1526" t="s">
        <v>965</v>
      </c>
      <c r="B33" s="1497" t="s">
        <v>1451</v>
      </c>
      <c r="C33" s="571">
        <f ca="1">IF(项目基本情况!B11="自然人","——",IF(D33="按租金收入计税",ROUND(C6*F33/(1+'数据-取费表'!C42),0),IF(D33="按房产原值计税",ROUND(C29*F33*0.7,0),INDIRECT("'数据-取费表'!Aj"&amp;$G$1))))</f>
        <v>0</v>
      </c>
      <c r="D33" s="1553" t="s">
        <v>1452</v>
      </c>
      <c r="E33" s="1497" t="s">
        <v>1435</v>
      </c>
      <c r="F33" s="1535">
        <f>IF(D33="按票据","——",IF(D33="按租金收入计税",'数据-取费表'!B51,'数据-取费表'!B50))</f>
        <v>0.12</v>
      </c>
      <c r="G33" s="1465"/>
      <c r="H33" s="1554"/>
      <c r="I33" s="1654"/>
      <c r="J33" s="1655"/>
      <c r="K33" s="1658"/>
      <c r="L33" s="1554"/>
      <c r="M33" s="1554"/>
    </row>
    <row r="34" spans="1:18" ht="18" customHeight="1">
      <c r="A34" s="1494" t="s">
        <v>968</v>
      </c>
      <c r="B34" s="1496" t="s">
        <v>1455</v>
      </c>
      <c r="C34" s="1555">
        <f ca="1">IF(项目基本情况!B11="自然人","——",ROUND(F34*F35,0))</f>
        <v>0</v>
      </c>
      <c r="D34" s="1556" t="s">
        <v>1456</v>
      </c>
      <c r="E34" s="1497" t="s">
        <v>1457</v>
      </c>
      <c r="F34" s="1540">
        <f>'数据-取费表'!B52</f>
        <v>1.5</v>
      </c>
      <c r="G34" s="1465"/>
      <c r="H34" s="1548"/>
      <c r="I34" s="1654"/>
      <c r="J34" s="1655"/>
      <c r="K34" s="1659"/>
      <c r="L34" s="1660"/>
      <c r="M34" s="1660"/>
    </row>
    <row r="35" spans="1:18" ht="18" customHeight="1">
      <c r="A35" s="1557"/>
      <c r="B35" s="1558"/>
      <c r="C35" s="1559"/>
      <c r="D35" s="1560"/>
      <c r="E35" s="1497" t="s">
        <v>1461</v>
      </c>
      <c r="F35" s="1498">
        <f ca="1">INDIRECT("'数据-取费表'!r"&amp;$G$1)</f>
        <v>0</v>
      </c>
      <c r="G35" s="1465"/>
      <c r="H35" s="1548"/>
      <c r="I35" s="1654"/>
      <c r="J35" s="1655"/>
      <c r="K35" s="1658"/>
      <c r="L35" s="1554"/>
      <c r="M35" s="1554"/>
    </row>
    <row r="36" spans="1:18" ht="18" customHeight="1">
      <c r="A36" s="1561" t="s">
        <v>942</v>
      </c>
      <c r="B36" s="1497" t="s">
        <v>1463</v>
      </c>
      <c r="C36" s="571">
        <f ca="1">ROUND(C29*F36,0)</f>
        <v>0</v>
      </c>
      <c r="D36" s="1550" t="s">
        <v>1496</v>
      </c>
      <c r="E36" s="1497" t="s">
        <v>1435</v>
      </c>
      <c r="F36" s="1562">
        <f ca="1">INDIRECT("'数据-取费表'!Ak"&amp;$G$1)</f>
        <v>0</v>
      </c>
      <c r="G36" s="1465"/>
      <c r="H36" s="1554"/>
      <c r="I36" s="1654"/>
      <c r="J36" s="1655"/>
      <c r="K36" s="1661"/>
      <c r="L36" s="1554"/>
      <c r="M36" s="1554"/>
    </row>
    <row r="37" spans="1:18" ht="18" customHeight="1">
      <c r="A37" s="1526" t="s">
        <v>987</v>
      </c>
      <c r="B37" s="1497" t="s">
        <v>1467</v>
      </c>
      <c r="C37" s="571">
        <f ca="1">ROUND(C13*F37,0)</f>
        <v>0</v>
      </c>
      <c r="D37" s="1550" t="s">
        <v>1468</v>
      </c>
      <c r="E37" s="1497" t="s">
        <v>1435</v>
      </c>
      <c r="F37" s="1563">
        <f ca="1">INDIRECT("'数据-取费表'!Al"&amp;$G$1)</f>
        <v>0</v>
      </c>
      <c r="G37" s="1465"/>
      <c r="H37" s="1554"/>
      <c r="I37" s="1654"/>
      <c r="J37" s="1655"/>
      <c r="K37" s="1661"/>
      <c r="L37" s="1554"/>
      <c r="M37" s="1554"/>
    </row>
    <row r="38" spans="1:18" ht="18" customHeight="1">
      <c r="A38" s="1534" t="s">
        <v>990</v>
      </c>
      <c r="B38" s="1519" t="s">
        <v>1453</v>
      </c>
      <c r="C38" s="1542">
        <f ca="1">ROUND(C5*F38,0)</f>
        <v>0</v>
      </c>
      <c r="D38" s="1543" t="s">
        <v>1471</v>
      </c>
      <c r="E38" s="1519" t="s">
        <v>1435</v>
      </c>
      <c r="F38" s="1520">
        <f ca="1">INDIRECT("'数据-取费表'!Am"&amp;$G$1)</f>
        <v>0</v>
      </c>
      <c r="G38" s="1465"/>
      <c r="H38" s="1554"/>
      <c r="I38" s="1654"/>
      <c r="J38" s="1655"/>
      <c r="K38" s="1656"/>
      <c r="L38" s="1554"/>
      <c r="M38" s="1554"/>
    </row>
    <row r="39" spans="1:18" ht="24.6" customHeight="1">
      <c r="A39" s="1521" t="s">
        <v>1474</v>
      </c>
      <c r="B39" s="1564" t="s">
        <v>1475</v>
      </c>
      <c r="C39" s="1523">
        <f ca="1">C5-C30</f>
        <v>0</v>
      </c>
      <c r="D39" s="1565" t="s">
        <v>1476</v>
      </c>
      <c r="E39" s="1566"/>
      <c r="F39" s="1567"/>
      <c r="G39" s="1465"/>
      <c r="H39" s="1554"/>
      <c r="I39" s="1654"/>
      <c r="J39" s="1655"/>
      <c r="K39" s="1656"/>
      <c r="L39" s="1554"/>
      <c r="M39" s="1554"/>
    </row>
    <row r="40" spans="1:18" ht="18" customHeight="1">
      <c r="A40" s="1488" t="s">
        <v>1480</v>
      </c>
      <c r="B40" s="1489" t="s">
        <v>1497</v>
      </c>
      <c r="C40" s="1568" t="e">
        <f ca="1">ROUND(C39*(1-((1+F42)/(1+F40))^F41)/(F40-F42),0)</f>
        <v>#DIV/0!</v>
      </c>
      <c r="D40" s="1556" t="s">
        <v>1482</v>
      </c>
      <c r="E40" s="1497" t="s">
        <v>1483</v>
      </c>
      <c r="F40" s="1505">
        <f ca="1">INDIRECT("'数据-取费表'!I"&amp;$G$1)</f>
        <v>0</v>
      </c>
      <c r="G40" s="1465"/>
      <c r="H40" s="1569"/>
      <c r="I40" s="1654"/>
      <c r="J40" s="1655"/>
      <c r="K40" s="1656"/>
      <c r="L40" s="1569"/>
      <c r="M40" s="1569"/>
    </row>
    <row r="41" spans="1:18" ht="18" customHeight="1">
      <c r="A41" s="1503"/>
      <c r="B41" s="1570"/>
      <c r="C41" s="1504"/>
      <c r="D41" s="1571" t="s">
        <v>1486</v>
      </c>
      <c r="E41" s="1497" t="s">
        <v>1487</v>
      </c>
      <c r="F41" s="1572">
        <f ca="1">IF(INDIRECT("'数据-取费表'!af"&amp;$G$1)=0,INDIRECT("'数据-取费表'!ae"&amp;$G$1),INDIRECT("'数据-取费表'!af"&amp;$G$1))</f>
        <v>0</v>
      </c>
      <c r="G41" s="1465"/>
      <c r="H41" s="560"/>
      <c r="I41" s="1654"/>
      <c r="J41" s="1655"/>
      <c r="K41" s="1661"/>
      <c r="L41" s="560"/>
      <c r="M41" s="560"/>
    </row>
    <row r="42" spans="1:18" ht="18" customHeight="1">
      <c r="A42" s="1510"/>
      <c r="B42" s="1573"/>
      <c r="C42" s="1523"/>
      <c r="D42" s="1560"/>
      <c r="E42" s="1497" t="s">
        <v>1490</v>
      </c>
      <c r="F42" s="1505">
        <f ca="1">INDIRECT("'数据-取费表'!v"&amp;$G$1)</f>
        <v>0</v>
      </c>
      <c r="G42" s="1465"/>
      <c r="H42" s="560"/>
      <c r="I42" s="1654"/>
      <c r="J42" s="1655"/>
      <c r="K42" s="1661"/>
      <c r="L42" s="560"/>
      <c r="M42" s="560"/>
    </row>
    <row r="43" spans="1:18" ht="18" customHeight="1">
      <c r="A43" s="1545" t="s">
        <v>1492</v>
      </c>
      <c r="B43" s="1574" t="s">
        <v>1498</v>
      </c>
      <c r="C43" s="1575" t="e">
        <f ca="1">ROUND(C40/F43,0)</f>
        <v>#DIV/0!</v>
      </c>
      <c r="D43" s="1576" t="s">
        <v>1499</v>
      </c>
      <c r="E43" s="1577" t="s">
        <v>1500</v>
      </c>
      <c r="F43" s="1578">
        <f ca="1">INDIRECT("'数据-取费表'!k"&amp;$G$1)</f>
        <v>0</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81" t="s">
        <v>2639</v>
      </c>
      <c r="B45" s="1579"/>
      <c r="C45" s="1582" t="e">
        <f ca="1">ROUND((C68-C40)/10000,4)</f>
        <v>#DIV/0!</v>
      </c>
      <c r="D45" s="1583" t="s">
        <v>2640</v>
      </c>
      <c r="E45" s="1579"/>
      <c r="F45" s="1579"/>
      <c r="O45" s="1663" t="s">
        <v>1501</v>
      </c>
      <c r="P45" s="1569"/>
      <c r="Q45" s="1569"/>
      <c r="R45" s="1569"/>
    </row>
    <row r="46" spans="1:18" s="1465" customFormat="1">
      <c r="A46" s="1584" t="s">
        <v>1502</v>
      </c>
      <c r="C46" s="1585" t="e">
        <f ca="1">ROUND(C45,0)</f>
        <v>#DIV/0!</v>
      </c>
      <c r="D46" s="1586" t="str">
        <f>C2</f>
        <v>万元</v>
      </c>
      <c r="I46" s="1664" t="s">
        <v>1503</v>
      </c>
      <c r="J46" s="1665"/>
      <c r="K46" s="1666"/>
      <c r="L46" s="1667" t="e">
        <f ca="1">IF(M47="住宅",0,IF(L48&gt;J51,L60,J60))</f>
        <v>#DIV/0!</v>
      </c>
      <c r="O46" s="1668" t="s">
        <v>1504</v>
      </c>
      <c r="P46" s="1669" t="s">
        <v>1505</v>
      </c>
      <c r="Q46" s="1711" t="s">
        <v>1506</v>
      </c>
      <c r="R46" s="1711" t="s">
        <v>1507</v>
      </c>
    </row>
    <row r="47" spans="1:18" s="1465" customFormat="1">
      <c r="A47" s="1587" t="s">
        <v>1407</v>
      </c>
      <c r="B47" s="1588" t="s">
        <v>1408</v>
      </c>
      <c r="C47" s="1588" t="s">
        <v>1409</v>
      </c>
      <c r="D47" s="1588" t="s">
        <v>1410</v>
      </c>
      <c r="E47" s="1589" t="s">
        <v>1411</v>
      </c>
      <c r="F47" s="564"/>
      <c r="G47" s="1590"/>
      <c r="I47" s="1670" t="s">
        <v>1508</v>
      </c>
      <c r="J47" s="1671"/>
      <c r="K47" s="1672" t="s">
        <v>1510</v>
      </c>
      <c r="L47" s="1673">
        <f ca="1">INDIRECT("'数据-取费表'!d"&amp;$G$1)</f>
        <v>0</v>
      </c>
      <c r="M47" s="1674" t="str">
        <f>IF(ISNUMBER(FIND("住宅",C1)),"住宅","非住宅")</f>
        <v>非住宅</v>
      </c>
      <c r="O47" s="1675" t="s">
        <v>1044</v>
      </c>
      <c r="P47" s="1676" t="s">
        <v>1511</v>
      </c>
      <c r="Q47" s="1712" t="e">
        <f ca="1">C40+J29</f>
        <v>#DIV/0!</v>
      </c>
      <c r="R47" s="1712" t="s">
        <v>1512</v>
      </c>
    </row>
    <row r="48" spans="1:18" s="1465" customFormat="1" ht="27.75">
      <c r="A48" s="1591" t="s">
        <v>1513</v>
      </c>
      <c r="B48" s="1489" t="s">
        <v>1412</v>
      </c>
      <c r="C48" s="572">
        <f ca="1">C49+C53+C55</f>
        <v>0</v>
      </c>
      <c r="D48" s="1592"/>
      <c r="E48" s="1593"/>
      <c r="F48" s="1594"/>
      <c r="G48" s="1590"/>
      <c r="H48" s="1595"/>
      <c r="I48" s="1677" t="s">
        <v>1514</v>
      </c>
      <c r="J48" s="1678"/>
      <c r="K48" s="1679" t="s">
        <v>1516</v>
      </c>
      <c r="L48" s="1680">
        <f ca="1">INDIRECT("'数据-取费表'!f"&amp;$G$1)</f>
        <v>0</v>
      </c>
      <c r="O48" s="1675" t="s">
        <v>1048</v>
      </c>
      <c r="P48" s="1676" t="s">
        <v>1517</v>
      </c>
      <c r="Q48" s="1712" t="e">
        <f ca="1">J60</f>
        <v>#DIV/0!</v>
      </c>
      <c r="R48" s="1712" t="s">
        <v>1518</v>
      </c>
    </row>
    <row r="49" spans="1:18" s="1465" customFormat="1">
      <c r="A49" s="1596" t="s">
        <v>1519</v>
      </c>
      <c r="B49" s="1597" t="s">
        <v>1520</v>
      </c>
      <c r="C49" s="1598">
        <f ca="1">ROUND(F49*F51*F50*(1-F52),0)</f>
        <v>0</v>
      </c>
      <c r="D49" s="1599" t="s">
        <v>2641</v>
      </c>
      <c r="E49" s="1600" t="s">
        <v>1521</v>
      </c>
      <c r="F49" s="1601"/>
      <c r="H49" s="1595"/>
      <c r="I49" s="1677" t="s">
        <v>1522</v>
      </c>
      <c r="J49" s="1681"/>
      <c r="K49" s="1679" t="s">
        <v>1523</v>
      </c>
      <c r="L49" s="1682"/>
      <c r="O49" s="1683" t="s">
        <v>1524</v>
      </c>
      <c r="P49" s="1676" t="s">
        <v>1525</v>
      </c>
      <c r="Q49" s="1712">
        <f ca="1">C29</f>
        <v>0</v>
      </c>
      <c r="R49" s="1712" t="s">
        <v>1512</v>
      </c>
    </row>
    <row r="50" spans="1:18" s="1465" customFormat="1">
      <c r="A50" s="1602"/>
      <c r="B50" s="534"/>
      <c r="C50" s="1603"/>
      <c r="D50" s="1604"/>
      <c r="E50" s="1605" t="s">
        <v>1418</v>
      </c>
      <c r="F50" s="1606">
        <f ca="1">F7</f>
        <v>0</v>
      </c>
      <c r="H50" s="1595"/>
      <c r="I50" s="1677" t="s">
        <v>1526</v>
      </c>
      <c r="J50" s="1684">
        <f>SUMPRODUCT((I63:I65=J47)*(J62:L62=J48)*(J63:L65))</f>
        <v>0</v>
      </c>
      <c r="K50" s="1679" t="s">
        <v>1527</v>
      </c>
      <c r="L50" s="1682"/>
      <c r="M50" s="1685"/>
      <c r="O50" s="1683" t="s">
        <v>1528</v>
      </c>
      <c r="P50" s="1676" t="s">
        <v>1529</v>
      </c>
      <c r="Q50" s="1713" t="e">
        <f ca="1">J58</f>
        <v>#DIV/0!</v>
      </c>
      <c r="R50" s="1712"/>
    </row>
    <row r="51" spans="1:18" s="1465" customFormat="1">
      <c r="A51" s="1607"/>
      <c r="B51" s="534"/>
      <c r="C51" s="1603"/>
      <c r="D51" s="1604"/>
      <c r="E51" s="1608" t="s">
        <v>1419</v>
      </c>
      <c r="F51" s="1498">
        <f ca="1">F8</f>
        <v>0</v>
      </c>
      <c r="I51" s="1686" t="s">
        <v>1530</v>
      </c>
      <c r="J51" s="1680">
        <f>IF(J49="",J50,J49+J50-YEAR('数据-取费表'!B2))</f>
        <v>0</v>
      </c>
      <c r="K51" s="1687" t="s">
        <v>1531</v>
      </c>
      <c r="L51" s="1688">
        <f ca="1">ROUND(-PV(INDIRECT("'数据-取费表'!h"&amp;$G$1),J51,(C39-C13*C76),0),0)</f>
        <v>0</v>
      </c>
      <c r="M51" s="1689"/>
      <c r="O51" s="1683" t="s">
        <v>1532</v>
      </c>
      <c r="P51" s="1676" t="s">
        <v>1533</v>
      </c>
      <c r="Q51" s="1713">
        <f>J52</f>
        <v>0</v>
      </c>
      <c r="R51" s="1712"/>
    </row>
    <row r="52" spans="1:18" s="1465" customFormat="1">
      <c r="A52" s="1607"/>
      <c r="B52" s="534"/>
      <c r="C52" s="1603"/>
      <c r="D52" s="1604"/>
      <c r="E52" s="1608" t="s">
        <v>1420</v>
      </c>
      <c r="F52" s="1609"/>
      <c r="I52" s="1690" t="s">
        <v>1534</v>
      </c>
      <c r="J52" s="1691"/>
      <c r="K52" s="1690" t="s">
        <v>1535</v>
      </c>
      <c r="L52" s="1691"/>
      <c r="O52" s="1683" t="s">
        <v>1536</v>
      </c>
      <c r="P52" s="1676" t="s">
        <v>1537</v>
      </c>
      <c r="Q52" s="1712">
        <f ca="1">J53</f>
        <v>0</v>
      </c>
      <c r="R52" s="1712" t="s">
        <v>1538</v>
      </c>
    </row>
    <row r="53" spans="1:18" s="1465" customFormat="1" ht="30.75" customHeight="1">
      <c r="A53" s="1610" t="s">
        <v>1539</v>
      </c>
      <c r="B53" s="1538" t="s">
        <v>1421</v>
      </c>
      <c r="C53" s="570">
        <f ca="1">ROUND(IF(F53="押一",C49/12*F11,IF(F53="押二",C49/12*2*F11,IF(F53="押三",C49/12*3*F11,C54*F11))),0)</f>
        <v>0</v>
      </c>
      <c r="D53" s="1507" t="s">
        <v>2642</v>
      </c>
      <c r="E53" s="1508" t="s">
        <v>1423</v>
      </c>
      <c r="F53" s="1509"/>
      <c r="I53" s="1692" t="s">
        <v>1540</v>
      </c>
      <c r="J53" s="1693">
        <f ca="1">IF(M47="住宅",IF(D1="——",MAX(J51,L48),MAX(J51,L48-'数据-取费表'!B24)),IF(D1="——",MIN(J51,L48),MIN(J51,L48-'数据-取费表'!B24)))</f>
        <v>0</v>
      </c>
      <c r="K53" s="3493" t="s">
        <v>1541</v>
      </c>
      <c r="L53" s="3494"/>
      <c r="O53" s="1675" t="s">
        <v>1149</v>
      </c>
      <c r="P53" s="1676" t="s">
        <v>1542</v>
      </c>
      <c r="Q53" s="1712" t="e">
        <f ca="1">Q47+Q48</f>
        <v>#DIV/0!</v>
      </c>
      <c r="R53" s="1712" t="s">
        <v>1543</v>
      </c>
    </row>
    <row r="54" spans="1:18" s="1465" customFormat="1">
      <c r="A54" s="1596"/>
      <c r="B54" s="1611" t="s">
        <v>2638</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5"/>
      <c r="K54" s="1695"/>
      <c r="L54" s="1695"/>
      <c r="O54" s="1663" t="s">
        <v>1544</v>
      </c>
      <c r="P54" s="1475"/>
      <c r="Q54" s="1475"/>
      <c r="R54" s="1475"/>
    </row>
    <row r="55" spans="1:18" s="1465" customFormat="1">
      <c r="A55" s="1515" t="s">
        <v>987</v>
      </c>
      <c r="B55" s="1516" t="s">
        <v>1427</v>
      </c>
      <c r="C55" s="1517"/>
      <c r="D55" s="1507"/>
      <c r="E55" s="1612"/>
      <c r="F55" s="1613"/>
      <c r="I55" s="1696" t="s">
        <v>1545</v>
      </c>
      <c r="J55" s="1697" t="e">
        <f ca="1">ROUND(IF(J47="钢混",J57/J50,1-(1-2%)*(J50-J57)/J50),3)</f>
        <v>#DIV/0!</v>
      </c>
      <c r="K55" s="1698" t="s">
        <v>1546</v>
      </c>
      <c r="L55" s="1699"/>
      <c r="O55" s="1668" t="s">
        <v>1504</v>
      </c>
      <c r="P55" s="1669" t="s">
        <v>1505</v>
      </c>
      <c r="Q55" s="1711" t="s">
        <v>1506</v>
      </c>
      <c r="R55" s="1711" t="s">
        <v>1507</v>
      </c>
    </row>
    <row r="56" spans="1:18" s="1465" customFormat="1" ht="36" customHeight="1">
      <c r="A56" s="1614">
        <v>2</v>
      </c>
      <c r="B56" s="1615" t="s">
        <v>1428</v>
      </c>
      <c r="C56" s="378">
        <f ca="1">C13</f>
        <v>0</v>
      </c>
      <c r="D56" s="1616"/>
      <c r="E56" s="1617"/>
      <c r="F56" s="1613"/>
      <c r="I56" s="1700" t="s">
        <v>1547</v>
      </c>
      <c r="J56" s="1701"/>
      <c r="K56" s="1677" t="s">
        <v>1549</v>
      </c>
      <c r="L56" s="1680">
        <f ca="1">IF(L48&lt;J51,"——",L48-J51)</f>
        <v>0</v>
      </c>
      <c r="O56" s="1675" t="s">
        <v>1044</v>
      </c>
      <c r="P56" s="1676" t="s">
        <v>1511</v>
      </c>
      <c r="Q56" s="1712" t="e">
        <f ca="1">C40+J29</f>
        <v>#DIV/0!</v>
      </c>
      <c r="R56" s="1712" t="s">
        <v>1512</v>
      </c>
    </row>
    <row r="57" spans="1:18" s="1465" customFormat="1" ht="24">
      <c r="A57" s="1618"/>
      <c r="B57" s="1619" t="s">
        <v>1491</v>
      </c>
      <c r="C57" s="388">
        <f ca="1">C29</f>
        <v>0</v>
      </c>
      <c r="D57" s="1620"/>
      <c r="E57" s="1621"/>
      <c r="F57" s="1622"/>
      <c r="I57" s="1702" t="s">
        <v>1550</v>
      </c>
      <c r="J57" s="1703">
        <f ca="1">IF(OR(M47="住宅",J51&lt;L48,J56="是"),"——",J51-L48)</f>
        <v>0</v>
      </c>
      <c r="K57" s="1677" t="s">
        <v>2643</v>
      </c>
      <c r="L57" s="1680">
        <f ca="1">IF(L48&lt;J51,"——",IF(L55="比较法",L49,IF(L55="基准地价",L50,L51)))</f>
        <v>0</v>
      </c>
      <c r="O57" s="1675" t="s">
        <v>1048</v>
      </c>
      <c r="P57" s="1676" t="s">
        <v>1552</v>
      </c>
      <c r="Q57" s="1712" t="e">
        <f ca="1">L60</f>
        <v>#DIV/0!</v>
      </c>
      <c r="R57" s="1712" t="s">
        <v>1553</v>
      </c>
    </row>
    <row r="58" spans="1:18" s="1465" customFormat="1" ht="24">
      <c r="A58" s="1623" t="s">
        <v>1436</v>
      </c>
      <c r="B58" s="1615" t="s">
        <v>1437</v>
      </c>
      <c r="C58" s="570">
        <f ca="1">ROUND(C59+C64+C65+C66,0)</f>
        <v>0</v>
      </c>
      <c r="D58" s="1624" t="s">
        <v>1438</v>
      </c>
      <c r="E58" s="1625"/>
      <c r="F58" s="1594"/>
      <c r="I58" s="1702" t="s">
        <v>1554</v>
      </c>
      <c r="J58" s="1704" t="e">
        <f ca="1">IF(J55&lt;0.4,0.4,J55)</f>
        <v>#DIV/0!</v>
      </c>
      <c r="K58" s="1687" t="s">
        <v>2644</v>
      </c>
      <c r="L58" s="1680" t="e">
        <f ca="1">ROUND(POWER(1+L52,L47-L48)*(POWER(1+L52,L48)-1)/(POWER(1+L52,L47)-1),4)</f>
        <v>#DIV/0!</v>
      </c>
      <c r="O58" s="1683" t="s">
        <v>1524</v>
      </c>
      <c r="P58" s="1676" t="s">
        <v>1556</v>
      </c>
      <c r="Q58" s="1712">
        <f>IF(L55="比较法",L49,IF(L55="基准地价",L50,0))</f>
        <v>0</v>
      </c>
      <c r="R58" s="1712" t="s">
        <v>1512</v>
      </c>
    </row>
    <row r="59" spans="1:18" s="1465" customFormat="1" ht="24">
      <c r="A59" s="1526" t="s">
        <v>938</v>
      </c>
      <c r="B59" s="1619" t="s">
        <v>1443</v>
      </c>
      <c r="C59" s="1549">
        <f ca="1">ROUND(IF(AND(项目基本情况!B11="自然人",项目基本情况!B10="北京市"),C49*F59/(1+'数据-取费表'!C42),C60+C61+C62),0)</f>
        <v>0</v>
      </c>
      <c r="D59" s="1626" t="s">
        <v>1444</v>
      </c>
      <c r="E59" s="1627" t="s">
        <v>1445</v>
      </c>
      <c r="F59" s="1551" t="str">
        <f>IF(项目基本情况!B11="企业","——",IF('数据-取费表'!B10="住宅",IF(F49*F50*F51/12/(1+'数据-取费表'!F30)&gt;100000,4%,2.5%),IF(F49*F50*F51/12/(1+'数据-取费表'!F30)&gt;100000,12%,7%)))</f>
        <v>——</v>
      </c>
      <c r="I59" s="1702" t="s">
        <v>1557</v>
      </c>
      <c r="J59" s="1703" t="e">
        <f ca="1">IF(OR(M47="住宅",J51&lt;L48,J56="是"),"——",ROUND(C29*J58,0))</f>
        <v>#DIV/0!</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475" t="e">
        <f ca="1">ROUND(POWER(1+L52,L47-(J51+'数据-取费表'!B24))*(POWER(1+L52,(J51+'数据-取费表'!B24))-1)/(POWER(1+L52,L47)-1),4)</f>
        <v>#DIV/0!</v>
      </c>
      <c r="N59" s="1475" t="e">
        <f ca="1">ROUND(POWER(1+L52,L47-(J51+'数据-取费表'!B20))*(POWER(1+L52,(J51+'数据-取费表'!B20))-1)/(POWER(1+L52,L47)-1),4)</f>
        <v>#DIV/0!</v>
      </c>
      <c r="O59" s="1683" t="s">
        <v>1528</v>
      </c>
      <c r="P59" s="1676" t="s">
        <v>1558</v>
      </c>
      <c r="Q59" s="1713">
        <f>L52</f>
        <v>0</v>
      </c>
      <c r="R59" s="1712"/>
    </row>
    <row r="60" spans="1:18" s="1465" customFormat="1" ht="15.75">
      <c r="A60" s="1526" t="s">
        <v>961</v>
      </c>
      <c r="B60" s="1619" t="s">
        <v>1447</v>
      </c>
      <c r="C60" s="571">
        <f ca="1">IF(项目基本情况!B11="自然人","——",ROUND(C48*F60/(1+'数据-取费表'!C42),0))</f>
        <v>0</v>
      </c>
      <c r="D60" s="1627" t="s">
        <v>1448</v>
      </c>
      <c r="E60" s="1619" t="s">
        <v>1435</v>
      </c>
      <c r="F60" s="1541">
        <f t="shared" ref="F60:F66" si="0">F32</f>
        <v>5.5000000000000007E-2</v>
      </c>
      <c r="I60" s="1705" t="s">
        <v>1559</v>
      </c>
      <c r="J60" s="1706" t="e">
        <f ca="1">IF(OR(M47="住宅",J51&lt;L48,J56="是"),"0",ROUND(J59/(1+J52)^J53,0))</f>
        <v>#DIV/0!</v>
      </c>
      <c r="K60" s="1707" t="s">
        <v>1560</v>
      </c>
      <c r="L60" s="1706" t="e">
        <f ca="1">IF(OR(M47="住宅",L48&lt;J51),0,ROUND(L57*(L58/L59-1),0))</f>
        <v>#DIV/0!</v>
      </c>
      <c r="O60" s="1683" t="s">
        <v>1532</v>
      </c>
      <c r="P60" s="1676" t="s">
        <v>1561</v>
      </c>
      <c r="Q60" s="1712" t="e">
        <f ca="1">L58</f>
        <v>#DIV/0!</v>
      </c>
      <c r="R60" s="1712" t="s">
        <v>1562</v>
      </c>
    </row>
    <row r="61" spans="1:18" s="1465" customFormat="1">
      <c r="A61" s="1526" t="s">
        <v>965</v>
      </c>
      <c r="B61" s="1619" t="s">
        <v>1451</v>
      </c>
      <c r="C61" s="571">
        <f ca="1">IF(项目基本情况!B11="自然人","——",IF(D61="按租金收入计税",ROUND(C49*F61/(1+'数据-取费表'!C42),0),IF(D61="按房产原值计税",ROUND(C57*F61*0.7,0),INDIRECT("'数据-取费表'!Aj"&amp;$G$1))))</f>
        <v>0</v>
      </c>
      <c r="D61" s="1553" t="s">
        <v>1452</v>
      </c>
      <c r="E61" s="1619" t="s">
        <v>1435</v>
      </c>
      <c r="F61" s="1535">
        <f t="shared" si="0"/>
        <v>0.12</v>
      </c>
      <c r="I61" s="1569"/>
      <c r="J61" s="1569"/>
      <c r="K61" s="1569"/>
      <c r="L61" s="1569"/>
      <c r="O61" s="1683" t="s">
        <v>1536</v>
      </c>
      <c r="P61" s="1676" t="str">
        <f>K59</f>
        <v>建筑物剩余耐用年限下的土地年期修正系数Kn</v>
      </c>
      <c r="Q61" s="1712" t="e">
        <f ca="1">L59</f>
        <v>#DIV/0!</v>
      </c>
      <c r="R61" s="1712" t="s">
        <v>1563</v>
      </c>
    </row>
    <row r="62" spans="1:18" s="1465" customFormat="1">
      <c r="A62" s="1526" t="s">
        <v>968</v>
      </c>
      <c r="B62" s="1628" t="s">
        <v>1455</v>
      </c>
      <c r="C62" s="1555">
        <f ca="1">IF(项目基本情况!B11="自然人","——",ROUND(F62*F63,0))</f>
        <v>0</v>
      </c>
      <c r="D62" s="1629" t="s">
        <v>1456</v>
      </c>
      <c r="E62" s="1619" t="s">
        <v>1457</v>
      </c>
      <c r="F62" s="1540">
        <f t="shared" si="0"/>
        <v>1.5</v>
      </c>
      <c r="I62" s="1708" t="s">
        <v>1564</v>
      </c>
      <c r="J62" s="768" t="s">
        <v>1565</v>
      </c>
      <c r="K62" s="768" t="s">
        <v>1566</v>
      </c>
      <c r="L62" s="768" t="s">
        <v>1567</v>
      </c>
      <c r="M62" s="1709" t="s">
        <v>1568</v>
      </c>
      <c r="O62" s="1675" t="s">
        <v>1149</v>
      </c>
      <c r="P62" s="1676" t="s">
        <v>1542</v>
      </c>
      <c r="Q62" s="1712" t="e">
        <f ca="1">Q56+Q57</f>
        <v>#DIV/0!</v>
      </c>
      <c r="R62" s="1712" t="s">
        <v>1543</v>
      </c>
    </row>
    <row r="63" spans="1:18" s="1465" customFormat="1">
      <c r="A63" s="1539"/>
      <c r="B63" s="1630"/>
      <c r="C63" s="1559"/>
      <c r="D63" s="1631"/>
      <c r="E63" s="1619" t="s">
        <v>1461</v>
      </c>
      <c r="F63" s="1498">
        <f t="shared" ca="1" si="0"/>
        <v>0</v>
      </c>
      <c r="I63" s="1708" t="s">
        <v>1569</v>
      </c>
      <c r="J63" s="768">
        <v>70</v>
      </c>
      <c r="K63" s="768">
        <v>50</v>
      </c>
      <c r="L63" s="768">
        <v>80</v>
      </c>
      <c r="M63" s="1710">
        <v>0.02</v>
      </c>
      <c r="O63" s="1663" t="s">
        <v>1570</v>
      </c>
      <c r="P63" s="1475"/>
      <c r="Q63" s="1475"/>
      <c r="R63" s="1475"/>
    </row>
    <row r="64" spans="1:18" s="1465" customFormat="1">
      <c r="A64" s="1526" t="s">
        <v>942</v>
      </c>
      <c r="B64" s="1619" t="s">
        <v>1463</v>
      </c>
      <c r="C64" s="571">
        <f ca="1">ROUND(C57*F64,0)</f>
        <v>0</v>
      </c>
      <c r="D64" s="1627" t="s">
        <v>1496</v>
      </c>
      <c r="E64" s="1619" t="s">
        <v>1435</v>
      </c>
      <c r="F64" s="1562">
        <f t="shared" ca="1" si="0"/>
        <v>0</v>
      </c>
      <c r="I64" s="1708" t="s">
        <v>1571</v>
      </c>
      <c r="J64" s="768">
        <v>50</v>
      </c>
      <c r="K64" s="768">
        <v>35</v>
      </c>
      <c r="L64" s="768">
        <v>60</v>
      </c>
      <c r="M64" s="1709">
        <v>0</v>
      </c>
      <c r="O64" s="1668" t="s">
        <v>1504</v>
      </c>
      <c r="P64" s="1669" t="s">
        <v>1505</v>
      </c>
      <c r="Q64" s="1711" t="s">
        <v>1506</v>
      </c>
      <c r="R64" s="1711" t="s">
        <v>1507</v>
      </c>
    </row>
    <row r="65" spans="1:18" s="1465" customFormat="1">
      <c r="A65" s="1526" t="s">
        <v>987</v>
      </c>
      <c r="B65" s="1619" t="s">
        <v>1467</v>
      </c>
      <c r="C65" s="571">
        <f ca="1">ROUND(C56*F65,0)</f>
        <v>0</v>
      </c>
      <c r="D65" s="1627" t="s">
        <v>1468</v>
      </c>
      <c r="E65" s="1619" t="s">
        <v>1435</v>
      </c>
      <c r="F65" s="1563">
        <f t="shared" ca="1" si="0"/>
        <v>0</v>
      </c>
      <c r="I65" s="1708" t="s">
        <v>1572</v>
      </c>
      <c r="J65" s="768">
        <v>40</v>
      </c>
      <c r="K65" s="768">
        <v>30</v>
      </c>
      <c r="L65" s="768">
        <v>50</v>
      </c>
      <c r="M65" s="1710">
        <v>0.02</v>
      </c>
      <c r="O65" s="1675" t="s">
        <v>1044</v>
      </c>
      <c r="P65" s="1676" t="s">
        <v>1511</v>
      </c>
      <c r="Q65" s="1712" t="e">
        <f ca="1">C40+J29</f>
        <v>#DIV/0!</v>
      </c>
      <c r="R65" s="1712" t="s">
        <v>1512</v>
      </c>
    </row>
    <row r="66" spans="1:18" s="1465" customFormat="1" ht="15.75">
      <c r="A66" s="1526" t="s">
        <v>990</v>
      </c>
      <c r="B66" s="1619" t="s">
        <v>1453</v>
      </c>
      <c r="C66" s="571">
        <f ca="1">ROUND(C48*F66,0)</f>
        <v>0</v>
      </c>
      <c r="D66" s="1627" t="s">
        <v>1471</v>
      </c>
      <c r="E66" s="1619" t="s">
        <v>1435</v>
      </c>
      <c r="F66" s="1505">
        <f t="shared" ca="1" si="0"/>
        <v>0</v>
      </c>
      <c r="O66" s="1675" t="s">
        <v>1048</v>
      </c>
      <c r="P66" s="1676" t="s">
        <v>1552</v>
      </c>
      <c r="Q66" s="1712" t="e">
        <f ca="1">L60</f>
        <v>#DIV/0!</v>
      </c>
      <c r="R66" s="1712" t="s">
        <v>1553</v>
      </c>
    </row>
    <row r="67" spans="1:18" s="1465" customFormat="1" ht="15.75">
      <c r="A67" s="1614" t="s">
        <v>1474</v>
      </c>
      <c r="B67" s="1714" t="s">
        <v>1475</v>
      </c>
      <c r="C67" s="570">
        <f ca="1">C48-C58</f>
        <v>0</v>
      </c>
      <c r="D67" s="1626" t="s">
        <v>1476</v>
      </c>
      <c r="E67" s="1715"/>
      <c r="F67" s="1716"/>
      <c r="O67" s="1683" t="s">
        <v>1524</v>
      </c>
      <c r="P67" s="1676" t="s">
        <v>1556</v>
      </c>
      <c r="Q67" s="1737">
        <f ca="1">L51</f>
        <v>0</v>
      </c>
      <c r="R67" s="1712" t="s">
        <v>1573</v>
      </c>
    </row>
    <row r="68" spans="1:18" s="1465" customFormat="1" ht="15.75">
      <c r="A68" s="1717" t="s">
        <v>1480</v>
      </c>
      <c r="B68" s="1718" t="s">
        <v>1497</v>
      </c>
      <c r="C68" s="1568" t="e">
        <f ca="1">ROUND(C67*(1-((1+F70)/(1+F68))^F69)/(F68-F70),0)</f>
        <v>#DIV/0!</v>
      </c>
      <c r="D68" s="1629" t="s">
        <v>1482</v>
      </c>
      <c r="E68" s="1619" t="s">
        <v>1483</v>
      </c>
      <c r="F68" s="1505">
        <f ca="1">F40</f>
        <v>0</v>
      </c>
      <c r="O68" s="1683" t="s">
        <v>1528</v>
      </c>
      <c r="P68" s="1736" t="s">
        <v>1574</v>
      </c>
      <c r="Q68" s="1712">
        <f ca="1">ROUND(Q69-Q70*Q71,0)</f>
        <v>0</v>
      </c>
      <c r="R68" s="1712" t="s">
        <v>1575</v>
      </c>
    </row>
    <row r="69" spans="1:18" s="1465" customFormat="1">
      <c r="A69" s="1719"/>
      <c r="B69" s="1720"/>
      <c r="C69" s="1504"/>
      <c r="D69" s="1721" t="s">
        <v>1486</v>
      </c>
      <c r="E69" s="1619" t="s">
        <v>1487</v>
      </c>
      <c r="F69" s="1572">
        <f ca="1">F41</f>
        <v>0</v>
      </c>
      <c r="O69" s="1683" t="s">
        <v>1576</v>
      </c>
      <c r="P69" s="1736" t="s">
        <v>1577</v>
      </c>
      <c r="Q69" s="1712">
        <f ca="1">C39</f>
        <v>0</v>
      </c>
      <c r="R69" s="1712" t="s">
        <v>1512</v>
      </c>
    </row>
    <row r="70" spans="1:18" s="1465" customFormat="1">
      <c r="A70" s="1722"/>
      <c r="B70" s="1723"/>
      <c r="C70" s="1523"/>
      <c r="D70" s="1631"/>
      <c r="E70" s="1619" t="s">
        <v>1490</v>
      </c>
      <c r="F70" s="1609"/>
      <c r="O70" s="1683" t="s">
        <v>1578</v>
      </c>
      <c r="P70" s="1736" t="s">
        <v>1579</v>
      </c>
      <c r="Q70" s="1712">
        <f ca="1">C13</f>
        <v>0</v>
      </c>
      <c r="R70" s="1712" t="s">
        <v>1512</v>
      </c>
    </row>
    <row r="71" spans="1:18" s="1465" customFormat="1">
      <c r="A71" s="1724" t="s">
        <v>1492</v>
      </c>
      <c r="B71" s="1725" t="s">
        <v>1498</v>
      </c>
      <c r="C71" s="1575" t="e">
        <f ca="1">ROUND(C68/F71,0)</f>
        <v>#DIV/0!</v>
      </c>
      <c r="D71" s="1726" t="s">
        <v>1499</v>
      </c>
      <c r="E71" s="1727" t="s">
        <v>1500</v>
      </c>
      <c r="F71" s="1578">
        <f ca="1">F43</f>
        <v>0</v>
      </c>
      <c r="O71" s="1683" t="s">
        <v>1580</v>
      </c>
      <c r="P71" s="1736" t="s">
        <v>1581</v>
      </c>
      <c r="Q71" s="1713">
        <f ca="1">C76</f>
        <v>0</v>
      </c>
      <c r="R71" s="1712"/>
    </row>
    <row r="72" spans="1:18" s="1465" customFormat="1">
      <c r="B72" s="602"/>
      <c r="C72" s="602"/>
      <c r="O72" s="1683" t="s">
        <v>1532</v>
      </c>
      <c r="P72" s="1676" t="s">
        <v>1558</v>
      </c>
      <c r="Q72" s="1713">
        <f>L52</f>
        <v>0</v>
      </c>
      <c r="R72" s="1712"/>
    </row>
    <row r="73" spans="1:18" ht="15.75">
      <c r="A73" s="1465"/>
      <c r="B73" s="602"/>
      <c r="C73" s="602"/>
      <c r="D73" s="1465"/>
      <c r="E73" s="1465"/>
      <c r="F73" s="1465"/>
      <c r="O73" s="1683" t="s">
        <v>1536</v>
      </c>
      <c r="P73" s="1676" t="s">
        <v>1561</v>
      </c>
      <c r="Q73" s="1712" t="e">
        <f ca="1">L58</f>
        <v>#DIV/0!</v>
      </c>
      <c r="R73" s="1712" t="s">
        <v>1562</v>
      </c>
    </row>
    <row r="74" spans="1:18">
      <c r="A74" s="1465"/>
      <c r="B74" s="420" t="s">
        <v>1582</v>
      </c>
      <c r="C74" s="1728"/>
      <c r="D74" s="1465"/>
      <c r="E74" s="1465"/>
      <c r="F74" s="1465"/>
      <c r="O74" s="1683" t="s">
        <v>1583</v>
      </c>
      <c r="P74" s="1676" t="str">
        <f>K59</f>
        <v>建筑物剩余耐用年限下的土地年期修正系数Kn</v>
      </c>
      <c r="Q74" s="1712" t="e">
        <f ca="1">L59</f>
        <v>#DIV/0!</v>
      </c>
      <c r="R74" s="1712" t="s">
        <v>1563</v>
      </c>
    </row>
    <row r="75" spans="1:18">
      <c r="A75" s="1465"/>
      <c r="B75" s="1729" t="s">
        <v>1584</v>
      </c>
      <c r="C75" s="1730">
        <f ca="1">ROUND(C13*C76,0)</f>
        <v>0</v>
      </c>
      <c r="D75" s="1465"/>
      <c r="E75" s="1465"/>
      <c r="F75" s="1465"/>
      <c r="K75" s="1662"/>
      <c r="L75" s="1465"/>
      <c r="O75" s="1675" t="s">
        <v>1149</v>
      </c>
      <c r="P75" s="1676" t="s">
        <v>1542</v>
      </c>
      <c r="Q75" s="1712" t="e">
        <f ca="1">Q65+Q66</f>
        <v>#DIV/0!</v>
      </c>
      <c r="R75" s="1712" t="s">
        <v>1543</v>
      </c>
    </row>
    <row r="76" spans="1:18">
      <c r="B76" s="1731" t="s">
        <v>1585</v>
      </c>
      <c r="C76" s="1732">
        <f ca="1">INDIRECT("'数据-取费表'!j"&amp;$G$1)</f>
        <v>0</v>
      </c>
      <c r="I76" s="1465"/>
      <c r="J76" s="1465"/>
      <c r="K76" s="1662"/>
      <c r="L76" s="1465"/>
    </row>
    <row r="77" spans="1:18">
      <c r="B77" s="1733" t="s">
        <v>1586</v>
      </c>
      <c r="C77" s="1734"/>
      <c r="I77" s="1465"/>
      <c r="J77" s="1465"/>
      <c r="K77" s="1662"/>
      <c r="L77" s="1465"/>
    </row>
    <row r="78" spans="1:18">
      <c r="B78" s="418" t="s">
        <v>1587</v>
      </c>
      <c r="C78" s="1735"/>
    </row>
    <row r="79" spans="1:18">
      <c r="B79" s="1729" t="s">
        <v>1588</v>
      </c>
      <c r="C79" s="421" t="e">
        <f ca="1">1-C80</f>
        <v>#DIV/0!</v>
      </c>
    </row>
    <row r="80" spans="1:18">
      <c r="B80" s="1729" t="s">
        <v>1589</v>
      </c>
      <c r="C80" s="421" t="e">
        <f ca="1">ROUND(C75/C39,3)</f>
        <v>#DIV/0!</v>
      </c>
    </row>
    <row r="81" spans="2:3">
      <c r="B81" s="418" t="s">
        <v>1590</v>
      </c>
      <c r="C81" s="388"/>
    </row>
    <row r="82" spans="2:3">
      <c r="B82" s="420" t="s">
        <v>1125</v>
      </c>
      <c r="C82" s="422" t="e">
        <f ca="1">1-C83</f>
        <v>#DIV/0!</v>
      </c>
    </row>
    <row r="83" spans="2:3">
      <c r="B83" s="420" t="s">
        <v>1126</v>
      </c>
      <c r="C83" s="421"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94" customWidth="1"/>
    <col min="2" max="2" width="8.875" style="1294"/>
    <col min="3" max="5" width="12.875" style="1294" customWidth="1"/>
    <col min="6" max="6" width="47.5" style="1294" customWidth="1"/>
    <col min="7" max="7" width="13" style="1295" customWidth="1"/>
    <col min="8" max="8" width="8.875" style="1295"/>
    <col min="9" max="9" width="8.875" style="1296"/>
    <col min="10" max="10" width="5.75" style="1297" customWidth="1"/>
    <col min="11" max="11" width="11.75" style="1297" customWidth="1"/>
    <col min="12" max="13" width="10.75" style="1297" customWidth="1"/>
    <col min="14" max="14" width="10" style="1297" customWidth="1"/>
    <col min="15" max="16" width="10.5" style="1297" customWidth="1"/>
    <col min="17" max="17" width="10" style="1297" customWidth="1"/>
    <col min="18" max="18" width="10.125" style="1297" customWidth="1"/>
    <col min="19" max="19" width="10" style="1297" customWidth="1"/>
    <col min="20" max="20" width="26.125" style="1297" customWidth="1"/>
    <col min="21" max="21" width="8.875" style="1297"/>
    <col min="22" max="22" width="8.875" style="1296"/>
    <col min="23" max="256" width="8.875" style="1294"/>
    <col min="257" max="257" width="9.5" style="1294" customWidth="1"/>
    <col min="258" max="258" width="8.875" style="1294"/>
    <col min="259" max="261" width="12.875" style="1294" customWidth="1"/>
    <col min="262" max="262" width="47.5" style="1294" customWidth="1"/>
    <col min="263" max="263" width="13" style="1294" customWidth="1"/>
    <col min="264" max="265" width="8.875" style="1294"/>
    <col min="266" max="266" width="5.75" style="1294" customWidth="1"/>
    <col min="267" max="267" width="11.75" style="1294" customWidth="1"/>
    <col min="268" max="269" width="10.75" style="1294" customWidth="1"/>
    <col min="270" max="270" width="10" style="1294" customWidth="1"/>
    <col min="271" max="272" width="10.5" style="1294" customWidth="1"/>
    <col min="273" max="273" width="10" style="1294" customWidth="1"/>
    <col min="274" max="274" width="10.125" style="1294" customWidth="1"/>
    <col min="275" max="275" width="10" style="1294" customWidth="1"/>
    <col min="276" max="276" width="26.125" style="1294" customWidth="1"/>
    <col min="277" max="512" width="8.875" style="1294"/>
    <col min="513" max="513" width="9.5" style="1294" customWidth="1"/>
    <col min="514" max="514" width="8.875" style="1294"/>
    <col min="515" max="517" width="12.875" style="1294" customWidth="1"/>
    <col min="518" max="518" width="47.5" style="1294" customWidth="1"/>
    <col min="519" max="519" width="13" style="1294" customWidth="1"/>
    <col min="520" max="521" width="8.875" style="1294"/>
    <col min="522" max="522" width="5.75" style="1294" customWidth="1"/>
    <col min="523" max="523" width="11.75" style="1294" customWidth="1"/>
    <col min="524" max="525" width="10.75" style="1294" customWidth="1"/>
    <col min="526" max="526" width="10" style="1294" customWidth="1"/>
    <col min="527" max="528" width="10.5" style="1294" customWidth="1"/>
    <col min="529" max="529" width="10" style="1294" customWidth="1"/>
    <col min="530" max="530" width="10.125" style="1294" customWidth="1"/>
    <col min="531" max="531" width="10" style="1294" customWidth="1"/>
    <col min="532" max="532" width="26.125" style="1294" customWidth="1"/>
    <col min="533" max="768" width="8.875" style="1294"/>
    <col min="769" max="769" width="9.5" style="1294" customWidth="1"/>
    <col min="770" max="770" width="8.875" style="1294"/>
    <col min="771" max="773" width="12.875" style="1294" customWidth="1"/>
    <col min="774" max="774" width="47.5" style="1294" customWidth="1"/>
    <col min="775" max="775" width="13" style="1294" customWidth="1"/>
    <col min="776" max="777" width="8.875" style="1294"/>
    <col min="778" max="778" width="5.75" style="1294" customWidth="1"/>
    <col min="779" max="779" width="11.75" style="1294" customWidth="1"/>
    <col min="780" max="781" width="10.75" style="1294" customWidth="1"/>
    <col min="782" max="782" width="10" style="1294" customWidth="1"/>
    <col min="783" max="784" width="10.5" style="1294" customWidth="1"/>
    <col min="785" max="785" width="10" style="1294" customWidth="1"/>
    <col min="786" max="786" width="10.125" style="1294" customWidth="1"/>
    <col min="787" max="787" width="10" style="1294" customWidth="1"/>
    <col min="788" max="788" width="26.125" style="1294" customWidth="1"/>
    <col min="789" max="1024" width="8.875" style="1294"/>
    <col min="1025" max="1025" width="9.5" style="1294" customWidth="1"/>
    <col min="1026" max="1026" width="8.875" style="1294"/>
    <col min="1027" max="1029" width="12.875" style="1294" customWidth="1"/>
    <col min="1030" max="1030" width="47.5" style="1294" customWidth="1"/>
    <col min="1031" max="1031" width="13" style="1294" customWidth="1"/>
    <col min="1032" max="1033" width="8.875" style="1294"/>
    <col min="1034" max="1034" width="5.75" style="1294" customWidth="1"/>
    <col min="1035" max="1035" width="11.75" style="1294" customWidth="1"/>
    <col min="1036" max="1037" width="10.75" style="1294" customWidth="1"/>
    <col min="1038" max="1038" width="10" style="1294" customWidth="1"/>
    <col min="1039" max="1040" width="10.5" style="1294" customWidth="1"/>
    <col min="1041" max="1041" width="10" style="1294" customWidth="1"/>
    <col min="1042" max="1042" width="10.125" style="1294" customWidth="1"/>
    <col min="1043" max="1043" width="10" style="1294" customWidth="1"/>
    <col min="1044" max="1044" width="26.125" style="1294" customWidth="1"/>
    <col min="1045" max="1280" width="8.875" style="1294"/>
    <col min="1281" max="1281" width="9.5" style="1294" customWidth="1"/>
    <col min="1282" max="1282" width="8.875" style="1294"/>
    <col min="1283" max="1285" width="12.875" style="1294" customWidth="1"/>
    <col min="1286" max="1286" width="47.5" style="1294" customWidth="1"/>
    <col min="1287" max="1287" width="13" style="1294" customWidth="1"/>
    <col min="1288" max="1289" width="8.875" style="1294"/>
    <col min="1290" max="1290" width="5.75" style="1294" customWidth="1"/>
    <col min="1291" max="1291" width="11.75" style="1294" customWidth="1"/>
    <col min="1292" max="1293" width="10.75" style="1294" customWidth="1"/>
    <col min="1294" max="1294" width="10" style="1294" customWidth="1"/>
    <col min="1295" max="1296" width="10.5" style="1294" customWidth="1"/>
    <col min="1297" max="1297" width="10" style="1294" customWidth="1"/>
    <col min="1298" max="1298" width="10.125" style="1294" customWidth="1"/>
    <col min="1299" max="1299" width="10" style="1294" customWidth="1"/>
    <col min="1300" max="1300" width="26.125" style="1294" customWidth="1"/>
    <col min="1301" max="1536" width="8.875" style="1294"/>
    <col min="1537" max="1537" width="9.5" style="1294" customWidth="1"/>
    <col min="1538" max="1538" width="8.875" style="1294"/>
    <col min="1539" max="1541" width="12.875" style="1294" customWidth="1"/>
    <col min="1542" max="1542" width="47.5" style="1294" customWidth="1"/>
    <col min="1543" max="1543" width="13" style="1294" customWidth="1"/>
    <col min="1544" max="1545" width="8.875" style="1294"/>
    <col min="1546" max="1546" width="5.75" style="1294" customWidth="1"/>
    <col min="1547" max="1547" width="11.75" style="1294" customWidth="1"/>
    <col min="1548" max="1549" width="10.75" style="1294" customWidth="1"/>
    <col min="1550" max="1550" width="10" style="1294" customWidth="1"/>
    <col min="1551" max="1552" width="10.5" style="1294" customWidth="1"/>
    <col min="1553" max="1553" width="10" style="1294" customWidth="1"/>
    <col min="1554" max="1554" width="10.125" style="1294" customWidth="1"/>
    <col min="1555" max="1555" width="10" style="1294" customWidth="1"/>
    <col min="1556" max="1556" width="26.125" style="1294" customWidth="1"/>
    <col min="1557" max="1792" width="8.875" style="1294"/>
    <col min="1793" max="1793" width="9.5" style="1294" customWidth="1"/>
    <col min="1794" max="1794" width="8.875" style="1294"/>
    <col min="1795" max="1797" width="12.875" style="1294" customWidth="1"/>
    <col min="1798" max="1798" width="47.5" style="1294" customWidth="1"/>
    <col min="1799" max="1799" width="13" style="1294" customWidth="1"/>
    <col min="1800" max="1801" width="8.875" style="1294"/>
    <col min="1802" max="1802" width="5.75" style="1294" customWidth="1"/>
    <col min="1803" max="1803" width="11.75" style="1294" customWidth="1"/>
    <col min="1804" max="1805" width="10.75" style="1294" customWidth="1"/>
    <col min="1806" max="1806" width="10" style="1294" customWidth="1"/>
    <col min="1807" max="1808" width="10.5" style="1294" customWidth="1"/>
    <col min="1809" max="1809" width="10" style="1294" customWidth="1"/>
    <col min="1810" max="1810" width="10.125" style="1294" customWidth="1"/>
    <col min="1811" max="1811" width="10" style="1294" customWidth="1"/>
    <col min="1812" max="1812" width="26.125" style="1294" customWidth="1"/>
    <col min="1813" max="2048" width="8.875" style="1294"/>
    <col min="2049" max="2049" width="9.5" style="1294" customWidth="1"/>
    <col min="2050" max="2050" width="8.875" style="1294"/>
    <col min="2051" max="2053" width="12.875" style="1294" customWidth="1"/>
    <col min="2054" max="2054" width="47.5" style="1294" customWidth="1"/>
    <col min="2055" max="2055" width="13" style="1294" customWidth="1"/>
    <col min="2056" max="2057" width="8.875" style="1294"/>
    <col min="2058" max="2058" width="5.75" style="1294" customWidth="1"/>
    <col min="2059" max="2059" width="11.75" style="1294" customWidth="1"/>
    <col min="2060" max="2061" width="10.75" style="1294" customWidth="1"/>
    <col min="2062" max="2062" width="10" style="1294" customWidth="1"/>
    <col min="2063" max="2064" width="10.5" style="1294" customWidth="1"/>
    <col min="2065" max="2065" width="10" style="1294" customWidth="1"/>
    <col min="2066" max="2066" width="10.125" style="1294" customWidth="1"/>
    <col min="2067" max="2067" width="10" style="1294" customWidth="1"/>
    <col min="2068" max="2068" width="26.125" style="1294" customWidth="1"/>
    <col min="2069" max="2304" width="8.875" style="1294"/>
    <col min="2305" max="2305" width="9.5" style="1294" customWidth="1"/>
    <col min="2306" max="2306" width="8.875" style="1294"/>
    <col min="2307" max="2309" width="12.875" style="1294" customWidth="1"/>
    <col min="2310" max="2310" width="47.5" style="1294" customWidth="1"/>
    <col min="2311" max="2311" width="13" style="1294" customWidth="1"/>
    <col min="2312" max="2313" width="8.875" style="1294"/>
    <col min="2314" max="2314" width="5.75" style="1294" customWidth="1"/>
    <col min="2315" max="2315" width="11.75" style="1294" customWidth="1"/>
    <col min="2316" max="2317" width="10.75" style="1294" customWidth="1"/>
    <col min="2318" max="2318" width="10" style="1294" customWidth="1"/>
    <col min="2319" max="2320" width="10.5" style="1294" customWidth="1"/>
    <col min="2321" max="2321" width="10" style="1294" customWidth="1"/>
    <col min="2322" max="2322" width="10.125" style="1294" customWidth="1"/>
    <col min="2323" max="2323" width="10" style="1294" customWidth="1"/>
    <col min="2324" max="2324" width="26.125" style="1294" customWidth="1"/>
    <col min="2325" max="2560" width="8.875" style="1294"/>
    <col min="2561" max="2561" width="9.5" style="1294" customWidth="1"/>
    <col min="2562" max="2562" width="8.875" style="1294"/>
    <col min="2563" max="2565" width="12.875" style="1294" customWidth="1"/>
    <col min="2566" max="2566" width="47.5" style="1294" customWidth="1"/>
    <col min="2567" max="2567" width="13" style="1294" customWidth="1"/>
    <col min="2568" max="2569" width="8.875" style="1294"/>
    <col min="2570" max="2570" width="5.75" style="1294" customWidth="1"/>
    <col min="2571" max="2571" width="11.75" style="1294" customWidth="1"/>
    <col min="2572" max="2573" width="10.75" style="1294" customWidth="1"/>
    <col min="2574" max="2574" width="10" style="1294" customWidth="1"/>
    <col min="2575" max="2576" width="10.5" style="1294" customWidth="1"/>
    <col min="2577" max="2577" width="10" style="1294" customWidth="1"/>
    <col min="2578" max="2578" width="10.125" style="1294" customWidth="1"/>
    <col min="2579" max="2579" width="10" style="1294" customWidth="1"/>
    <col min="2580" max="2580" width="26.125" style="1294" customWidth="1"/>
    <col min="2581" max="2816" width="8.875" style="1294"/>
    <col min="2817" max="2817" width="9.5" style="1294" customWidth="1"/>
    <col min="2818" max="2818" width="8.875" style="1294"/>
    <col min="2819" max="2821" width="12.875" style="1294" customWidth="1"/>
    <col min="2822" max="2822" width="47.5" style="1294" customWidth="1"/>
    <col min="2823" max="2823" width="13" style="1294" customWidth="1"/>
    <col min="2824" max="2825" width="8.875" style="1294"/>
    <col min="2826" max="2826" width="5.75" style="1294" customWidth="1"/>
    <col min="2827" max="2827" width="11.75" style="1294" customWidth="1"/>
    <col min="2828" max="2829" width="10.75" style="1294" customWidth="1"/>
    <col min="2830" max="2830" width="10" style="1294" customWidth="1"/>
    <col min="2831" max="2832" width="10.5" style="1294" customWidth="1"/>
    <col min="2833" max="2833" width="10" style="1294" customWidth="1"/>
    <col min="2834" max="2834" width="10.125" style="1294" customWidth="1"/>
    <col min="2835" max="2835" width="10" style="1294" customWidth="1"/>
    <col min="2836" max="2836" width="26.125" style="1294" customWidth="1"/>
    <col min="2837" max="3072" width="8.875" style="1294"/>
    <col min="3073" max="3073" width="9.5" style="1294" customWidth="1"/>
    <col min="3074" max="3074" width="8.875" style="1294"/>
    <col min="3075" max="3077" width="12.875" style="1294" customWidth="1"/>
    <col min="3078" max="3078" width="47.5" style="1294" customWidth="1"/>
    <col min="3079" max="3079" width="13" style="1294" customWidth="1"/>
    <col min="3080" max="3081" width="8.875" style="1294"/>
    <col min="3082" max="3082" width="5.75" style="1294" customWidth="1"/>
    <col min="3083" max="3083" width="11.75" style="1294" customWidth="1"/>
    <col min="3084" max="3085" width="10.75" style="1294" customWidth="1"/>
    <col min="3086" max="3086" width="10" style="1294" customWidth="1"/>
    <col min="3087" max="3088" width="10.5" style="1294" customWidth="1"/>
    <col min="3089" max="3089" width="10" style="1294" customWidth="1"/>
    <col min="3090" max="3090" width="10.125" style="1294" customWidth="1"/>
    <col min="3091" max="3091" width="10" style="1294" customWidth="1"/>
    <col min="3092" max="3092" width="26.125" style="1294" customWidth="1"/>
    <col min="3093" max="3328" width="8.875" style="1294"/>
    <col min="3329" max="3329" width="9.5" style="1294" customWidth="1"/>
    <col min="3330" max="3330" width="8.875" style="1294"/>
    <col min="3331" max="3333" width="12.875" style="1294" customWidth="1"/>
    <col min="3334" max="3334" width="47.5" style="1294" customWidth="1"/>
    <col min="3335" max="3335" width="13" style="1294" customWidth="1"/>
    <col min="3336" max="3337" width="8.875" style="1294"/>
    <col min="3338" max="3338" width="5.75" style="1294" customWidth="1"/>
    <col min="3339" max="3339" width="11.75" style="1294" customWidth="1"/>
    <col min="3340" max="3341" width="10.75" style="1294" customWidth="1"/>
    <col min="3342" max="3342" width="10" style="1294" customWidth="1"/>
    <col min="3343" max="3344" width="10.5" style="1294" customWidth="1"/>
    <col min="3345" max="3345" width="10" style="1294" customWidth="1"/>
    <col min="3346" max="3346" width="10.125" style="1294" customWidth="1"/>
    <col min="3347" max="3347" width="10" style="1294" customWidth="1"/>
    <col min="3348" max="3348" width="26.125" style="1294" customWidth="1"/>
    <col min="3349" max="3584" width="8.875" style="1294"/>
    <col min="3585" max="3585" width="9.5" style="1294" customWidth="1"/>
    <col min="3586" max="3586" width="8.875" style="1294"/>
    <col min="3587" max="3589" width="12.875" style="1294" customWidth="1"/>
    <col min="3590" max="3590" width="47.5" style="1294" customWidth="1"/>
    <col min="3591" max="3591" width="13" style="1294" customWidth="1"/>
    <col min="3592" max="3593" width="8.875" style="1294"/>
    <col min="3594" max="3594" width="5.75" style="1294" customWidth="1"/>
    <col min="3595" max="3595" width="11.75" style="1294" customWidth="1"/>
    <col min="3596" max="3597" width="10.75" style="1294" customWidth="1"/>
    <col min="3598" max="3598" width="10" style="1294" customWidth="1"/>
    <col min="3599" max="3600" width="10.5" style="1294" customWidth="1"/>
    <col min="3601" max="3601" width="10" style="1294" customWidth="1"/>
    <col min="3602" max="3602" width="10.125" style="1294" customWidth="1"/>
    <col min="3603" max="3603" width="10" style="1294" customWidth="1"/>
    <col min="3604" max="3604" width="26.125" style="1294" customWidth="1"/>
    <col min="3605" max="3840" width="8.875" style="1294"/>
    <col min="3841" max="3841" width="9.5" style="1294" customWidth="1"/>
    <col min="3842" max="3842" width="8.875" style="1294"/>
    <col min="3843" max="3845" width="12.875" style="1294" customWidth="1"/>
    <col min="3846" max="3846" width="47.5" style="1294" customWidth="1"/>
    <col min="3847" max="3847" width="13" style="1294" customWidth="1"/>
    <col min="3848" max="3849" width="8.875" style="1294"/>
    <col min="3850" max="3850" width="5.75" style="1294" customWidth="1"/>
    <col min="3851" max="3851" width="11.75" style="1294" customWidth="1"/>
    <col min="3852" max="3853" width="10.75" style="1294" customWidth="1"/>
    <col min="3854" max="3854" width="10" style="1294" customWidth="1"/>
    <col min="3855" max="3856" width="10.5" style="1294" customWidth="1"/>
    <col min="3857" max="3857" width="10" style="1294" customWidth="1"/>
    <col min="3858" max="3858" width="10.125" style="1294" customWidth="1"/>
    <col min="3859" max="3859" width="10" style="1294" customWidth="1"/>
    <col min="3860" max="3860" width="26.125" style="1294" customWidth="1"/>
    <col min="3861" max="4096" width="8.875" style="1294"/>
    <col min="4097" max="4097" width="9.5" style="1294" customWidth="1"/>
    <col min="4098" max="4098" width="8.875" style="1294"/>
    <col min="4099" max="4101" width="12.875" style="1294" customWidth="1"/>
    <col min="4102" max="4102" width="47.5" style="1294" customWidth="1"/>
    <col min="4103" max="4103" width="13" style="1294" customWidth="1"/>
    <col min="4104" max="4105" width="8.875" style="1294"/>
    <col min="4106" max="4106" width="5.75" style="1294" customWidth="1"/>
    <col min="4107" max="4107" width="11.75" style="1294" customWidth="1"/>
    <col min="4108" max="4109" width="10.75" style="1294" customWidth="1"/>
    <col min="4110" max="4110" width="10" style="1294" customWidth="1"/>
    <col min="4111" max="4112" width="10.5" style="1294" customWidth="1"/>
    <col min="4113" max="4113" width="10" style="1294" customWidth="1"/>
    <col min="4114" max="4114" width="10.125" style="1294" customWidth="1"/>
    <col min="4115" max="4115" width="10" style="1294" customWidth="1"/>
    <col min="4116" max="4116" width="26.125" style="1294" customWidth="1"/>
    <col min="4117" max="4352" width="8.875" style="1294"/>
    <col min="4353" max="4353" width="9.5" style="1294" customWidth="1"/>
    <col min="4354" max="4354" width="8.875" style="1294"/>
    <col min="4355" max="4357" width="12.875" style="1294" customWidth="1"/>
    <col min="4358" max="4358" width="47.5" style="1294" customWidth="1"/>
    <col min="4359" max="4359" width="13" style="1294" customWidth="1"/>
    <col min="4360" max="4361" width="8.875" style="1294"/>
    <col min="4362" max="4362" width="5.75" style="1294" customWidth="1"/>
    <col min="4363" max="4363" width="11.75" style="1294" customWidth="1"/>
    <col min="4364" max="4365" width="10.75" style="1294" customWidth="1"/>
    <col min="4366" max="4366" width="10" style="1294" customWidth="1"/>
    <col min="4367" max="4368" width="10.5" style="1294" customWidth="1"/>
    <col min="4369" max="4369" width="10" style="1294" customWidth="1"/>
    <col min="4370" max="4370" width="10.125" style="1294" customWidth="1"/>
    <col min="4371" max="4371" width="10" style="1294" customWidth="1"/>
    <col min="4372" max="4372" width="26.125" style="1294" customWidth="1"/>
    <col min="4373" max="4608" width="8.875" style="1294"/>
    <col min="4609" max="4609" width="9.5" style="1294" customWidth="1"/>
    <col min="4610" max="4610" width="8.875" style="1294"/>
    <col min="4611" max="4613" width="12.875" style="1294" customWidth="1"/>
    <col min="4614" max="4614" width="47.5" style="1294" customWidth="1"/>
    <col min="4615" max="4615" width="13" style="1294" customWidth="1"/>
    <col min="4616" max="4617" width="8.875" style="1294"/>
    <col min="4618" max="4618" width="5.75" style="1294" customWidth="1"/>
    <col min="4619" max="4619" width="11.75" style="1294" customWidth="1"/>
    <col min="4620" max="4621" width="10.75" style="1294" customWidth="1"/>
    <col min="4622" max="4622" width="10" style="1294" customWidth="1"/>
    <col min="4623" max="4624" width="10.5" style="1294" customWidth="1"/>
    <col min="4625" max="4625" width="10" style="1294" customWidth="1"/>
    <col min="4626" max="4626" width="10.125" style="1294" customWidth="1"/>
    <col min="4627" max="4627" width="10" style="1294" customWidth="1"/>
    <col min="4628" max="4628" width="26.125" style="1294" customWidth="1"/>
    <col min="4629" max="4864" width="8.875" style="1294"/>
    <col min="4865" max="4865" width="9.5" style="1294" customWidth="1"/>
    <col min="4866" max="4866" width="8.875" style="1294"/>
    <col min="4867" max="4869" width="12.875" style="1294" customWidth="1"/>
    <col min="4870" max="4870" width="47.5" style="1294" customWidth="1"/>
    <col min="4871" max="4871" width="13" style="1294" customWidth="1"/>
    <col min="4872" max="4873" width="8.875" style="1294"/>
    <col min="4874" max="4874" width="5.75" style="1294" customWidth="1"/>
    <col min="4875" max="4875" width="11.75" style="1294" customWidth="1"/>
    <col min="4876" max="4877" width="10.75" style="1294" customWidth="1"/>
    <col min="4878" max="4878" width="10" style="1294" customWidth="1"/>
    <col min="4879" max="4880" width="10.5" style="1294" customWidth="1"/>
    <col min="4881" max="4881" width="10" style="1294" customWidth="1"/>
    <col min="4882" max="4882" width="10.125" style="1294" customWidth="1"/>
    <col min="4883" max="4883" width="10" style="1294" customWidth="1"/>
    <col min="4884" max="4884" width="26.125" style="1294" customWidth="1"/>
    <col min="4885" max="5120" width="8.875" style="1294"/>
    <col min="5121" max="5121" width="9.5" style="1294" customWidth="1"/>
    <col min="5122" max="5122" width="8.875" style="1294"/>
    <col min="5123" max="5125" width="12.875" style="1294" customWidth="1"/>
    <col min="5126" max="5126" width="47.5" style="1294" customWidth="1"/>
    <col min="5127" max="5127" width="13" style="1294" customWidth="1"/>
    <col min="5128" max="5129" width="8.875" style="1294"/>
    <col min="5130" max="5130" width="5.75" style="1294" customWidth="1"/>
    <col min="5131" max="5131" width="11.75" style="1294" customWidth="1"/>
    <col min="5132" max="5133" width="10.75" style="1294" customWidth="1"/>
    <col min="5134" max="5134" width="10" style="1294" customWidth="1"/>
    <col min="5135" max="5136" width="10.5" style="1294" customWidth="1"/>
    <col min="5137" max="5137" width="10" style="1294" customWidth="1"/>
    <col min="5138" max="5138" width="10.125" style="1294" customWidth="1"/>
    <col min="5139" max="5139" width="10" style="1294" customWidth="1"/>
    <col min="5140" max="5140" width="26.125" style="1294" customWidth="1"/>
    <col min="5141" max="5376" width="8.875" style="1294"/>
    <col min="5377" max="5377" width="9.5" style="1294" customWidth="1"/>
    <col min="5378" max="5378" width="8.875" style="1294"/>
    <col min="5379" max="5381" width="12.875" style="1294" customWidth="1"/>
    <col min="5382" max="5382" width="47.5" style="1294" customWidth="1"/>
    <col min="5383" max="5383" width="13" style="1294" customWidth="1"/>
    <col min="5384" max="5385" width="8.875" style="1294"/>
    <col min="5386" max="5386" width="5.75" style="1294" customWidth="1"/>
    <col min="5387" max="5387" width="11.75" style="1294" customWidth="1"/>
    <col min="5388" max="5389" width="10.75" style="1294" customWidth="1"/>
    <col min="5390" max="5390" width="10" style="1294" customWidth="1"/>
    <col min="5391" max="5392" width="10.5" style="1294" customWidth="1"/>
    <col min="5393" max="5393" width="10" style="1294" customWidth="1"/>
    <col min="5394" max="5394" width="10.125" style="1294" customWidth="1"/>
    <col min="5395" max="5395" width="10" style="1294" customWidth="1"/>
    <col min="5396" max="5396" width="26.125" style="1294" customWidth="1"/>
    <col min="5397" max="5632" width="8.875" style="1294"/>
    <col min="5633" max="5633" width="9.5" style="1294" customWidth="1"/>
    <col min="5634" max="5634" width="8.875" style="1294"/>
    <col min="5635" max="5637" width="12.875" style="1294" customWidth="1"/>
    <col min="5638" max="5638" width="47.5" style="1294" customWidth="1"/>
    <col min="5639" max="5639" width="13" style="1294" customWidth="1"/>
    <col min="5640" max="5641" width="8.875" style="1294"/>
    <col min="5642" max="5642" width="5.75" style="1294" customWidth="1"/>
    <col min="5643" max="5643" width="11.75" style="1294" customWidth="1"/>
    <col min="5644" max="5645" width="10.75" style="1294" customWidth="1"/>
    <col min="5646" max="5646" width="10" style="1294" customWidth="1"/>
    <col min="5647" max="5648" width="10.5" style="1294" customWidth="1"/>
    <col min="5649" max="5649" width="10" style="1294" customWidth="1"/>
    <col min="5650" max="5650" width="10.125" style="1294" customWidth="1"/>
    <col min="5651" max="5651" width="10" style="1294" customWidth="1"/>
    <col min="5652" max="5652" width="26.125" style="1294" customWidth="1"/>
    <col min="5653" max="5888" width="8.875" style="1294"/>
    <col min="5889" max="5889" width="9.5" style="1294" customWidth="1"/>
    <col min="5890" max="5890" width="8.875" style="1294"/>
    <col min="5891" max="5893" width="12.875" style="1294" customWidth="1"/>
    <col min="5894" max="5894" width="47.5" style="1294" customWidth="1"/>
    <col min="5895" max="5895" width="13" style="1294" customWidth="1"/>
    <col min="5896" max="5897" width="8.875" style="1294"/>
    <col min="5898" max="5898" width="5.75" style="1294" customWidth="1"/>
    <col min="5899" max="5899" width="11.75" style="1294" customWidth="1"/>
    <col min="5900" max="5901" width="10.75" style="1294" customWidth="1"/>
    <col min="5902" max="5902" width="10" style="1294" customWidth="1"/>
    <col min="5903" max="5904" width="10.5" style="1294" customWidth="1"/>
    <col min="5905" max="5905" width="10" style="1294" customWidth="1"/>
    <col min="5906" max="5906" width="10.125" style="1294" customWidth="1"/>
    <col min="5907" max="5907" width="10" style="1294" customWidth="1"/>
    <col min="5908" max="5908" width="26.125" style="1294" customWidth="1"/>
    <col min="5909" max="6144" width="8.875" style="1294"/>
    <col min="6145" max="6145" width="9.5" style="1294" customWidth="1"/>
    <col min="6146" max="6146" width="8.875" style="1294"/>
    <col min="6147" max="6149" width="12.875" style="1294" customWidth="1"/>
    <col min="6150" max="6150" width="47.5" style="1294" customWidth="1"/>
    <col min="6151" max="6151" width="13" style="1294" customWidth="1"/>
    <col min="6152" max="6153" width="8.875" style="1294"/>
    <col min="6154" max="6154" width="5.75" style="1294" customWidth="1"/>
    <col min="6155" max="6155" width="11.75" style="1294" customWidth="1"/>
    <col min="6156" max="6157" width="10.75" style="1294" customWidth="1"/>
    <col min="6158" max="6158" width="10" style="1294" customWidth="1"/>
    <col min="6159" max="6160" width="10.5" style="1294" customWidth="1"/>
    <col min="6161" max="6161" width="10" style="1294" customWidth="1"/>
    <col min="6162" max="6162" width="10.125" style="1294" customWidth="1"/>
    <col min="6163" max="6163" width="10" style="1294" customWidth="1"/>
    <col min="6164" max="6164" width="26.125" style="1294" customWidth="1"/>
    <col min="6165" max="6400" width="8.875" style="1294"/>
    <col min="6401" max="6401" width="9.5" style="1294" customWidth="1"/>
    <col min="6402" max="6402" width="8.875" style="1294"/>
    <col min="6403" max="6405" width="12.875" style="1294" customWidth="1"/>
    <col min="6406" max="6406" width="47.5" style="1294" customWidth="1"/>
    <col min="6407" max="6407" width="13" style="1294" customWidth="1"/>
    <col min="6408" max="6409" width="8.875" style="1294"/>
    <col min="6410" max="6410" width="5.75" style="1294" customWidth="1"/>
    <col min="6411" max="6411" width="11.75" style="1294" customWidth="1"/>
    <col min="6412" max="6413" width="10.75" style="1294" customWidth="1"/>
    <col min="6414" max="6414" width="10" style="1294" customWidth="1"/>
    <col min="6415" max="6416" width="10.5" style="1294" customWidth="1"/>
    <col min="6417" max="6417" width="10" style="1294" customWidth="1"/>
    <col min="6418" max="6418" width="10.125" style="1294" customWidth="1"/>
    <col min="6419" max="6419" width="10" style="1294" customWidth="1"/>
    <col min="6420" max="6420" width="26.125" style="1294" customWidth="1"/>
    <col min="6421" max="6656" width="8.875" style="1294"/>
    <col min="6657" max="6657" width="9.5" style="1294" customWidth="1"/>
    <col min="6658" max="6658" width="8.875" style="1294"/>
    <col min="6659" max="6661" width="12.875" style="1294" customWidth="1"/>
    <col min="6662" max="6662" width="47.5" style="1294" customWidth="1"/>
    <col min="6663" max="6663" width="13" style="1294" customWidth="1"/>
    <col min="6664" max="6665" width="8.875" style="1294"/>
    <col min="6666" max="6666" width="5.75" style="1294" customWidth="1"/>
    <col min="6667" max="6667" width="11.75" style="1294" customWidth="1"/>
    <col min="6668" max="6669" width="10.75" style="1294" customWidth="1"/>
    <col min="6670" max="6670" width="10" style="1294" customWidth="1"/>
    <col min="6671" max="6672" width="10.5" style="1294" customWidth="1"/>
    <col min="6673" max="6673" width="10" style="1294" customWidth="1"/>
    <col min="6674" max="6674" width="10.125" style="1294" customWidth="1"/>
    <col min="6675" max="6675" width="10" style="1294" customWidth="1"/>
    <col min="6676" max="6676" width="26.125" style="1294" customWidth="1"/>
    <col min="6677" max="6912" width="8.875" style="1294"/>
    <col min="6913" max="6913" width="9.5" style="1294" customWidth="1"/>
    <col min="6914" max="6914" width="8.875" style="1294"/>
    <col min="6915" max="6917" width="12.875" style="1294" customWidth="1"/>
    <col min="6918" max="6918" width="47.5" style="1294" customWidth="1"/>
    <col min="6919" max="6919" width="13" style="1294" customWidth="1"/>
    <col min="6920" max="6921" width="8.875" style="1294"/>
    <col min="6922" max="6922" width="5.75" style="1294" customWidth="1"/>
    <col min="6923" max="6923" width="11.75" style="1294" customWidth="1"/>
    <col min="6924" max="6925" width="10.75" style="1294" customWidth="1"/>
    <col min="6926" max="6926" width="10" style="1294" customWidth="1"/>
    <col min="6927" max="6928" width="10.5" style="1294" customWidth="1"/>
    <col min="6929" max="6929" width="10" style="1294" customWidth="1"/>
    <col min="6930" max="6930" width="10.125" style="1294" customWidth="1"/>
    <col min="6931" max="6931" width="10" style="1294" customWidth="1"/>
    <col min="6932" max="6932" width="26.125" style="1294" customWidth="1"/>
    <col min="6933" max="7168" width="8.875" style="1294"/>
    <col min="7169" max="7169" width="9.5" style="1294" customWidth="1"/>
    <col min="7170" max="7170" width="8.875" style="1294"/>
    <col min="7171" max="7173" width="12.875" style="1294" customWidth="1"/>
    <col min="7174" max="7174" width="47.5" style="1294" customWidth="1"/>
    <col min="7175" max="7175" width="13" style="1294" customWidth="1"/>
    <col min="7176" max="7177" width="8.875" style="1294"/>
    <col min="7178" max="7178" width="5.75" style="1294" customWidth="1"/>
    <col min="7179" max="7179" width="11.75" style="1294" customWidth="1"/>
    <col min="7180" max="7181" width="10.75" style="1294" customWidth="1"/>
    <col min="7182" max="7182" width="10" style="1294" customWidth="1"/>
    <col min="7183" max="7184" width="10.5" style="1294" customWidth="1"/>
    <col min="7185" max="7185" width="10" style="1294" customWidth="1"/>
    <col min="7186" max="7186" width="10.125" style="1294" customWidth="1"/>
    <col min="7187" max="7187" width="10" style="1294" customWidth="1"/>
    <col min="7188" max="7188" width="26.125" style="1294" customWidth="1"/>
    <col min="7189" max="7424" width="8.875" style="1294"/>
    <col min="7425" max="7425" width="9.5" style="1294" customWidth="1"/>
    <col min="7426" max="7426" width="8.875" style="1294"/>
    <col min="7427" max="7429" width="12.875" style="1294" customWidth="1"/>
    <col min="7430" max="7430" width="47.5" style="1294" customWidth="1"/>
    <col min="7431" max="7431" width="13" style="1294" customWidth="1"/>
    <col min="7432" max="7433" width="8.875" style="1294"/>
    <col min="7434" max="7434" width="5.75" style="1294" customWidth="1"/>
    <col min="7435" max="7435" width="11.75" style="1294" customWidth="1"/>
    <col min="7436" max="7437" width="10.75" style="1294" customWidth="1"/>
    <col min="7438" max="7438" width="10" style="1294" customWidth="1"/>
    <col min="7439" max="7440" width="10.5" style="1294" customWidth="1"/>
    <col min="7441" max="7441" width="10" style="1294" customWidth="1"/>
    <col min="7442" max="7442" width="10.125" style="1294" customWidth="1"/>
    <col min="7443" max="7443" width="10" style="1294" customWidth="1"/>
    <col min="7444" max="7444" width="26.125" style="1294" customWidth="1"/>
    <col min="7445" max="7680" width="8.875" style="1294"/>
    <col min="7681" max="7681" width="9.5" style="1294" customWidth="1"/>
    <col min="7682" max="7682" width="8.875" style="1294"/>
    <col min="7683" max="7685" width="12.875" style="1294" customWidth="1"/>
    <col min="7686" max="7686" width="47.5" style="1294" customWidth="1"/>
    <col min="7687" max="7687" width="13" style="1294" customWidth="1"/>
    <col min="7688" max="7689" width="8.875" style="1294"/>
    <col min="7690" max="7690" width="5.75" style="1294" customWidth="1"/>
    <col min="7691" max="7691" width="11.75" style="1294" customWidth="1"/>
    <col min="7692" max="7693" width="10.75" style="1294" customWidth="1"/>
    <col min="7694" max="7694" width="10" style="1294" customWidth="1"/>
    <col min="7695" max="7696" width="10.5" style="1294" customWidth="1"/>
    <col min="7697" max="7697" width="10" style="1294" customWidth="1"/>
    <col min="7698" max="7698" width="10.125" style="1294" customWidth="1"/>
    <col min="7699" max="7699" width="10" style="1294" customWidth="1"/>
    <col min="7700" max="7700" width="26.125" style="1294" customWidth="1"/>
    <col min="7701" max="7936" width="8.875" style="1294"/>
    <col min="7937" max="7937" width="9.5" style="1294" customWidth="1"/>
    <col min="7938" max="7938" width="8.875" style="1294"/>
    <col min="7939" max="7941" width="12.875" style="1294" customWidth="1"/>
    <col min="7942" max="7942" width="47.5" style="1294" customWidth="1"/>
    <col min="7943" max="7943" width="13" style="1294" customWidth="1"/>
    <col min="7944" max="7945" width="8.875" style="1294"/>
    <col min="7946" max="7946" width="5.75" style="1294" customWidth="1"/>
    <col min="7947" max="7947" width="11.75" style="1294" customWidth="1"/>
    <col min="7948" max="7949" width="10.75" style="1294" customWidth="1"/>
    <col min="7950" max="7950" width="10" style="1294" customWidth="1"/>
    <col min="7951" max="7952" width="10.5" style="1294" customWidth="1"/>
    <col min="7953" max="7953" width="10" style="1294" customWidth="1"/>
    <col min="7954" max="7954" width="10.125" style="1294" customWidth="1"/>
    <col min="7955" max="7955" width="10" style="1294" customWidth="1"/>
    <col min="7956" max="7956" width="26.125" style="1294" customWidth="1"/>
    <col min="7957" max="8192" width="8.875" style="1294"/>
    <col min="8193" max="8193" width="9.5" style="1294" customWidth="1"/>
    <col min="8194" max="8194" width="8.875" style="1294"/>
    <col min="8195" max="8197" width="12.875" style="1294" customWidth="1"/>
    <col min="8198" max="8198" width="47.5" style="1294" customWidth="1"/>
    <col min="8199" max="8199" width="13" style="1294" customWidth="1"/>
    <col min="8200" max="8201" width="8.875" style="1294"/>
    <col min="8202" max="8202" width="5.75" style="1294" customWidth="1"/>
    <col min="8203" max="8203" width="11.75" style="1294" customWidth="1"/>
    <col min="8204" max="8205" width="10.75" style="1294" customWidth="1"/>
    <col min="8206" max="8206" width="10" style="1294" customWidth="1"/>
    <col min="8207" max="8208" width="10.5" style="1294" customWidth="1"/>
    <col min="8209" max="8209" width="10" style="1294" customWidth="1"/>
    <col min="8210" max="8210" width="10.125" style="1294" customWidth="1"/>
    <col min="8211" max="8211" width="10" style="1294" customWidth="1"/>
    <col min="8212" max="8212" width="26.125" style="1294" customWidth="1"/>
    <col min="8213" max="8448" width="8.875" style="1294"/>
    <col min="8449" max="8449" width="9.5" style="1294" customWidth="1"/>
    <col min="8450" max="8450" width="8.875" style="1294"/>
    <col min="8451" max="8453" width="12.875" style="1294" customWidth="1"/>
    <col min="8454" max="8454" width="47.5" style="1294" customWidth="1"/>
    <col min="8455" max="8455" width="13" style="1294" customWidth="1"/>
    <col min="8456" max="8457" width="8.875" style="1294"/>
    <col min="8458" max="8458" width="5.75" style="1294" customWidth="1"/>
    <col min="8459" max="8459" width="11.75" style="1294" customWidth="1"/>
    <col min="8460" max="8461" width="10.75" style="1294" customWidth="1"/>
    <col min="8462" max="8462" width="10" style="1294" customWidth="1"/>
    <col min="8463" max="8464" width="10.5" style="1294" customWidth="1"/>
    <col min="8465" max="8465" width="10" style="1294" customWidth="1"/>
    <col min="8466" max="8466" width="10.125" style="1294" customWidth="1"/>
    <col min="8467" max="8467" width="10" style="1294" customWidth="1"/>
    <col min="8468" max="8468" width="26.125" style="1294" customWidth="1"/>
    <col min="8469" max="8704" width="8.875" style="1294"/>
    <col min="8705" max="8705" width="9.5" style="1294" customWidth="1"/>
    <col min="8706" max="8706" width="8.875" style="1294"/>
    <col min="8707" max="8709" width="12.875" style="1294" customWidth="1"/>
    <col min="8710" max="8710" width="47.5" style="1294" customWidth="1"/>
    <col min="8711" max="8711" width="13" style="1294" customWidth="1"/>
    <col min="8712" max="8713" width="8.875" style="1294"/>
    <col min="8714" max="8714" width="5.75" style="1294" customWidth="1"/>
    <col min="8715" max="8715" width="11.75" style="1294" customWidth="1"/>
    <col min="8716" max="8717" width="10.75" style="1294" customWidth="1"/>
    <col min="8718" max="8718" width="10" style="1294" customWidth="1"/>
    <col min="8719" max="8720" width="10.5" style="1294" customWidth="1"/>
    <col min="8721" max="8721" width="10" style="1294" customWidth="1"/>
    <col min="8722" max="8722" width="10.125" style="1294" customWidth="1"/>
    <col min="8723" max="8723" width="10" style="1294" customWidth="1"/>
    <col min="8724" max="8724" width="26.125" style="1294" customWidth="1"/>
    <col min="8725" max="8960" width="8.875" style="1294"/>
    <col min="8961" max="8961" width="9.5" style="1294" customWidth="1"/>
    <col min="8962" max="8962" width="8.875" style="1294"/>
    <col min="8963" max="8965" width="12.875" style="1294" customWidth="1"/>
    <col min="8966" max="8966" width="47.5" style="1294" customWidth="1"/>
    <col min="8967" max="8967" width="13" style="1294" customWidth="1"/>
    <col min="8968" max="8969" width="8.875" style="1294"/>
    <col min="8970" max="8970" width="5.75" style="1294" customWidth="1"/>
    <col min="8971" max="8971" width="11.75" style="1294" customWidth="1"/>
    <col min="8972" max="8973" width="10.75" style="1294" customWidth="1"/>
    <col min="8974" max="8974" width="10" style="1294" customWidth="1"/>
    <col min="8975" max="8976" width="10.5" style="1294" customWidth="1"/>
    <col min="8977" max="8977" width="10" style="1294" customWidth="1"/>
    <col min="8978" max="8978" width="10.125" style="1294" customWidth="1"/>
    <col min="8979" max="8979" width="10" style="1294" customWidth="1"/>
    <col min="8980" max="8980" width="26.125" style="1294" customWidth="1"/>
    <col min="8981" max="9216" width="8.875" style="1294"/>
    <col min="9217" max="9217" width="9.5" style="1294" customWidth="1"/>
    <col min="9218" max="9218" width="8.875" style="1294"/>
    <col min="9219" max="9221" width="12.875" style="1294" customWidth="1"/>
    <col min="9222" max="9222" width="47.5" style="1294" customWidth="1"/>
    <col min="9223" max="9223" width="13" style="1294" customWidth="1"/>
    <col min="9224" max="9225" width="8.875" style="1294"/>
    <col min="9226" max="9226" width="5.75" style="1294" customWidth="1"/>
    <col min="9227" max="9227" width="11.75" style="1294" customWidth="1"/>
    <col min="9228" max="9229" width="10.75" style="1294" customWidth="1"/>
    <col min="9230" max="9230" width="10" style="1294" customWidth="1"/>
    <col min="9231" max="9232" width="10.5" style="1294" customWidth="1"/>
    <col min="9233" max="9233" width="10" style="1294" customWidth="1"/>
    <col min="9234" max="9234" width="10.125" style="1294" customWidth="1"/>
    <col min="9235" max="9235" width="10" style="1294" customWidth="1"/>
    <col min="9236" max="9236" width="26.125" style="1294" customWidth="1"/>
    <col min="9237" max="9472" width="8.875" style="1294"/>
    <col min="9473" max="9473" width="9.5" style="1294" customWidth="1"/>
    <col min="9474" max="9474" width="8.875" style="1294"/>
    <col min="9475" max="9477" width="12.875" style="1294" customWidth="1"/>
    <col min="9478" max="9478" width="47.5" style="1294" customWidth="1"/>
    <col min="9479" max="9479" width="13" style="1294" customWidth="1"/>
    <col min="9480" max="9481" width="8.875" style="1294"/>
    <col min="9482" max="9482" width="5.75" style="1294" customWidth="1"/>
    <col min="9483" max="9483" width="11.75" style="1294" customWidth="1"/>
    <col min="9484" max="9485" width="10.75" style="1294" customWidth="1"/>
    <col min="9486" max="9486" width="10" style="1294" customWidth="1"/>
    <col min="9487" max="9488" width="10.5" style="1294" customWidth="1"/>
    <col min="9489" max="9489" width="10" style="1294" customWidth="1"/>
    <col min="9490" max="9490" width="10.125" style="1294" customWidth="1"/>
    <col min="9491" max="9491" width="10" style="1294" customWidth="1"/>
    <col min="9492" max="9492" width="26.125" style="1294" customWidth="1"/>
    <col min="9493" max="9728" width="8.875" style="1294"/>
    <col min="9729" max="9729" width="9.5" style="1294" customWidth="1"/>
    <col min="9730" max="9730" width="8.875" style="1294"/>
    <col min="9731" max="9733" width="12.875" style="1294" customWidth="1"/>
    <col min="9734" max="9734" width="47.5" style="1294" customWidth="1"/>
    <col min="9735" max="9735" width="13" style="1294" customWidth="1"/>
    <col min="9736" max="9737" width="8.875" style="1294"/>
    <col min="9738" max="9738" width="5.75" style="1294" customWidth="1"/>
    <col min="9739" max="9739" width="11.75" style="1294" customWidth="1"/>
    <col min="9740" max="9741" width="10.75" style="1294" customWidth="1"/>
    <col min="9742" max="9742" width="10" style="1294" customWidth="1"/>
    <col min="9743" max="9744" width="10.5" style="1294" customWidth="1"/>
    <col min="9745" max="9745" width="10" style="1294" customWidth="1"/>
    <col min="9746" max="9746" width="10.125" style="1294" customWidth="1"/>
    <col min="9747" max="9747" width="10" style="1294" customWidth="1"/>
    <col min="9748" max="9748" width="26.125" style="1294" customWidth="1"/>
    <col min="9749" max="9984" width="8.875" style="1294"/>
    <col min="9985" max="9985" width="9.5" style="1294" customWidth="1"/>
    <col min="9986" max="9986" width="8.875" style="1294"/>
    <col min="9987" max="9989" width="12.875" style="1294" customWidth="1"/>
    <col min="9990" max="9990" width="47.5" style="1294" customWidth="1"/>
    <col min="9991" max="9991" width="13" style="1294" customWidth="1"/>
    <col min="9992" max="9993" width="8.875" style="1294"/>
    <col min="9994" max="9994" width="5.75" style="1294" customWidth="1"/>
    <col min="9995" max="9995" width="11.75" style="1294" customWidth="1"/>
    <col min="9996" max="9997" width="10.75" style="1294" customWidth="1"/>
    <col min="9998" max="9998" width="10" style="1294" customWidth="1"/>
    <col min="9999" max="10000" width="10.5" style="1294" customWidth="1"/>
    <col min="10001" max="10001" width="10" style="1294" customWidth="1"/>
    <col min="10002" max="10002" width="10.125" style="1294" customWidth="1"/>
    <col min="10003" max="10003" width="10" style="1294" customWidth="1"/>
    <col min="10004" max="10004" width="26.125" style="1294" customWidth="1"/>
    <col min="10005" max="10240" width="8.875" style="1294"/>
    <col min="10241" max="10241" width="9.5" style="1294" customWidth="1"/>
    <col min="10242" max="10242" width="8.875" style="1294"/>
    <col min="10243" max="10245" width="12.875" style="1294" customWidth="1"/>
    <col min="10246" max="10246" width="47.5" style="1294" customWidth="1"/>
    <col min="10247" max="10247" width="13" style="1294" customWidth="1"/>
    <col min="10248" max="10249" width="8.875" style="1294"/>
    <col min="10250" max="10250" width="5.75" style="1294" customWidth="1"/>
    <col min="10251" max="10251" width="11.75" style="1294" customWidth="1"/>
    <col min="10252" max="10253" width="10.75" style="1294" customWidth="1"/>
    <col min="10254" max="10254" width="10" style="1294" customWidth="1"/>
    <col min="10255" max="10256" width="10.5" style="1294" customWidth="1"/>
    <col min="10257" max="10257" width="10" style="1294" customWidth="1"/>
    <col min="10258" max="10258" width="10.125" style="1294" customWidth="1"/>
    <col min="10259" max="10259" width="10" style="1294" customWidth="1"/>
    <col min="10260" max="10260" width="26.125" style="1294" customWidth="1"/>
    <col min="10261" max="10496" width="8.875" style="1294"/>
    <col min="10497" max="10497" width="9.5" style="1294" customWidth="1"/>
    <col min="10498" max="10498" width="8.875" style="1294"/>
    <col min="10499" max="10501" width="12.875" style="1294" customWidth="1"/>
    <col min="10502" max="10502" width="47.5" style="1294" customWidth="1"/>
    <col min="10503" max="10503" width="13" style="1294" customWidth="1"/>
    <col min="10504" max="10505" width="8.875" style="1294"/>
    <col min="10506" max="10506" width="5.75" style="1294" customWidth="1"/>
    <col min="10507" max="10507" width="11.75" style="1294" customWidth="1"/>
    <col min="10508" max="10509" width="10.75" style="1294" customWidth="1"/>
    <col min="10510" max="10510" width="10" style="1294" customWidth="1"/>
    <col min="10511" max="10512" width="10.5" style="1294" customWidth="1"/>
    <col min="10513" max="10513" width="10" style="1294" customWidth="1"/>
    <col min="10514" max="10514" width="10.125" style="1294" customWidth="1"/>
    <col min="10515" max="10515" width="10" style="1294" customWidth="1"/>
    <col min="10516" max="10516" width="26.125" style="1294" customWidth="1"/>
    <col min="10517" max="10752" width="8.875" style="1294"/>
    <col min="10753" max="10753" width="9.5" style="1294" customWidth="1"/>
    <col min="10754" max="10754" width="8.875" style="1294"/>
    <col min="10755" max="10757" width="12.875" style="1294" customWidth="1"/>
    <col min="10758" max="10758" width="47.5" style="1294" customWidth="1"/>
    <col min="10759" max="10759" width="13" style="1294" customWidth="1"/>
    <col min="10760" max="10761" width="8.875" style="1294"/>
    <col min="10762" max="10762" width="5.75" style="1294" customWidth="1"/>
    <col min="10763" max="10763" width="11.75" style="1294" customWidth="1"/>
    <col min="10764" max="10765" width="10.75" style="1294" customWidth="1"/>
    <col min="10766" max="10766" width="10" style="1294" customWidth="1"/>
    <col min="10767" max="10768" width="10.5" style="1294" customWidth="1"/>
    <col min="10769" max="10769" width="10" style="1294" customWidth="1"/>
    <col min="10770" max="10770" width="10.125" style="1294" customWidth="1"/>
    <col min="10771" max="10771" width="10" style="1294" customWidth="1"/>
    <col min="10772" max="10772" width="26.125" style="1294" customWidth="1"/>
    <col min="10773" max="11008" width="8.875" style="1294"/>
    <col min="11009" max="11009" width="9.5" style="1294" customWidth="1"/>
    <col min="11010" max="11010" width="8.875" style="1294"/>
    <col min="11011" max="11013" width="12.875" style="1294" customWidth="1"/>
    <col min="11014" max="11014" width="47.5" style="1294" customWidth="1"/>
    <col min="11015" max="11015" width="13" style="1294" customWidth="1"/>
    <col min="11016" max="11017" width="8.875" style="1294"/>
    <col min="11018" max="11018" width="5.75" style="1294" customWidth="1"/>
    <col min="11019" max="11019" width="11.75" style="1294" customWidth="1"/>
    <col min="11020" max="11021" width="10.75" style="1294" customWidth="1"/>
    <col min="11022" max="11022" width="10" style="1294" customWidth="1"/>
    <col min="11023" max="11024" width="10.5" style="1294" customWidth="1"/>
    <col min="11025" max="11025" width="10" style="1294" customWidth="1"/>
    <col min="11026" max="11026" width="10.125" style="1294" customWidth="1"/>
    <col min="11027" max="11027" width="10" style="1294" customWidth="1"/>
    <col min="11028" max="11028" width="26.125" style="1294" customWidth="1"/>
    <col min="11029" max="11264" width="8.875" style="1294"/>
    <col min="11265" max="11265" width="9.5" style="1294" customWidth="1"/>
    <col min="11266" max="11266" width="8.875" style="1294"/>
    <col min="11267" max="11269" width="12.875" style="1294" customWidth="1"/>
    <col min="11270" max="11270" width="47.5" style="1294" customWidth="1"/>
    <col min="11271" max="11271" width="13" style="1294" customWidth="1"/>
    <col min="11272" max="11273" width="8.875" style="1294"/>
    <col min="11274" max="11274" width="5.75" style="1294" customWidth="1"/>
    <col min="11275" max="11275" width="11.75" style="1294" customWidth="1"/>
    <col min="11276" max="11277" width="10.75" style="1294" customWidth="1"/>
    <col min="11278" max="11278" width="10" style="1294" customWidth="1"/>
    <col min="11279" max="11280" width="10.5" style="1294" customWidth="1"/>
    <col min="11281" max="11281" width="10" style="1294" customWidth="1"/>
    <col min="11282" max="11282" width="10.125" style="1294" customWidth="1"/>
    <col min="11283" max="11283" width="10" style="1294" customWidth="1"/>
    <col min="11284" max="11284" width="26.125" style="1294" customWidth="1"/>
    <col min="11285" max="11520" width="8.875" style="1294"/>
    <col min="11521" max="11521" width="9.5" style="1294" customWidth="1"/>
    <col min="11522" max="11522" width="8.875" style="1294"/>
    <col min="11523" max="11525" width="12.875" style="1294" customWidth="1"/>
    <col min="11526" max="11526" width="47.5" style="1294" customWidth="1"/>
    <col min="11527" max="11527" width="13" style="1294" customWidth="1"/>
    <col min="11528" max="11529" width="8.875" style="1294"/>
    <col min="11530" max="11530" width="5.75" style="1294" customWidth="1"/>
    <col min="11531" max="11531" width="11.75" style="1294" customWidth="1"/>
    <col min="11532" max="11533" width="10.75" style="1294" customWidth="1"/>
    <col min="11534" max="11534" width="10" style="1294" customWidth="1"/>
    <col min="11535" max="11536" width="10.5" style="1294" customWidth="1"/>
    <col min="11537" max="11537" width="10" style="1294" customWidth="1"/>
    <col min="11538" max="11538" width="10.125" style="1294" customWidth="1"/>
    <col min="11539" max="11539" width="10" style="1294" customWidth="1"/>
    <col min="11540" max="11540" width="26.125" style="1294" customWidth="1"/>
    <col min="11541" max="11776" width="8.875" style="1294"/>
    <col min="11777" max="11777" width="9.5" style="1294" customWidth="1"/>
    <col min="11778" max="11778" width="8.875" style="1294"/>
    <col min="11779" max="11781" width="12.875" style="1294" customWidth="1"/>
    <col min="11782" max="11782" width="47.5" style="1294" customWidth="1"/>
    <col min="11783" max="11783" width="13" style="1294" customWidth="1"/>
    <col min="11784" max="11785" width="8.875" style="1294"/>
    <col min="11786" max="11786" width="5.75" style="1294" customWidth="1"/>
    <col min="11787" max="11787" width="11.75" style="1294" customWidth="1"/>
    <col min="11788" max="11789" width="10.75" style="1294" customWidth="1"/>
    <col min="11790" max="11790" width="10" style="1294" customWidth="1"/>
    <col min="11791" max="11792" width="10.5" style="1294" customWidth="1"/>
    <col min="11793" max="11793" width="10" style="1294" customWidth="1"/>
    <col min="11794" max="11794" width="10.125" style="1294" customWidth="1"/>
    <col min="11795" max="11795" width="10" style="1294" customWidth="1"/>
    <col min="11796" max="11796" width="26.125" style="1294" customWidth="1"/>
    <col min="11797" max="12032" width="8.875" style="1294"/>
    <col min="12033" max="12033" width="9.5" style="1294" customWidth="1"/>
    <col min="12034" max="12034" width="8.875" style="1294"/>
    <col min="12035" max="12037" width="12.875" style="1294" customWidth="1"/>
    <col min="12038" max="12038" width="47.5" style="1294" customWidth="1"/>
    <col min="12039" max="12039" width="13" style="1294" customWidth="1"/>
    <col min="12040" max="12041" width="8.875" style="1294"/>
    <col min="12042" max="12042" width="5.75" style="1294" customWidth="1"/>
    <col min="12043" max="12043" width="11.75" style="1294" customWidth="1"/>
    <col min="12044" max="12045" width="10.75" style="1294" customWidth="1"/>
    <col min="12046" max="12046" width="10" style="1294" customWidth="1"/>
    <col min="12047" max="12048" width="10.5" style="1294" customWidth="1"/>
    <col min="12049" max="12049" width="10" style="1294" customWidth="1"/>
    <col min="12050" max="12050" width="10.125" style="1294" customWidth="1"/>
    <col min="12051" max="12051" width="10" style="1294" customWidth="1"/>
    <col min="12052" max="12052" width="26.125" style="1294" customWidth="1"/>
    <col min="12053" max="12288" width="8.875" style="1294"/>
    <col min="12289" max="12289" width="9.5" style="1294" customWidth="1"/>
    <col min="12290" max="12290" width="8.875" style="1294"/>
    <col min="12291" max="12293" width="12.875" style="1294" customWidth="1"/>
    <col min="12294" max="12294" width="47.5" style="1294" customWidth="1"/>
    <col min="12295" max="12295" width="13" style="1294" customWidth="1"/>
    <col min="12296" max="12297" width="8.875" style="1294"/>
    <col min="12298" max="12298" width="5.75" style="1294" customWidth="1"/>
    <col min="12299" max="12299" width="11.75" style="1294" customWidth="1"/>
    <col min="12300" max="12301" width="10.75" style="1294" customWidth="1"/>
    <col min="12302" max="12302" width="10" style="1294" customWidth="1"/>
    <col min="12303" max="12304" width="10.5" style="1294" customWidth="1"/>
    <col min="12305" max="12305" width="10" style="1294" customWidth="1"/>
    <col min="12306" max="12306" width="10.125" style="1294" customWidth="1"/>
    <col min="12307" max="12307" width="10" style="1294" customWidth="1"/>
    <col min="12308" max="12308" width="26.125" style="1294" customWidth="1"/>
    <col min="12309" max="12544" width="8.875" style="1294"/>
    <col min="12545" max="12545" width="9.5" style="1294" customWidth="1"/>
    <col min="12546" max="12546" width="8.875" style="1294"/>
    <col min="12547" max="12549" width="12.875" style="1294" customWidth="1"/>
    <col min="12550" max="12550" width="47.5" style="1294" customWidth="1"/>
    <col min="12551" max="12551" width="13" style="1294" customWidth="1"/>
    <col min="12552" max="12553" width="8.875" style="1294"/>
    <col min="12554" max="12554" width="5.75" style="1294" customWidth="1"/>
    <col min="12555" max="12555" width="11.75" style="1294" customWidth="1"/>
    <col min="12556" max="12557" width="10.75" style="1294" customWidth="1"/>
    <col min="12558" max="12558" width="10" style="1294" customWidth="1"/>
    <col min="12559" max="12560" width="10.5" style="1294" customWidth="1"/>
    <col min="12561" max="12561" width="10" style="1294" customWidth="1"/>
    <col min="12562" max="12562" width="10.125" style="1294" customWidth="1"/>
    <col min="12563" max="12563" width="10" style="1294" customWidth="1"/>
    <col min="12564" max="12564" width="26.125" style="1294" customWidth="1"/>
    <col min="12565" max="12800" width="8.875" style="1294"/>
    <col min="12801" max="12801" width="9.5" style="1294" customWidth="1"/>
    <col min="12802" max="12802" width="8.875" style="1294"/>
    <col min="12803" max="12805" width="12.875" style="1294" customWidth="1"/>
    <col min="12806" max="12806" width="47.5" style="1294" customWidth="1"/>
    <col min="12807" max="12807" width="13" style="1294" customWidth="1"/>
    <col min="12808" max="12809" width="8.875" style="1294"/>
    <col min="12810" max="12810" width="5.75" style="1294" customWidth="1"/>
    <col min="12811" max="12811" width="11.75" style="1294" customWidth="1"/>
    <col min="12812" max="12813" width="10.75" style="1294" customWidth="1"/>
    <col min="12814" max="12814" width="10" style="1294" customWidth="1"/>
    <col min="12815" max="12816" width="10.5" style="1294" customWidth="1"/>
    <col min="12817" max="12817" width="10" style="1294" customWidth="1"/>
    <col min="12818" max="12818" width="10.125" style="1294" customWidth="1"/>
    <col min="12819" max="12819" width="10" style="1294" customWidth="1"/>
    <col min="12820" max="12820" width="26.125" style="1294" customWidth="1"/>
    <col min="12821" max="13056" width="8.875" style="1294"/>
    <col min="13057" max="13057" width="9.5" style="1294" customWidth="1"/>
    <col min="13058" max="13058" width="8.875" style="1294"/>
    <col min="13059" max="13061" width="12.875" style="1294" customWidth="1"/>
    <col min="13062" max="13062" width="47.5" style="1294" customWidth="1"/>
    <col min="13063" max="13063" width="13" style="1294" customWidth="1"/>
    <col min="13064" max="13065" width="8.875" style="1294"/>
    <col min="13066" max="13066" width="5.75" style="1294" customWidth="1"/>
    <col min="13067" max="13067" width="11.75" style="1294" customWidth="1"/>
    <col min="13068" max="13069" width="10.75" style="1294" customWidth="1"/>
    <col min="13070" max="13070" width="10" style="1294" customWidth="1"/>
    <col min="13071" max="13072" width="10.5" style="1294" customWidth="1"/>
    <col min="13073" max="13073" width="10" style="1294" customWidth="1"/>
    <col min="13074" max="13074" width="10.125" style="1294" customWidth="1"/>
    <col min="13075" max="13075" width="10" style="1294" customWidth="1"/>
    <col min="13076" max="13076" width="26.125" style="1294" customWidth="1"/>
    <col min="13077" max="13312" width="8.875" style="1294"/>
    <col min="13313" max="13313" width="9.5" style="1294" customWidth="1"/>
    <col min="13314" max="13314" width="8.875" style="1294"/>
    <col min="13315" max="13317" width="12.875" style="1294" customWidth="1"/>
    <col min="13318" max="13318" width="47.5" style="1294" customWidth="1"/>
    <col min="13319" max="13319" width="13" style="1294" customWidth="1"/>
    <col min="13320" max="13321" width="8.875" style="1294"/>
    <col min="13322" max="13322" width="5.75" style="1294" customWidth="1"/>
    <col min="13323" max="13323" width="11.75" style="1294" customWidth="1"/>
    <col min="13324" max="13325" width="10.75" style="1294" customWidth="1"/>
    <col min="13326" max="13326" width="10" style="1294" customWidth="1"/>
    <col min="13327" max="13328" width="10.5" style="1294" customWidth="1"/>
    <col min="13329" max="13329" width="10" style="1294" customWidth="1"/>
    <col min="13330" max="13330" width="10.125" style="1294" customWidth="1"/>
    <col min="13331" max="13331" width="10" style="1294" customWidth="1"/>
    <col min="13332" max="13332" width="26.125" style="1294" customWidth="1"/>
    <col min="13333" max="13568" width="8.875" style="1294"/>
    <col min="13569" max="13569" width="9.5" style="1294" customWidth="1"/>
    <col min="13570" max="13570" width="8.875" style="1294"/>
    <col min="13571" max="13573" width="12.875" style="1294" customWidth="1"/>
    <col min="13574" max="13574" width="47.5" style="1294" customWidth="1"/>
    <col min="13575" max="13575" width="13" style="1294" customWidth="1"/>
    <col min="13576" max="13577" width="8.875" style="1294"/>
    <col min="13578" max="13578" width="5.75" style="1294" customWidth="1"/>
    <col min="13579" max="13579" width="11.75" style="1294" customWidth="1"/>
    <col min="13580" max="13581" width="10.75" style="1294" customWidth="1"/>
    <col min="13582" max="13582" width="10" style="1294" customWidth="1"/>
    <col min="13583" max="13584" width="10.5" style="1294" customWidth="1"/>
    <col min="13585" max="13585" width="10" style="1294" customWidth="1"/>
    <col min="13586" max="13586" width="10.125" style="1294" customWidth="1"/>
    <col min="13587" max="13587" width="10" style="1294" customWidth="1"/>
    <col min="13588" max="13588" width="26.125" style="1294" customWidth="1"/>
    <col min="13589" max="13824" width="8.875" style="1294"/>
    <col min="13825" max="13825" width="9.5" style="1294" customWidth="1"/>
    <col min="13826" max="13826" width="8.875" style="1294"/>
    <col min="13827" max="13829" width="12.875" style="1294" customWidth="1"/>
    <col min="13830" max="13830" width="47.5" style="1294" customWidth="1"/>
    <col min="13831" max="13831" width="13" style="1294" customWidth="1"/>
    <col min="13832" max="13833" width="8.875" style="1294"/>
    <col min="13834" max="13834" width="5.75" style="1294" customWidth="1"/>
    <col min="13835" max="13835" width="11.75" style="1294" customWidth="1"/>
    <col min="13836" max="13837" width="10.75" style="1294" customWidth="1"/>
    <col min="13838" max="13838" width="10" style="1294" customWidth="1"/>
    <col min="13839" max="13840" width="10.5" style="1294" customWidth="1"/>
    <col min="13841" max="13841" width="10" style="1294" customWidth="1"/>
    <col min="13842" max="13842" width="10.125" style="1294" customWidth="1"/>
    <col min="13843" max="13843" width="10" style="1294" customWidth="1"/>
    <col min="13844" max="13844" width="26.125" style="1294" customWidth="1"/>
    <col min="13845" max="14080" width="8.875" style="1294"/>
    <col min="14081" max="14081" width="9.5" style="1294" customWidth="1"/>
    <col min="14082" max="14082" width="8.875" style="1294"/>
    <col min="14083" max="14085" width="12.875" style="1294" customWidth="1"/>
    <col min="14086" max="14086" width="47.5" style="1294" customWidth="1"/>
    <col min="14087" max="14087" width="13" style="1294" customWidth="1"/>
    <col min="14088" max="14089" width="8.875" style="1294"/>
    <col min="14090" max="14090" width="5.75" style="1294" customWidth="1"/>
    <col min="14091" max="14091" width="11.75" style="1294" customWidth="1"/>
    <col min="14092" max="14093" width="10.75" style="1294" customWidth="1"/>
    <col min="14094" max="14094" width="10" style="1294" customWidth="1"/>
    <col min="14095" max="14096" width="10.5" style="1294" customWidth="1"/>
    <col min="14097" max="14097" width="10" style="1294" customWidth="1"/>
    <col min="14098" max="14098" width="10.125" style="1294" customWidth="1"/>
    <col min="14099" max="14099" width="10" style="1294" customWidth="1"/>
    <col min="14100" max="14100" width="26.125" style="1294" customWidth="1"/>
    <col min="14101" max="14336" width="8.875" style="1294"/>
    <col min="14337" max="14337" width="9.5" style="1294" customWidth="1"/>
    <col min="14338" max="14338" width="8.875" style="1294"/>
    <col min="14339" max="14341" width="12.875" style="1294" customWidth="1"/>
    <col min="14342" max="14342" width="47.5" style="1294" customWidth="1"/>
    <col min="14343" max="14343" width="13" style="1294" customWidth="1"/>
    <col min="14344" max="14345" width="8.875" style="1294"/>
    <col min="14346" max="14346" width="5.75" style="1294" customWidth="1"/>
    <col min="14347" max="14347" width="11.75" style="1294" customWidth="1"/>
    <col min="14348" max="14349" width="10.75" style="1294" customWidth="1"/>
    <col min="14350" max="14350" width="10" style="1294" customWidth="1"/>
    <col min="14351" max="14352" width="10.5" style="1294" customWidth="1"/>
    <col min="14353" max="14353" width="10" style="1294" customWidth="1"/>
    <col min="14354" max="14354" width="10.125" style="1294" customWidth="1"/>
    <col min="14355" max="14355" width="10" style="1294" customWidth="1"/>
    <col min="14356" max="14356" width="26.125" style="1294" customWidth="1"/>
    <col min="14357" max="14592" width="8.875" style="1294"/>
    <col min="14593" max="14593" width="9.5" style="1294" customWidth="1"/>
    <col min="14594" max="14594" width="8.875" style="1294"/>
    <col min="14595" max="14597" width="12.875" style="1294" customWidth="1"/>
    <col min="14598" max="14598" width="47.5" style="1294" customWidth="1"/>
    <col min="14599" max="14599" width="13" style="1294" customWidth="1"/>
    <col min="14600" max="14601" width="8.875" style="1294"/>
    <col min="14602" max="14602" width="5.75" style="1294" customWidth="1"/>
    <col min="14603" max="14603" width="11.75" style="1294" customWidth="1"/>
    <col min="14604" max="14605" width="10.75" style="1294" customWidth="1"/>
    <col min="14606" max="14606" width="10" style="1294" customWidth="1"/>
    <col min="14607" max="14608" width="10.5" style="1294" customWidth="1"/>
    <col min="14609" max="14609" width="10" style="1294" customWidth="1"/>
    <col min="14610" max="14610" width="10.125" style="1294" customWidth="1"/>
    <col min="14611" max="14611" width="10" style="1294" customWidth="1"/>
    <col min="14612" max="14612" width="26.125" style="1294" customWidth="1"/>
    <col min="14613" max="14848" width="8.875" style="1294"/>
    <col min="14849" max="14849" width="9.5" style="1294" customWidth="1"/>
    <col min="14850" max="14850" width="8.875" style="1294"/>
    <col min="14851" max="14853" width="12.875" style="1294" customWidth="1"/>
    <col min="14854" max="14854" width="47.5" style="1294" customWidth="1"/>
    <col min="14855" max="14855" width="13" style="1294" customWidth="1"/>
    <col min="14856" max="14857" width="8.875" style="1294"/>
    <col min="14858" max="14858" width="5.75" style="1294" customWidth="1"/>
    <col min="14859" max="14859" width="11.75" style="1294" customWidth="1"/>
    <col min="14860" max="14861" width="10.75" style="1294" customWidth="1"/>
    <col min="14862" max="14862" width="10" style="1294" customWidth="1"/>
    <col min="14863" max="14864" width="10.5" style="1294" customWidth="1"/>
    <col min="14865" max="14865" width="10" style="1294" customWidth="1"/>
    <col min="14866" max="14866" width="10.125" style="1294" customWidth="1"/>
    <col min="14867" max="14867" width="10" style="1294" customWidth="1"/>
    <col min="14868" max="14868" width="26.125" style="1294" customWidth="1"/>
    <col min="14869" max="15104" width="8.875" style="1294"/>
    <col min="15105" max="15105" width="9.5" style="1294" customWidth="1"/>
    <col min="15106" max="15106" width="8.875" style="1294"/>
    <col min="15107" max="15109" width="12.875" style="1294" customWidth="1"/>
    <col min="15110" max="15110" width="47.5" style="1294" customWidth="1"/>
    <col min="15111" max="15111" width="13" style="1294" customWidth="1"/>
    <col min="15112" max="15113" width="8.875" style="1294"/>
    <col min="15114" max="15114" width="5.75" style="1294" customWidth="1"/>
    <col min="15115" max="15115" width="11.75" style="1294" customWidth="1"/>
    <col min="15116" max="15117" width="10.75" style="1294" customWidth="1"/>
    <col min="15118" max="15118" width="10" style="1294" customWidth="1"/>
    <col min="15119" max="15120" width="10.5" style="1294" customWidth="1"/>
    <col min="15121" max="15121" width="10" style="1294" customWidth="1"/>
    <col min="15122" max="15122" width="10.125" style="1294" customWidth="1"/>
    <col min="15123" max="15123" width="10" style="1294" customWidth="1"/>
    <col min="15124" max="15124" width="26.125" style="1294" customWidth="1"/>
    <col min="15125" max="15360" width="8.875" style="1294"/>
    <col min="15361" max="15361" width="9.5" style="1294" customWidth="1"/>
    <col min="15362" max="15362" width="8.875" style="1294"/>
    <col min="15363" max="15365" width="12.875" style="1294" customWidth="1"/>
    <col min="15366" max="15366" width="47.5" style="1294" customWidth="1"/>
    <col min="15367" max="15367" width="13" style="1294" customWidth="1"/>
    <col min="15368" max="15369" width="8.875" style="1294"/>
    <col min="15370" max="15370" width="5.75" style="1294" customWidth="1"/>
    <col min="15371" max="15371" width="11.75" style="1294" customWidth="1"/>
    <col min="15372" max="15373" width="10.75" style="1294" customWidth="1"/>
    <col min="15374" max="15374" width="10" style="1294" customWidth="1"/>
    <col min="15375" max="15376" width="10.5" style="1294" customWidth="1"/>
    <col min="15377" max="15377" width="10" style="1294" customWidth="1"/>
    <col min="15378" max="15378" width="10.125" style="1294" customWidth="1"/>
    <col min="15379" max="15379" width="10" style="1294" customWidth="1"/>
    <col min="15380" max="15380" width="26.125" style="1294" customWidth="1"/>
    <col min="15381" max="15616" width="8.875" style="1294"/>
    <col min="15617" max="15617" width="9.5" style="1294" customWidth="1"/>
    <col min="15618" max="15618" width="8.875" style="1294"/>
    <col min="15619" max="15621" width="12.875" style="1294" customWidth="1"/>
    <col min="15622" max="15622" width="47.5" style="1294" customWidth="1"/>
    <col min="15623" max="15623" width="13" style="1294" customWidth="1"/>
    <col min="15624" max="15625" width="8.875" style="1294"/>
    <col min="15626" max="15626" width="5.75" style="1294" customWidth="1"/>
    <col min="15627" max="15627" width="11.75" style="1294" customWidth="1"/>
    <col min="15628" max="15629" width="10.75" style="1294" customWidth="1"/>
    <col min="15630" max="15630" width="10" style="1294" customWidth="1"/>
    <col min="15631" max="15632" width="10.5" style="1294" customWidth="1"/>
    <col min="15633" max="15633" width="10" style="1294" customWidth="1"/>
    <col min="15634" max="15634" width="10.125" style="1294" customWidth="1"/>
    <col min="15635" max="15635" width="10" style="1294" customWidth="1"/>
    <col min="15636" max="15636" width="26.125" style="1294" customWidth="1"/>
    <col min="15637" max="15872" width="8.875" style="1294"/>
    <col min="15873" max="15873" width="9.5" style="1294" customWidth="1"/>
    <col min="15874" max="15874" width="8.875" style="1294"/>
    <col min="15875" max="15877" width="12.875" style="1294" customWidth="1"/>
    <col min="15878" max="15878" width="47.5" style="1294" customWidth="1"/>
    <col min="15879" max="15879" width="13" style="1294" customWidth="1"/>
    <col min="15880" max="15881" width="8.875" style="1294"/>
    <col min="15882" max="15882" width="5.75" style="1294" customWidth="1"/>
    <col min="15883" max="15883" width="11.75" style="1294" customWidth="1"/>
    <col min="15884" max="15885" width="10.75" style="1294" customWidth="1"/>
    <col min="15886" max="15886" width="10" style="1294" customWidth="1"/>
    <col min="15887" max="15888" width="10.5" style="1294" customWidth="1"/>
    <col min="15889" max="15889" width="10" style="1294" customWidth="1"/>
    <col min="15890" max="15890" width="10.125" style="1294" customWidth="1"/>
    <col min="15891" max="15891" width="10" style="1294" customWidth="1"/>
    <col min="15892" max="15892" width="26.125" style="1294" customWidth="1"/>
    <col min="15893" max="16128" width="8.875" style="1294"/>
    <col min="16129" max="16129" width="9.5" style="1294" customWidth="1"/>
    <col min="16130" max="16130" width="8.875" style="1294"/>
    <col min="16131" max="16133" width="12.875" style="1294" customWidth="1"/>
    <col min="16134" max="16134" width="47.5" style="1294" customWidth="1"/>
    <col min="16135" max="16135" width="13" style="1294" customWidth="1"/>
    <col min="16136" max="16137" width="8.875" style="1294"/>
    <col min="16138" max="16138" width="5.75" style="1294" customWidth="1"/>
    <col min="16139" max="16139" width="11.75" style="1294" customWidth="1"/>
    <col min="16140" max="16141" width="10.75" style="1294" customWidth="1"/>
    <col min="16142" max="16142" width="10" style="1294" customWidth="1"/>
    <col min="16143" max="16144" width="10.5" style="1294" customWidth="1"/>
    <col min="16145" max="16145" width="10" style="1294" customWidth="1"/>
    <col min="16146" max="16146" width="10.125" style="1294" customWidth="1"/>
    <col min="16147" max="16147" width="10" style="1294" customWidth="1"/>
    <col min="16148" max="16148" width="26.125" style="1294" customWidth="1"/>
    <col min="16149" max="16384" width="8.875" style="1294"/>
  </cols>
  <sheetData>
    <row r="1" spans="1:22" ht="21" customHeight="1">
      <c r="A1" s="1298" t="s">
        <v>2645</v>
      </c>
      <c r="B1" s="1299"/>
      <c r="C1" s="1300"/>
      <c r="D1" s="1300"/>
      <c r="E1" s="1301"/>
      <c r="F1" s="1302"/>
      <c r="G1" s="1303"/>
      <c r="J1" s="1404" t="s">
        <v>2646</v>
      </c>
      <c r="K1" s="1405"/>
      <c r="L1" s="1405"/>
      <c r="M1" s="1405"/>
      <c r="N1" s="1405"/>
      <c r="O1" s="1405"/>
      <c r="P1" s="1405"/>
      <c r="Q1" s="1405"/>
      <c r="R1" s="1442"/>
      <c r="S1" s="1364"/>
      <c r="T1" s="1364"/>
      <c r="U1" s="1364"/>
    </row>
    <row r="2" spans="1:22" s="1292" customFormat="1" ht="13.15" customHeight="1">
      <c r="A2" s="1304" t="s">
        <v>1402</v>
      </c>
      <c r="B2" s="1305" t="e">
        <f>IF(D2="——",C40,C40+E2)</f>
        <v>#DIV/0!</v>
      </c>
      <c r="C2" s="1300" t="s">
        <v>1403</v>
      </c>
      <c r="D2" s="1306" t="s">
        <v>2647</v>
      </c>
      <c r="E2" s="1307"/>
      <c r="F2" s="1308"/>
      <c r="G2" s="1309"/>
      <c r="H2" s="1310"/>
      <c r="I2" s="1395"/>
      <c r="J2" s="3522" t="s">
        <v>2648</v>
      </c>
      <c r="K2" s="3523"/>
      <c r="L2" s="1406" t="s">
        <v>2649</v>
      </c>
      <c r="M2" s="1406" t="s">
        <v>2650</v>
      </c>
      <c r="N2" s="1406" t="s">
        <v>2651</v>
      </c>
      <c r="O2" s="1406" t="s">
        <v>2652</v>
      </c>
      <c r="P2" s="1406" t="s">
        <v>2653</v>
      </c>
      <c r="Q2" s="1443" t="s">
        <v>2654</v>
      </c>
      <c r="R2" s="1444" t="s">
        <v>2655</v>
      </c>
      <c r="S2" s="1364"/>
      <c r="T2" s="1364"/>
      <c r="U2" s="1364"/>
      <c r="V2" s="1395"/>
    </row>
    <row r="3" spans="1:22" s="1292" customFormat="1" ht="13.15" customHeight="1">
      <c r="A3" s="1311" t="s">
        <v>1404</v>
      </c>
      <c r="B3" s="1312" t="e">
        <f>ROUND(B2*10000/B4,0)</f>
        <v>#DIV/0!</v>
      </c>
      <c r="C3" s="1300" t="s">
        <v>1405</v>
      </c>
      <c r="D3" s="1300"/>
      <c r="E3" s="1313"/>
      <c r="F3" s="1308"/>
      <c r="G3" s="1309"/>
      <c r="H3" s="1310"/>
      <c r="I3" s="1395"/>
      <c r="J3" s="3524" t="s">
        <v>2656</v>
      </c>
      <c r="K3" s="3525"/>
      <c r="L3" s="1407"/>
      <c r="M3" s="1407"/>
      <c r="N3" s="1407"/>
      <c r="O3" s="1407"/>
      <c r="P3" s="1407"/>
      <c r="Q3" s="1445"/>
      <c r="R3" s="1446">
        <f>SUM(L3:Q3)</f>
        <v>0</v>
      </c>
      <c r="S3" s="1364"/>
      <c r="T3" s="1364"/>
      <c r="U3" s="1364"/>
      <c r="V3" s="1395"/>
    </row>
    <row r="4" spans="1:22" s="1292" customFormat="1" ht="13.15" customHeight="1">
      <c r="A4" s="1314" t="s">
        <v>733</v>
      </c>
      <c r="B4" s="1315"/>
      <c r="C4" s="1300"/>
      <c r="D4" s="1300"/>
      <c r="E4" s="1313"/>
      <c r="F4" s="1308"/>
      <c r="G4" s="1309"/>
      <c r="H4" s="1310"/>
      <c r="I4" s="1395"/>
      <c r="J4" s="3524" t="s">
        <v>2657</v>
      </c>
      <c r="K4" s="3525"/>
      <c r="L4" s="1408"/>
      <c r="M4" s="1408"/>
      <c r="N4" s="1408"/>
      <c r="O4" s="1408"/>
      <c r="P4" s="1408"/>
      <c r="Q4" s="1447"/>
      <c r="R4" s="1448">
        <f>SUM(L4:Q4)</f>
        <v>0</v>
      </c>
      <c r="S4" s="1364"/>
      <c r="T4" s="1364"/>
      <c r="U4" s="1364"/>
      <c r="V4" s="1395"/>
    </row>
    <row r="5" spans="1:22" s="1292" customFormat="1" ht="13.15" customHeight="1">
      <c r="A5" s="1316" t="s">
        <v>2658</v>
      </c>
      <c r="B5" s="1317"/>
      <c r="C5" s="1300"/>
      <c r="D5" s="1318"/>
      <c r="E5" s="1308"/>
      <c r="F5" s="1308"/>
      <c r="G5" s="1309"/>
      <c r="H5" s="1310"/>
      <c r="I5" s="1395"/>
      <c r="J5" s="1409" t="s">
        <v>2659</v>
      </c>
      <c r="K5" s="1410"/>
      <c r="L5" s="1410"/>
      <c r="M5" s="1411"/>
      <c r="N5" s="1411"/>
      <c r="O5" s="1411"/>
      <c r="P5" s="1411"/>
      <c r="Q5" s="1411"/>
      <c r="R5" s="1444">
        <f>SUM(R14,R19,R24,R25,R27,R28)</f>
        <v>0</v>
      </c>
      <c r="S5" s="1364"/>
      <c r="T5" s="1364" t="s">
        <v>2660</v>
      </c>
      <c r="U5" s="1364" t="e">
        <f>ROUND(R5*10000/365/R3,1)</f>
        <v>#DIV/0!</v>
      </c>
      <c r="V5" s="1395"/>
    </row>
    <row r="6" spans="1:22" s="1292" customFormat="1" ht="13.15" customHeight="1">
      <c r="A6" s="3526" t="s">
        <v>2661</v>
      </c>
      <c r="B6" s="3527"/>
      <c r="C6" s="3528"/>
      <c r="D6" s="1319"/>
      <c r="E6" s="1320"/>
      <c r="F6" s="1321"/>
      <c r="G6" s="1322"/>
      <c r="H6" s="1310"/>
      <c r="I6" s="1395"/>
      <c r="J6" s="3535">
        <v>1</v>
      </c>
      <c r="K6" s="3538" t="s">
        <v>2662</v>
      </c>
      <c r="L6" s="1413" t="s">
        <v>2663</v>
      </c>
      <c r="M6" s="1414" t="s">
        <v>2664</v>
      </c>
      <c r="N6" s="1414" t="s">
        <v>2665</v>
      </c>
      <c r="O6" s="1414" t="s">
        <v>2666</v>
      </c>
      <c r="P6" s="1414" t="s">
        <v>2667</v>
      </c>
      <c r="Q6" s="1414" t="s">
        <v>2668</v>
      </c>
      <c r="R6" s="1446" t="s">
        <v>2669</v>
      </c>
      <c r="S6" s="1364"/>
      <c r="T6" s="1364" t="s">
        <v>2670</v>
      </c>
      <c r="U6" s="1364"/>
      <c r="V6" s="1395"/>
    </row>
    <row r="7" spans="1:22" s="1292" customFormat="1" ht="13.15" customHeight="1">
      <c r="A7" s="1323" t="s">
        <v>2671</v>
      </c>
      <c r="B7" s="1324"/>
      <c r="C7" s="1325"/>
      <c r="D7" s="1326">
        <f>SUM(D9,D10,D11,D17,0)</f>
        <v>0</v>
      </c>
      <c r="E7" s="1327" t="e">
        <f>E9+E10+E11+E17</f>
        <v>#DIV/0!</v>
      </c>
      <c r="F7" s="1328"/>
      <c r="G7" s="1329"/>
      <c r="H7" s="1310"/>
      <c r="I7" s="1395"/>
      <c r="J7" s="3535"/>
      <c r="K7" s="3539"/>
      <c r="L7" s="1415" t="s">
        <v>2672</v>
      </c>
      <c r="M7" s="1416"/>
      <c r="N7" s="1315"/>
      <c r="O7" s="1417"/>
      <c r="P7" s="1417"/>
      <c r="Q7" s="1348">
        <v>365</v>
      </c>
      <c r="R7" s="1449">
        <f>ROUND(M7*N7*O7*P7*Q7/10000,0)</f>
        <v>0</v>
      </c>
      <c r="S7" s="1364"/>
      <c r="T7" s="1364" t="s">
        <v>2673</v>
      </c>
      <c r="U7" s="1364"/>
      <c r="V7" s="1395"/>
    </row>
    <row r="8" spans="1:22" s="1292" customFormat="1" ht="13.15" customHeight="1">
      <c r="A8" s="1330" t="s">
        <v>2674</v>
      </c>
      <c r="B8" s="3529" t="s">
        <v>2675</v>
      </c>
      <c r="C8" s="3530"/>
      <c r="D8" s="1333" t="s">
        <v>2676</v>
      </c>
      <c r="E8" s="1334" t="s">
        <v>2677</v>
      </c>
      <c r="F8" s="1335" t="s">
        <v>2678</v>
      </c>
      <c r="G8" s="1336"/>
      <c r="H8" s="1310"/>
      <c r="I8" s="1395"/>
      <c r="J8" s="3535"/>
      <c r="K8" s="3539"/>
      <c r="L8" s="1415" t="s">
        <v>2679</v>
      </c>
      <c r="M8" s="1416"/>
      <c r="N8" s="1315"/>
      <c r="O8" s="1417"/>
      <c r="P8" s="1417"/>
      <c r="Q8" s="1348">
        <v>365</v>
      </c>
      <c r="R8" s="1449">
        <f t="shared" ref="R8:R13" si="0">ROUND(M8*N8*O8*P8*Q8/10000,0)</f>
        <v>0</v>
      </c>
      <c r="S8" s="1364"/>
      <c r="T8" s="1364" t="s">
        <v>2680</v>
      </c>
      <c r="U8" s="1364"/>
      <c r="V8" s="1395"/>
    </row>
    <row r="9" spans="1:22" s="1292" customFormat="1" ht="13.15" customHeight="1">
      <c r="A9" s="1330">
        <v>1</v>
      </c>
      <c r="B9" s="3529" t="s">
        <v>2681</v>
      </c>
      <c r="C9" s="3530"/>
      <c r="D9" s="1333">
        <f>ROUND(D6*E9,0)</f>
        <v>0</v>
      </c>
      <c r="E9" s="1337"/>
      <c r="F9" s="1338" t="s">
        <v>2682</v>
      </c>
      <c r="G9" s="1322"/>
      <c r="H9" s="1310"/>
      <c r="I9" s="1395"/>
      <c r="J9" s="3535"/>
      <c r="K9" s="3539"/>
      <c r="L9" s="1415" t="s">
        <v>2683</v>
      </c>
      <c r="M9" s="1416"/>
      <c r="N9" s="1315"/>
      <c r="O9" s="1417"/>
      <c r="P9" s="1417"/>
      <c r="Q9" s="1348">
        <v>365</v>
      </c>
      <c r="R9" s="1449">
        <f t="shared" si="0"/>
        <v>0</v>
      </c>
      <c r="S9" s="1364"/>
      <c r="T9" s="1364"/>
      <c r="U9" s="1364"/>
      <c r="V9" s="1395"/>
    </row>
    <row r="10" spans="1:22" s="1292" customFormat="1" ht="13.15" customHeight="1">
      <c r="A10" s="1330">
        <v>2</v>
      </c>
      <c r="B10" s="3529" t="s">
        <v>2684</v>
      </c>
      <c r="C10" s="3530"/>
      <c r="D10" s="1333">
        <f>ROUND(D6*E10,0)</f>
        <v>0</v>
      </c>
      <c r="E10" s="1337"/>
      <c r="F10" s="1338" t="s">
        <v>2685</v>
      </c>
      <c r="G10" s="1322"/>
      <c r="H10" s="1310"/>
      <c r="I10" s="1395"/>
      <c r="J10" s="3535"/>
      <c r="K10" s="3539"/>
      <c r="L10" s="1415" t="s">
        <v>2686</v>
      </c>
      <c r="M10" s="1416"/>
      <c r="N10" s="1315"/>
      <c r="O10" s="1417"/>
      <c r="P10" s="1417"/>
      <c r="Q10" s="1348">
        <v>365</v>
      </c>
      <c r="R10" s="1449">
        <f t="shared" si="0"/>
        <v>0</v>
      </c>
      <c r="S10" s="1364"/>
      <c r="T10" s="1364"/>
      <c r="U10" s="1364"/>
      <c r="V10" s="1395"/>
    </row>
    <row r="11" spans="1:22" s="1292" customFormat="1" ht="13.15" customHeight="1">
      <c r="A11" s="1330">
        <v>3</v>
      </c>
      <c r="B11" s="3529" t="s">
        <v>2687</v>
      </c>
      <c r="C11" s="3530"/>
      <c r="D11" s="1333">
        <f>D12+D14+D15+D16</f>
        <v>0</v>
      </c>
      <c r="E11" s="1339" t="e">
        <f>D11/D6</f>
        <v>#DIV/0!</v>
      </c>
      <c r="F11" s="1335"/>
      <c r="G11" s="1336"/>
      <c r="H11" s="1310"/>
      <c r="I11" s="1395"/>
      <c r="J11" s="3535"/>
      <c r="K11" s="3539"/>
      <c r="L11" s="1415" t="s">
        <v>2688</v>
      </c>
      <c r="M11" s="1416"/>
      <c r="N11" s="1315"/>
      <c r="O11" s="1417"/>
      <c r="P11" s="1417"/>
      <c r="Q11" s="1348">
        <v>365</v>
      </c>
      <c r="R11" s="1449">
        <f t="shared" si="0"/>
        <v>0</v>
      </c>
      <c r="S11" s="1364"/>
      <c r="T11" s="1364"/>
      <c r="U11" s="1364"/>
      <c r="V11" s="1395"/>
    </row>
    <row r="12" spans="1:22" s="1292" customFormat="1" ht="13.15" customHeight="1">
      <c r="A12" s="1340" t="s">
        <v>2689</v>
      </c>
      <c r="B12" s="3531" t="s">
        <v>2690</v>
      </c>
      <c r="C12" s="3532"/>
      <c r="D12" s="1343">
        <f>ROUND(D13*1.2%*(1-30%),0)</f>
        <v>0</v>
      </c>
      <c r="E12" s="1344">
        <v>1.2E-2</v>
      </c>
      <c r="F12" s="1335" t="s">
        <v>2691</v>
      </c>
      <c r="G12" s="1336"/>
      <c r="H12" s="1310"/>
      <c r="I12" s="1395"/>
      <c r="J12" s="3535"/>
      <c r="K12" s="3539"/>
      <c r="L12" s="1415" t="s">
        <v>2692</v>
      </c>
      <c r="M12" s="1416"/>
      <c r="N12" s="1315"/>
      <c r="O12" s="1417"/>
      <c r="P12" s="1417"/>
      <c r="Q12" s="1348">
        <v>365</v>
      </c>
      <c r="R12" s="1449">
        <f t="shared" si="0"/>
        <v>0</v>
      </c>
      <c r="S12" s="1364"/>
      <c r="T12" s="1364"/>
      <c r="U12" s="1364"/>
      <c r="V12" s="1395"/>
    </row>
    <row r="13" spans="1:22" s="1292" customFormat="1" ht="13.15" customHeight="1">
      <c r="A13" s="1340"/>
      <c r="B13" s="1341"/>
      <c r="C13" s="1345" t="s">
        <v>2693</v>
      </c>
      <c r="D13" s="1346"/>
      <c r="E13" s="1347"/>
      <c r="F13" s="1335"/>
      <c r="G13" s="1336"/>
      <c r="H13" s="1310"/>
      <c r="I13" s="1395"/>
      <c r="J13" s="3535"/>
      <c r="K13" s="3539"/>
      <c r="L13" s="1415" t="s">
        <v>2694</v>
      </c>
      <c r="M13" s="1416"/>
      <c r="N13" s="1315"/>
      <c r="O13" s="1417"/>
      <c r="P13" s="1417"/>
      <c r="Q13" s="1348">
        <v>365</v>
      </c>
      <c r="R13" s="1449">
        <f t="shared" si="0"/>
        <v>0</v>
      </c>
      <c r="S13" s="1364"/>
      <c r="T13" s="1364"/>
      <c r="U13" s="1364"/>
      <c r="V13" s="1395"/>
    </row>
    <row r="14" spans="1:22" s="1292" customFormat="1" ht="13.15" customHeight="1">
      <c r="A14" s="1340" t="s">
        <v>2695</v>
      </c>
      <c r="B14" s="3531" t="s">
        <v>2696</v>
      </c>
      <c r="C14" s="3532"/>
      <c r="D14" s="1343">
        <f>ROUND(E14*B5/10000,0)</f>
        <v>0</v>
      </c>
      <c r="E14" s="1348"/>
      <c r="F14" s="1335" t="s">
        <v>2697</v>
      </c>
      <c r="G14" s="1336"/>
      <c r="H14" s="1310"/>
      <c r="I14" s="1395"/>
      <c r="J14" s="3535"/>
      <c r="K14" s="3540"/>
      <c r="L14" s="1418" t="s">
        <v>2698</v>
      </c>
      <c r="M14" s="1419">
        <f>SUM(M7:M13)</f>
        <v>0</v>
      </c>
      <c r="N14" s="1419" t="e">
        <f>ROUND((N7*M7+N8*M8+N9*M9+N10*M10+N11*M11+N12*M12+N13*M13)/M14,0)</f>
        <v>#DIV/0!</v>
      </c>
      <c r="O14" s="1420"/>
      <c r="P14" s="1420"/>
      <c r="Q14" s="1450"/>
      <c r="R14" s="1444">
        <f>SUM(R7:R13)</f>
        <v>0</v>
      </c>
      <c r="S14" s="1364"/>
      <c r="T14" s="1364"/>
      <c r="U14" s="1364"/>
      <c r="V14" s="1395"/>
    </row>
    <row r="15" spans="1:22" s="1292" customFormat="1" ht="13.15" customHeight="1">
      <c r="A15" s="1340" t="s">
        <v>2699</v>
      </c>
      <c r="B15" s="3531" t="s">
        <v>2700</v>
      </c>
      <c r="C15" s="3532"/>
      <c r="D15" s="1343">
        <f>ROUND(D6*E15,0)</f>
        <v>0</v>
      </c>
      <c r="E15" s="1344">
        <v>5.5E-2</v>
      </c>
      <c r="F15" s="1335" t="s">
        <v>2701</v>
      </c>
      <c r="G15" s="1322"/>
      <c r="H15" s="1310"/>
      <c r="I15" s="1395"/>
      <c r="J15" s="3535">
        <v>2</v>
      </c>
      <c r="K15" s="3538" t="s">
        <v>2702</v>
      </c>
      <c r="L15" s="1415" t="s">
        <v>2703</v>
      </c>
      <c r="M15" s="1416" t="s">
        <v>2704</v>
      </c>
      <c r="N15" s="1416" t="s">
        <v>2705</v>
      </c>
      <c r="O15" s="1417" t="s">
        <v>2706</v>
      </c>
      <c r="P15" s="1417" t="s">
        <v>2668</v>
      </c>
      <c r="Q15" s="1315" t="s">
        <v>124</v>
      </c>
      <c r="R15" s="1451" t="s">
        <v>2669</v>
      </c>
      <c r="S15" s="1364"/>
      <c r="T15" s="1364"/>
      <c r="U15" s="1364"/>
      <c r="V15" s="1395"/>
    </row>
    <row r="16" spans="1:22" s="1292" customFormat="1" ht="13.15" customHeight="1">
      <c r="A16" s="1340" t="s">
        <v>2707</v>
      </c>
      <c r="B16" s="3531" t="s">
        <v>2708</v>
      </c>
      <c r="C16" s="3532"/>
      <c r="D16" s="1349">
        <f>D6*E16</f>
        <v>0</v>
      </c>
      <c r="E16" s="1350"/>
      <c r="F16" s="1338" t="s">
        <v>2709</v>
      </c>
      <c r="G16" s="1322"/>
      <c r="H16" s="1310"/>
      <c r="I16" s="1395"/>
      <c r="J16" s="3535"/>
      <c r="K16" s="3539"/>
      <c r="L16" s="1415" t="s">
        <v>2710</v>
      </c>
      <c r="M16" s="1416"/>
      <c r="N16" s="1416"/>
      <c r="O16" s="1417"/>
      <c r="P16" s="1348">
        <v>365</v>
      </c>
      <c r="Q16" s="1315"/>
      <c r="R16" s="1451">
        <f>ROUND(M16*N16*O16*P16/10000,0)</f>
        <v>0</v>
      </c>
      <c r="S16" s="1364"/>
      <c r="T16" s="1364"/>
      <c r="U16" s="1364"/>
      <c r="V16" s="1395"/>
    </row>
    <row r="17" spans="1:22" s="1292" customFormat="1" ht="13.15" customHeight="1">
      <c r="A17" s="1351">
        <v>4</v>
      </c>
      <c r="B17" s="3533" t="s">
        <v>2711</v>
      </c>
      <c r="C17" s="3534"/>
      <c r="D17" s="1352">
        <f>ROUND(D6*E17,0)</f>
        <v>0</v>
      </c>
      <c r="E17" s="1353"/>
      <c r="F17" s="1354" t="s">
        <v>2712</v>
      </c>
      <c r="G17" s="1322"/>
      <c r="H17" s="1310"/>
      <c r="I17" s="1395"/>
      <c r="J17" s="3535"/>
      <c r="K17" s="3539"/>
      <c r="L17" s="1415" t="s">
        <v>2713</v>
      </c>
      <c r="M17" s="1416"/>
      <c r="N17" s="1416"/>
      <c r="O17" s="1417"/>
      <c r="P17" s="1348">
        <v>365</v>
      </c>
      <c r="Q17" s="1315"/>
      <c r="R17" s="1451">
        <f>ROUND(M17*N17*O17*P17/10000,0)</f>
        <v>0</v>
      </c>
      <c r="S17" s="1364"/>
      <c r="T17" s="1364"/>
      <c r="U17" s="1364"/>
      <c r="V17" s="1395"/>
    </row>
    <row r="18" spans="1:22" s="1292" customFormat="1" ht="13.15" customHeight="1">
      <c r="A18" s="1323" t="s">
        <v>2714</v>
      </c>
      <c r="B18" s="1324"/>
      <c r="C18" s="1324"/>
      <c r="D18" s="1355">
        <f>ROUND(D6*E18,0)</f>
        <v>0</v>
      </c>
      <c r="E18" s="1356"/>
      <c r="F18" s="1357" t="s">
        <v>2715</v>
      </c>
      <c r="G18" s="1322"/>
      <c r="H18" s="1310"/>
      <c r="I18" s="1395"/>
      <c r="J18" s="3535"/>
      <c r="K18" s="3539"/>
      <c r="L18" s="1415" t="s">
        <v>2716</v>
      </c>
      <c r="M18" s="1416"/>
      <c r="N18" s="1416"/>
      <c r="O18" s="1417"/>
      <c r="P18" s="1348">
        <v>365</v>
      </c>
      <c r="Q18" s="1315"/>
      <c r="R18" s="1451">
        <f>ROUND(M18*N18*O18*P18/10000,0)</f>
        <v>0</v>
      </c>
      <c r="S18" s="1364"/>
      <c r="T18" s="1364"/>
      <c r="U18" s="1364"/>
      <c r="V18" s="1395"/>
    </row>
    <row r="19" spans="1:22" s="1292" customFormat="1" ht="13.15" customHeight="1">
      <c r="A19" s="1358" t="s">
        <v>2717</v>
      </c>
      <c r="B19" s="1320"/>
      <c r="C19" s="1320"/>
      <c r="D19" s="1320"/>
      <c r="E19" s="1320"/>
      <c r="F19" s="1321"/>
      <c r="G19" s="1336"/>
      <c r="H19" s="1310"/>
      <c r="I19" s="1395"/>
      <c r="J19" s="3535"/>
      <c r="K19" s="3540"/>
      <c r="L19" s="1418" t="s">
        <v>2698</v>
      </c>
      <c r="M19" s="1419"/>
      <c r="N19" s="1419">
        <f>SUM(N16:N18)</f>
        <v>0</v>
      </c>
      <c r="O19" s="1420"/>
      <c r="P19" s="1421" t="s">
        <v>2718</v>
      </c>
      <c r="Q19" s="1417">
        <v>0</v>
      </c>
      <c r="R19" s="1452">
        <f>ROUND(IF(P19="按比例",R14*Q19,SUM(R16:R18)),0)</f>
        <v>0</v>
      </c>
      <c r="S19" s="1364"/>
      <c r="T19" s="1364"/>
      <c r="U19" s="1364"/>
      <c r="V19" s="1395"/>
    </row>
    <row r="20" spans="1:22" s="1292" customFormat="1" ht="13.15" customHeight="1">
      <c r="A20" s="1323"/>
      <c r="B20" s="1324"/>
      <c r="C20" s="1324"/>
      <c r="D20" s="1324"/>
      <c r="E20" s="1324"/>
      <c r="F20" s="1359"/>
      <c r="G20" s="1336"/>
      <c r="H20" s="1310"/>
      <c r="I20" s="1395"/>
      <c r="J20" s="3535">
        <v>3</v>
      </c>
      <c r="K20" s="3538" t="s">
        <v>2719</v>
      </c>
      <c r="L20" s="1415" t="s">
        <v>2720</v>
      </c>
      <c r="M20" s="1416" t="s">
        <v>2721</v>
      </c>
      <c r="N20" s="1422" t="s">
        <v>2722</v>
      </c>
      <c r="O20" s="1417" t="s">
        <v>2723</v>
      </c>
      <c r="P20" s="1348" t="s">
        <v>2668</v>
      </c>
      <c r="Q20" s="1315" t="s">
        <v>124</v>
      </c>
      <c r="R20" s="1451" t="s">
        <v>2669</v>
      </c>
      <c r="S20" s="1364"/>
      <c r="T20" s="1364"/>
      <c r="U20" s="1364"/>
      <c r="V20" s="1395"/>
    </row>
    <row r="21" spans="1:22" s="1292" customFormat="1" ht="13.15" customHeight="1">
      <c r="A21" s="1323"/>
      <c r="B21" s="1324"/>
      <c r="C21" s="1331" t="s">
        <v>2724</v>
      </c>
      <c r="D21" s="1360" t="s">
        <v>2725</v>
      </c>
      <c r="E21" s="1332" t="s">
        <v>2726</v>
      </c>
      <c r="F21" s="1359"/>
      <c r="G21" s="1336"/>
      <c r="H21" s="1310"/>
      <c r="I21" s="1395"/>
      <c r="J21" s="3535"/>
      <c r="K21" s="3539"/>
      <c r="L21" s="1415" t="s">
        <v>2727</v>
      </c>
      <c r="M21" s="1416"/>
      <c r="N21" s="1416"/>
      <c r="O21" s="1417"/>
      <c r="P21" s="1348">
        <v>365</v>
      </c>
      <c r="Q21" s="1315"/>
      <c r="R21" s="1453">
        <f>ROUND(M21*N21*O21*P21/10000,0)</f>
        <v>0</v>
      </c>
      <c r="S21" s="1364"/>
      <c r="T21" s="1364"/>
      <c r="U21" s="1364"/>
      <c r="V21" s="1395"/>
    </row>
    <row r="22" spans="1:22" s="1292" customFormat="1" ht="13.15" customHeight="1">
      <c r="A22" s="1323"/>
      <c r="B22" s="1324"/>
      <c r="C22" s="1361" t="s">
        <v>2728</v>
      </c>
      <c r="D22" s="1362" t="s">
        <v>2729</v>
      </c>
      <c r="E22" s="1363" t="s">
        <v>2730</v>
      </c>
      <c r="F22" s="1359"/>
      <c r="G22" s="1364"/>
      <c r="H22" s="1310"/>
      <c r="I22" s="1395"/>
      <c r="J22" s="3535"/>
      <c r="K22" s="3539"/>
      <c r="L22" s="1415" t="s">
        <v>2731</v>
      </c>
      <c r="M22" s="1416"/>
      <c r="N22" s="1416"/>
      <c r="O22" s="1417"/>
      <c r="P22" s="1348">
        <v>365</v>
      </c>
      <c r="Q22" s="1315"/>
      <c r="R22" s="1453">
        <f>ROUND(M22*N22*O22*P22/10000,0)</f>
        <v>0</v>
      </c>
      <c r="S22" s="1364"/>
      <c r="T22" s="1364"/>
      <c r="U22" s="1364"/>
      <c r="V22" s="1395"/>
    </row>
    <row r="23" spans="1:22" s="1292" customFormat="1" ht="13.15" customHeight="1">
      <c r="A23" s="1365">
        <v>1</v>
      </c>
      <c r="B23" s="1366" t="s">
        <v>2732</v>
      </c>
      <c r="C23" s="1367">
        <f>D6</f>
        <v>0</v>
      </c>
      <c r="D23" s="1368">
        <f>C23*(1+D24)</f>
        <v>0</v>
      </c>
      <c r="E23" s="1369">
        <f>D23*(1+E24)</f>
        <v>0</v>
      </c>
      <c r="F23" s="1370"/>
      <c r="G23" s="1371"/>
      <c r="H23" s="1310"/>
      <c r="I23" s="1395"/>
      <c r="J23" s="3535"/>
      <c r="K23" s="3539"/>
      <c r="L23" s="1415" t="s">
        <v>2733</v>
      </c>
      <c r="M23" s="1416"/>
      <c r="N23" s="1416"/>
      <c r="O23" s="1417"/>
      <c r="P23" s="1348">
        <v>365</v>
      </c>
      <c r="Q23" s="1315"/>
      <c r="R23" s="1453">
        <f>ROUND(M23*N23*O23*P23/10000,0)</f>
        <v>0</v>
      </c>
      <c r="S23" s="1364"/>
      <c r="T23" s="1364"/>
      <c r="U23" s="1364"/>
      <c r="V23" s="1395"/>
    </row>
    <row r="24" spans="1:22" s="1292" customFormat="1" ht="13.15" customHeight="1">
      <c r="A24" s="1372"/>
      <c r="B24" s="1373" t="s">
        <v>2734</v>
      </c>
      <c r="C24" s="1374"/>
      <c r="D24" s="1375"/>
      <c r="E24" s="1376"/>
      <c r="F24" s="1377"/>
      <c r="G24" s="1371"/>
      <c r="H24" s="1310"/>
      <c r="I24" s="1395"/>
      <c r="J24" s="3535"/>
      <c r="K24" s="3540"/>
      <c r="L24" s="1418" t="s">
        <v>2698</v>
      </c>
      <c r="M24" s="1419">
        <f>SUM(M21:M23)</f>
        <v>0</v>
      </c>
      <c r="N24" s="1419"/>
      <c r="O24" s="1420"/>
      <c r="P24" s="1421" t="s">
        <v>2718</v>
      </c>
      <c r="Q24" s="1417">
        <v>0</v>
      </c>
      <c r="R24" s="1452">
        <f>ROUND(IF(P24="按比例",R14*Q24,SUM(R21:R23)),0)</f>
        <v>0</v>
      </c>
      <c r="S24" s="1364"/>
      <c r="T24" s="1364"/>
      <c r="U24" s="1364"/>
      <c r="V24" s="1395"/>
    </row>
    <row r="25" spans="1:22" s="1293" customFormat="1" ht="13.15" customHeight="1">
      <c r="A25" s="1372"/>
      <c r="B25" s="1373"/>
      <c r="C25" s="1374"/>
      <c r="D25" s="1375"/>
      <c r="E25" s="1376"/>
      <c r="F25" s="1377"/>
      <c r="G25" s="1364"/>
      <c r="H25" s="1310"/>
      <c r="I25" s="1395"/>
      <c r="J25" s="1412">
        <v>4</v>
      </c>
      <c r="K25" s="1423" t="s">
        <v>2735</v>
      </c>
      <c r="L25" s="1424"/>
      <c r="M25" s="1424"/>
      <c r="N25" s="1424"/>
      <c r="O25" s="1424"/>
      <c r="P25" s="1425"/>
      <c r="Q25" s="1454">
        <v>0</v>
      </c>
      <c r="R25" s="1452">
        <f>ROUND(R14*Q25,0)</f>
        <v>0</v>
      </c>
      <c r="S25" s="1364"/>
      <c r="T25" s="1364"/>
      <c r="U25" s="1364"/>
      <c r="V25" s="1431"/>
    </row>
    <row r="26" spans="1:22" s="1293" customFormat="1" ht="13.15" customHeight="1">
      <c r="A26" s="1365">
        <v>2</v>
      </c>
      <c r="B26" s="1366" t="s">
        <v>2736</v>
      </c>
      <c r="C26" s="1367">
        <f>D7</f>
        <v>0</v>
      </c>
      <c r="D26" s="1368">
        <f>D23*D27</f>
        <v>0</v>
      </c>
      <c r="E26" s="1369">
        <f>E23*E27</f>
        <v>0</v>
      </c>
      <c r="F26" s="1370"/>
      <c r="G26" s="1371"/>
      <c r="H26" s="1310"/>
      <c r="I26" s="1395"/>
      <c r="J26" s="3536">
        <v>5</v>
      </c>
      <c r="K26" s="1426" t="s">
        <v>2737</v>
      </c>
      <c r="L26" s="1427"/>
      <c r="M26" s="1428"/>
      <c r="N26" s="1429" t="s">
        <v>469</v>
      </c>
      <c r="O26" s="1429" t="s">
        <v>2738</v>
      </c>
      <c r="P26" s="1430" t="s">
        <v>2739</v>
      </c>
      <c r="Q26" s="1430" t="s">
        <v>2740</v>
      </c>
      <c r="R26" s="1446" t="s">
        <v>2669</v>
      </c>
      <c r="S26" s="1336"/>
      <c r="T26" s="1336"/>
      <c r="U26" s="1336"/>
      <c r="V26" s="1431"/>
    </row>
    <row r="27" spans="1:22" s="1292" customFormat="1" ht="13.15" customHeight="1">
      <c r="A27" s="1372"/>
      <c r="B27" s="1373" t="s">
        <v>2741</v>
      </c>
      <c r="C27" s="1378" t="e">
        <f>E7</f>
        <v>#DIV/0!</v>
      </c>
      <c r="D27" s="1375"/>
      <c r="E27" s="1376"/>
      <c r="F27" s="1377"/>
      <c r="G27" s="1371"/>
      <c r="H27" s="1379"/>
      <c r="I27" s="1431"/>
      <c r="J27" s="3537"/>
      <c r="K27" s="1432"/>
      <c r="L27" s="1433"/>
      <c r="M27" s="1434"/>
      <c r="N27" s="1435"/>
      <c r="O27" s="1435"/>
      <c r="P27" s="1435"/>
      <c r="Q27" s="1455"/>
      <c r="R27" s="1452">
        <f>ROUND(O27*N27*P27*(1-Q27)/10000,0)</f>
        <v>0</v>
      </c>
      <c r="S27" s="1364"/>
      <c r="T27" s="1364"/>
      <c r="U27" s="1364"/>
      <c r="V27" s="1395"/>
    </row>
    <row r="28" spans="1:22" s="1293" customFormat="1" ht="13.15" customHeight="1">
      <c r="A28" s="1372"/>
      <c r="B28" s="1373"/>
      <c r="C28" s="1378"/>
      <c r="D28" s="1375"/>
      <c r="E28" s="1376" t="s">
        <v>2632</v>
      </c>
      <c r="F28" s="1377"/>
      <c r="G28" s="1364"/>
      <c r="H28" s="1379"/>
      <c r="I28" s="1431"/>
      <c r="J28" s="1436">
        <v>6</v>
      </c>
      <c r="K28" s="1437" t="s">
        <v>2742</v>
      </c>
      <c r="L28" s="1438" t="s">
        <v>2743</v>
      </c>
      <c r="M28" s="1439"/>
      <c r="N28" s="1438" t="s">
        <v>2744</v>
      </c>
      <c r="O28" s="1440"/>
      <c r="P28" s="1438" t="s">
        <v>2745</v>
      </c>
      <c r="Q28" s="1456">
        <v>1.4999999999999999E-2</v>
      </c>
      <c r="R28" s="1457"/>
      <c r="S28" s="1364"/>
      <c r="T28" s="1364"/>
      <c r="U28" s="1364"/>
      <c r="V28" s="1431"/>
    </row>
    <row r="29" spans="1:22" s="1293" customFormat="1" ht="13.15" customHeight="1">
      <c r="A29" s="1365">
        <v>3</v>
      </c>
      <c r="B29" s="1366" t="s">
        <v>2746</v>
      </c>
      <c r="C29" s="1367">
        <f>C23*C30</f>
        <v>0</v>
      </c>
      <c r="D29" s="1368">
        <f>D23*C30</f>
        <v>0</v>
      </c>
      <c r="E29" s="1369">
        <f>E23*C30</f>
        <v>0</v>
      </c>
      <c r="F29" s="1370"/>
      <c r="G29" s="1371"/>
      <c r="H29" s="1310"/>
      <c r="I29" s="1395"/>
      <c r="J29" s="1364"/>
      <c r="K29" s="1364"/>
      <c r="L29" s="1364"/>
      <c r="M29" s="1364"/>
      <c r="N29" s="1364"/>
      <c r="O29" s="1364"/>
      <c r="P29" s="1364"/>
      <c r="Q29" s="1364"/>
      <c r="R29" s="1364"/>
      <c r="S29" s="1364"/>
      <c r="T29" s="1364"/>
      <c r="U29" s="1364"/>
      <c r="V29" s="1431"/>
    </row>
    <row r="30" spans="1:22" s="1292" customFormat="1" ht="13.15" customHeight="1">
      <c r="A30" s="1372"/>
      <c r="B30" s="1373" t="s">
        <v>2741</v>
      </c>
      <c r="C30" s="1378">
        <f>E18</f>
        <v>0</v>
      </c>
      <c r="D30" s="1380"/>
      <c r="E30" s="1347"/>
      <c r="F30" s="1377"/>
      <c r="G30" s="1371"/>
      <c r="H30" s="1379"/>
      <c r="I30" s="1431"/>
      <c r="J30" s="1364"/>
      <c r="K30" s="1364"/>
      <c r="L30" s="1364"/>
      <c r="M30" s="1364"/>
      <c r="N30" s="1364"/>
      <c r="O30" s="1364"/>
      <c r="P30" s="1364"/>
      <c r="Q30" s="1364"/>
      <c r="R30" s="1364"/>
      <c r="S30" s="1364"/>
      <c r="T30" s="1364"/>
      <c r="U30" s="1364"/>
      <c r="V30" s="1395"/>
    </row>
    <row r="31" spans="1:22" s="1293" customFormat="1" ht="13.15" customHeight="1">
      <c r="A31" s="1372"/>
      <c r="B31" s="1373"/>
      <c r="C31" s="1381"/>
      <c r="D31" s="1380"/>
      <c r="E31" s="1347"/>
      <c r="F31" s="1377"/>
      <c r="G31" s="1364"/>
      <c r="H31" s="1379"/>
      <c r="I31" s="1431"/>
      <c r="J31" s="1404" t="s">
        <v>2747</v>
      </c>
      <c r="K31" s="1405"/>
      <c r="L31" s="1405"/>
      <c r="M31" s="1405"/>
      <c r="N31" s="1405"/>
      <c r="O31" s="1405"/>
      <c r="P31" s="1405"/>
      <c r="Q31" s="1405"/>
      <c r="R31" s="1442"/>
      <c r="S31" s="1364"/>
      <c r="T31" s="1364"/>
      <c r="U31" s="1364"/>
      <c r="V31" s="1431"/>
    </row>
    <row r="32" spans="1:22" s="1293" customFormat="1" ht="13.15" customHeight="1">
      <c r="A32" s="1365">
        <v>4</v>
      </c>
      <c r="B32" s="1366" t="s">
        <v>2748</v>
      </c>
      <c r="C32" s="1367">
        <f>C23-C26-C29</f>
        <v>0</v>
      </c>
      <c r="D32" s="1368">
        <f>D23-D26-D29</f>
        <v>0</v>
      </c>
      <c r="E32" s="1369">
        <f>E23-E26-E29</f>
        <v>0</v>
      </c>
      <c r="F32" s="1370"/>
      <c r="G32" s="1364"/>
      <c r="H32" s="1310"/>
      <c r="I32" s="1395"/>
      <c r="J32" s="3522" t="s">
        <v>2648</v>
      </c>
      <c r="K32" s="3523"/>
      <c r="L32" s="1406" t="s">
        <v>2649</v>
      </c>
      <c r="M32" s="1406" t="s">
        <v>2650</v>
      </c>
      <c r="N32" s="1406" t="s">
        <v>2651</v>
      </c>
      <c r="O32" s="1406" t="s">
        <v>2652</v>
      </c>
      <c r="P32" s="1406" t="s">
        <v>2653</v>
      </c>
      <c r="Q32" s="1443" t="s">
        <v>2654</v>
      </c>
      <c r="R32" s="1458" t="s">
        <v>2655</v>
      </c>
      <c r="S32" s="1364"/>
      <c r="T32" s="1364"/>
      <c r="U32" s="1364"/>
      <c r="V32" s="1431"/>
    </row>
    <row r="33" spans="1:23" s="1292" customFormat="1" ht="13.15" customHeight="1">
      <c r="A33" s="1365"/>
      <c r="B33" s="1366"/>
      <c r="C33" s="1367"/>
      <c r="D33" s="1382"/>
      <c r="E33" s="1342"/>
      <c r="F33" s="1370"/>
      <c r="G33" s="1364"/>
      <c r="H33" s="1379"/>
      <c r="I33" s="1431"/>
      <c r="J33" s="3524" t="s">
        <v>2656</v>
      </c>
      <c r="K33" s="3525"/>
      <c r="L33" s="1407"/>
      <c r="M33" s="1407"/>
      <c r="N33" s="1407"/>
      <c r="O33" s="1407"/>
      <c r="P33" s="1407"/>
      <c r="Q33" s="1445"/>
      <c r="R33" s="1459">
        <f>SUM(L33:Q33)</f>
        <v>0</v>
      </c>
      <c r="S33" s="1364"/>
      <c r="T33" s="1364"/>
      <c r="U33" s="1364"/>
      <c r="V33" s="1395"/>
    </row>
    <row r="34" spans="1:23" s="1292" customFormat="1" ht="13.15" customHeight="1">
      <c r="A34" s="1365">
        <v>5</v>
      </c>
      <c r="B34" s="1366" t="s">
        <v>2749</v>
      </c>
      <c r="C34" s="1383"/>
      <c r="D34" s="1384"/>
      <c r="E34" s="1385"/>
      <c r="F34" s="1370"/>
      <c r="G34" s="1364"/>
      <c r="H34" s="1379"/>
      <c r="I34" s="1431"/>
      <c r="J34" s="3524" t="s">
        <v>2657</v>
      </c>
      <c r="K34" s="3525"/>
      <c r="L34" s="1408"/>
      <c r="M34" s="1408"/>
      <c r="N34" s="1408"/>
      <c r="O34" s="1408"/>
      <c r="P34" s="1408"/>
      <c r="Q34" s="1447"/>
      <c r="R34" s="1460">
        <f>SUM(L34:Q34)</f>
        <v>0</v>
      </c>
      <c r="S34" s="1364"/>
      <c r="T34" s="1364"/>
      <c r="U34" s="1364" t="e">
        <f>ROUND(R35*10000/365/R33,1)</f>
        <v>#DIV/0!</v>
      </c>
      <c r="V34" s="1395"/>
    </row>
    <row r="35" spans="1:23" s="1292" customFormat="1" ht="13.15" customHeight="1">
      <c r="A35" s="1365">
        <v>6</v>
      </c>
      <c r="B35" s="1366" t="s">
        <v>2750</v>
      </c>
      <c r="C35" s="1386"/>
      <c r="D35" s="1387"/>
      <c r="E35" s="1388"/>
      <c r="F35" s="1370"/>
      <c r="G35" s="1389"/>
      <c r="H35" s="1310"/>
      <c r="I35" s="1431"/>
      <c r="J35" s="1409" t="s">
        <v>2659</v>
      </c>
      <c r="K35" s="1410"/>
      <c r="L35" s="1410"/>
      <c r="M35" s="1411"/>
      <c r="N35" s="1411"/>
      <c r="O35" s="1411"/>
      <c r="P35" s="1411"/>
      <c r="Q35" s="1411"/>
      <c r="R35" s="1461">
        <f>R40+R41+R43</f>
        <v>0</v>
      </c>
      <c r="S35" s="1364"/>
      <c r="T35" s="1364" t="s">
        <v>2660</v>
      </c>
      <c r="U35" s="1364"/>
      <c r="V35" s="1395"/>
    </row>
    <row r="36" spans="1:23" s="1292" customFormat="1" ht="13.15" customHeight="1">
      <c r="A36" s="1365">
        <v>7</v>
      </c>
      <c r="B36" s="1390" t="s">
        <v>2751</v>
      </c>
      <c r="C36" s="1391"/>
      <c r="D36" s="1392"/>
      <c r="E36" s="1393"/>
      <c r="F36" s="1394">
        <f>C36+D36+E36</f>
        <v>0</v>
      </c>
      <c r="G36" s="1364"/>
      <c r="H36" s="1310"/>
      <c r="I36" s="1395"/>
      <c r="J36" s="3535">
        <v>1</v>
      </c>
      <c r="K36" s="3538" t="s">
        <v>2752</v>
      </c>
      <c r="L36" s="1413"/>
      <c r="M36" s="1414"/>
      <c r="N36" s="1414"/>
      <c r="O36" s="1414"/>
      <c r="P36" s="1414"/>
      <c r="Q36" s="1414"/>
      <c r="R36" s="1446" t="s">
        <v>2669</v>
      </c>
      <c r="S36" s="1364"/>
      <c r="T36" s="1364" t="s">
        <v>2670</v>
      </c>
      <c r="U36" s="1364"/>
      <c r="V36" s="1395"/>
    </row>
    <row r="37" spans="1:23" s="1292" customFormat="1" ht="13.15" customHeight="1">
      <c r="A37" s="1365"/>
      <c r="B37" s="1366"/>
      <c r="C37" s="1366"/>
      <c r="D37" s="1366"/>
      <c r="E37" s="1366"/>
      <c r="F37" s="1370"/>
      <c r="G37" s="1364"/>
      <c r="H37" s="1310"/>
      <c r="I37" s="1395"/>
      <c r="J37" s="3535"/>
      <c r="K37" s="3539"/>
      <c r="L37" s="1415"/>
      <c r="M37" s="1416"/>
      <c r="N37" s="1315"/>
      <c r="O37" s="1417"/>
      <c r="P37" s="1417"/>
      <c r="Q37" s="1348"/>
      <c r="R37" s="1449"/>
      <c r="S37" s="1364"/>
      <c r="T37" s="1364" t="s">
        <v>2673</v>
      </c>
      <c r="U37" s="1364"/>
      <c r="V37" s="1395"/>
    </row>
    <row r="38" spans="1:23" s="1292" customFormat="1" ht="13.15" customHeight="1">
      <c r="A38" s="1365">
        <v>8</v>
      </c>
      <c r="B38" s="1366"/>
      <c r="C38" s="1333" t="e">
        <f>ROUND(C32*(1-((1+C35)/(1+C34))^C36)/(C34-C35),0)</f>
        <v>#DIV/0!</v>
      </c>
      <c r="D38" s="1333">
        <f>IF(D23=0,0,ROUND(D32*(1-((1+D35)/(1+D34))^D36)/(D34-D35),0))</f>
        <v>0</v>
      </c>
      <c r="E38" s="1333">
        <f>IF(E23=0,0,ROUND(E32*(1-((1+E35)/(1+E34))^E36)/(E34-E35),0))</f>
        <v>0</v>
      </c>
      <c r="F38" s="1370"/>
      <c r="G38" s="1364"/>
      <c r="H38" s="1310"/>
      <c r="I38" s="1395"/>
      <c r="J38" s="3535"/>
      <c r="K38" s="3539"/>
      <c r="L38" s="1415"/>
      <c r="M38" s="1416"/>
      <c r="N38" s="1315"/>
      <c r="O38" s="1417"/>
      <c r="P38" s="1417"/>
      <c r="Q38" s="1348"/>
      <c r="R38" s="1449"/>
      <c r="S38" s="1364"/>
      <c r="T38" s="1364" t="s">
        <v>2680</v>
      </c>
      <c r="U38" s="1364"/>
      <c r="V38" s="1395"/>
    </row>
    <row r="39" spans="1:23" s="1292" customFormat="1" ht="13.15" customHeight="1">
      <c r="A39" s="1365">
        <v>9</v>
      </c>
      <c r="B39" s="1366" t="s">
        <v>2753</v>
      </c>
      <c r="C39" s="1343" t="e">
        <f>C38</f>
        <v>#DIV/0!</v>
      </c>
      <c r="D39" s="1366">
        <f>D38/(1+D34)^C36</f>
        <v>0</v>
      </c>
      <c r="E39" s="1366">
        <f>E38/(1+E34)^(C36+D36)</f>
        <v>0</v>
      </c>
      <c r="F39" s="1370"/>
      <c r="G39" s="1395"/>
      <c r="H39" s="1310"/>
      <c r="I39" s="1395"/>
      <c r="J39" s="3535"/>
      <c r="K39" s="3539"/>
      <c r="L39" s="1415"/>
      <c r="M39" s="1416"/>
      <c r="N39" s="1315"/>
      <c r="O39" s="1417"/>
      <c r="P39" s="1417"/>
      <c r="Q39" s="1348"/>
      <c r="R39" s="1449"/>
      <c r="S39" s="1364"/>
      <c r="T39" s="1364"/>
      <c r="U39" s="1364"/>
      <c r="V39" s="1395"/>
    </row>
    <row r="40" spans="1:23" s="1292" customFormat="1" ht="13.15" customHeight="1">
      <c r="A40" s="1396">
        <v>10</v>
      </c>
      <c r="B40" s="1366" t="s">
        <v>2754</v>
      </c>
      <c r="C40" s="1397" t="e">
        <f>C39+D39+E39</f>
        <v>#DIV/0!</v>
      </c>
      <c r="D40" s="1398"/>
      <c r="E40" s="1398"/>
      <c r="F40" s="1399"/>
      <c r="G40" s="1364"/>
      <c r="H40" s="1310"/>
      <c r="I40" s="1395"/>
      <c r="J40" s="3535"/>
      <c r="K40" s="3540"/>
      <c r="L40" s="1418" t="s">
        <v>2698</v>
      </c>
      <c r="M40" s="1419"/>
      <c r="N40" s="1419"/>
      <c r="O40" s="1420"/>
      <c r="P40" s="1420"/>
      <c r="Q40" s="1450"/>
      <c r="R40" s="1444">
        <f>SUM(R37:R39)</f>
        <v>0</v>
      </c>
      <c r="S40" s="1364"/>
      <c r="T40" s="1364"/>
      <c r="U40" s="1364"/>
      <c r="V40" s="1395"/>
    </row>
    <row r="41" spans="1:23" s="1292" customFormat="1" ht="13.15" customHeight="1">
      <c r="A41" s="1400">
        <v>11</v>
      </c>
      <c r="B41" s="1401" t="s">
        <v>2755</v>
      </c>
      <c r="C41" s="1401" t="e">
        <f>ROUND(C40*10000/B4,0)</f>
        <v>#DIV/0!</v>
      </c>
      <c r="D41" s="1402"/>
      <c r="E41" s="1402"/>
      <c r="F41" s="1403"/>
      <c r="G41" s="1310"/>
      <c r="H41" s="1310"/>
      <c r="I41" s="1395"/>
      <c r="J41" s="1412">
        <v>2</v>
      </c>
      <c r="K41" s="1423" t="s">
        <v>2735</v>
      </c>
      <c r="L41" s="1424"/>
      <c r="M41" s="1424"/>
      <c r="N41" s="1424"/>
      <c r="O41" s="1424"/>
      <c r="P41" s="1425"/>
      <c r="Q41" s="1454"/>
      <c r="R41" s="1452">
        <f>ROUND(R40*Q41,0)</f>
        <v>0</v>
      </c>
      <c r="S41" s="1364"/>
      <c r="T41" s="1364"/>
      <c r="U41" s="1336"/>
      <c r="V41" s="1395"/>
    </row>
    <row r="42" spans="1:23" s="1292" customFormat="1" ht="13.15" customHeight="1">
      <c r="G42" s="1310"/>
      <c r="H42" s="1310"/>
      <c r="I42" s="1395"/>
      <c r="J42" s="3536">
        <v>3</v>
      </c>
      <c r="K42" s="1426" t="s">
        <v>2737</v>
      </c>
      <c r="L42" s="1427"/>
      <c r="M42" s="1428"/>
      <c r="N42" s="1429" t="s">
        <v>469</v>
      </c>
      <c r="O42" s="1429" t="s">
        <v>2738</v>
      </c>
      <c r="P42" s="1430" t="s">
        <v>2739</v>
      </c>
      <c r="Q42" s="1430" t="s">
        <v>2740</v>
      </c>
      <c r="R42" s="1446" t="s">
        <v>2669</v>
      </c>
      <c r="S42" s="1336"/>
      <c r="T42" s="1336"/>
      <c r="U42" s="1364"/>
      <c r="V42" s="1395"/>
    </row>
    <row r="43" spans="1:23" ht="13.15" customHeight="1">
      <c r="A43" s="1292"/>
      <c r="B43" s="1292"/>
      <c r="C43" s="1292"/>
      <c r="D43" s="1292"/>
      <c r="E43" s="1292"/>
      <c r="F43" s="1292"/>
      <c r="I43" s="1295"/>
      <c r="J43" s="3537"/>
      <c r="K43" s="1432"/>
      <c r="L43" s="1433"/>
      <c r="M43" s="1434"/>
      <c r="N43" s="1416"/>
      <c r="O43" s="1416"/>
      <c r="P43" s="1416"/>
      <c r="Q43" s="1454"/>
      <c r="R43" s="1452">
        <f>ROUND(O43*N43*P43*(1-Q43)/10000,0)</f>
        <v>0</v>
      </c>
      <c r="S43" s="1364"/>
      <c r="T43" s="1364"/>
      <c r="V43" s="1297"/>
      <c r="W43" s="1462"/>
    </row>
    <row r="44" spans="1:23" ht="13.15" customHeight="1">
      <c r="J44" s="1436">
        <v>6</v>
      </c>
      <c r="K44" s="1437" t="s">
        <v>2742</v>
      </c>
      <c r="L44" s="1441" t="s">
        <v>2743</v>
      </c>
      <c r="M44" s="1439"/>
      <c r="N44" s="1441" t="s">
        <v>2744</v>
      </c>
      <c r="O44" s="1439"/>
      <c r="P44" s="1441" t="s">
        <v>2745</v>
      </c>
      <c r="Q44" s="1456">
        <v>1.4999999999999999E-2</v>
      </c>
      <c r="R44" s="14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2756</v>
      </c>
      <c r="B1" s="1272"/>
      <c r="C1" s="1272"/>
      <c r="D1" s="1272"/>
      <c r="E1" s="1273"/>
      <c r="F1" s="1274"/>
      <c r="G1" s="1141"/>
      <c r="H1" s="1141"/>
      <c r="I1" s="1141"/>
      <c r="J1" s="1141"/>
      <c r="K1" s="1141"/>
      <c r="L1" s="1141"/>
      <c r="M1" s="1141"/>
      <c r="N1" s="1141"/>
      <c r="O1" s="1141"/>
      <c r="P1" s="1141"/>
      <c r="Q1" s="1141"/>
      <c r="R1" s="1141"/>
      <c r="S1" s="1141"/>
    </row>
    <row r="2" spans="1:22" ht="15.75">
      <c r="A2" s="1275" t="s">
        <v>1028</v>
      </c>
      <c r="B2" s="1276">
        <f ca="1">SUMIF(B6:B13,"&lt;&gt;#ref!",B6:B13)</f>
        <v>1013677</v>
      </c>
      <c r="C2" s="1277" t="s">
        <v>2757</v>
      </c>
      <c r="D2" s="1278" t="s">
        <v>2758</v>
      </c>
      <c r="E2" s="1279">
        <f>SUM(E6:E13)</f>
        <v>596993.59</v>
      </c>
      <c r="F2" s="1274"/>
      <c r="G2" s="1141"/>
      <c r="H2" s="1141"/>
      <c r="I2" s="1141"/>
      <c r="J2" s="1141"/>
      <c r="K2" s="1141"/>
      <c r="L2" s="1141"/>
      <c r="M2" s="1141"/>
      <c r="N2" s="1141"/>
      <c r="O2" s="1141"/>
      <c r="P2" s="1141"/>
      <c r="Q2" s="1141"/>
      <c r="R2" s="1141"/>
      <c r="S2" s="1141"/>
    </row>
    <row r="3" spans="1:22" ht="15.75">
      <c r="A3" s="1275" t="s">
        <v>1030</v>
      </c>
      <c r="B3" s="1280">
        <f ca="1">ROUND(B2*10000/E2,0)</f>
        <v>16980</v>
      </c>
      <c r="C3" s="1277" t="s">
        <v>2759</v>
      </c>
      <c r="D3" s="1274"/>
      <c r="E3" s="1281"/>
      <c r="F3" s="1274"/>
      <c r="G3" s="1141"/>
      <c r="H3" s="1141"/>
      <c r="I3" s="1141"/>
      <c r="J3" s="1141"/>
      <c r="K3" s="1141"/>
      <c r="L3" s="1141"/>
      <c r="M3" s="1141"/>
      <c r="N3" s="1141"/>
      <c r="O3" s="1141"/>
      <c r="P3" s="1141"/>
      <c r="Q3" s="1141"/>
      <c r="R3" s="1141"/>
      <c r="S3" s="1141"/>
    </row>
    <row r="4" spans="1:22" ht="15.75">
      <c r="A4" s="1282"/>
      <c r="B4" s="1274"/>
      <c r="C4" s="1274"/>
      <c r="D4" s="1274"/>
      <c r="E4" s="1281"/>
      <c r="F4" s="1274"/>
      <c r="G4" s="1141"/>
      <c r="H4" s="1141"/>
      <c r="I4" s="1141"/>
      <c r="J4" s="1141"/>
      <c r="K4" s="1141"/>
      <c r="L4" s="1141"/>
      <c r="M4" s="1141"/>
      <c r="N4" s="1141"/>
      <c r="O4" s="1141"/>
      <c r="P4" s="1141"/>
      <c r="Q4" s="1141"/>
      <c r="R4" s="1141"/>
      <c r="S4" s="1141"/>
    </row>
    <row r="5" spans="1:22" ht="15">
      <c r="A5" s="1283" t="s">
        <v>2760</v>
      </c>
      <c r="B5" s="3541" t="s">
        <v>2761</v>
      </c>
      <c r="C5" s="3542"/>
      <c r="D5" s="1285"/>
      <c r="E5" s="1284" t="s">
        <v>2762</v>
      </c>
      <c r="F5" s="1239" t="s">
        <v>2763</v>
      </c>
      <c r="G5" s="1141"/>
      <c r="H5" s="1141"/>
      <c r="I5" s="1141"/>
      <c r="J5" s="1141"/>
      <c r="K5" s="1141"/>
      <c r="L5" s="1141"/>
      <c r="M5" s="1141"/>
      <c r="N5" s="1141"/>
      <c r="O5" s="1141"/>
      <c r="P5" s="1141"/>
      <c r="Q5" s="1141"/>
      <c r="R5" s="1141"/>
      <c r="S5" s="1141"/>
    </row>
    <row r="6" spans="1:22">
      <c r="A6" s="1286" t="str">
        <f>'数据-取费表'!AN6</f>
        <v>收益法</v>
      </c>
      <c r="B6" s="503">
        <f ca="1">IF(F6="是",'数据-取费表'!AO6,0)</f>
        <v>1013677</v>
      </c>
      <c r="C6" s="1277" t="s">
        <v>2757</v>
      </c>
      <c r="D6" s="1274"/>
      <c r="E6" s="1287">
        <f>IF(OR(A6=0,F6="否"),0,'数据-取费表'!K6+'数据-取费表'!S6)</f>
        <v>596993.59</v>
      </c>
      <c r="F6" s="1288" t="s">
        <v>2764</v>
      </c>
      <c r="G6" s="1141"/>
      <c r="H6" s="1141"/>
      <c r="I6" s="1141"/>
      <c r="J6" s="1141"/>
      <c r="K6" s="1141"/>
      <c r="L6" s="1141"/>
      <c r="M6" s="1141"/>
      <c r="N6" s="1141"/>
      <c r="O6" s="1141"/>
      <c r="P6" s="1141"/>
      <c r="Q6" s="1141"/>
      <c r="R6" s="1141"/>
      <c r="S6" s="1141"/>
    </row>
    <row r="7" spans="1:22">
      <c r="A7" s="1286">
        <f>'数据-取费表'!AN7</f>
        <v>0</v>
      </c>
      <c r="B7" s="503" t="e">
        <f ca="1">IF(F7="是",'数据-取费表'!AO7,0)</f>
        <v>#REF!</v>
      </c>
      <c r="C7" s="1277" t="s">
        <v>2757</v>
      </c>
      <c r="D7" s="1274"/>
      <c r="E7" s="1287">
        <f>IF(OR(A7=0,F7="否"),0,'数据-取费表'!K7+'数据-取费表'!S7)</f>
        <v>0</v>
      </c>
      <c r="F7" s="1288" t="s">
        <v>2764</v>
      </c>
      <c r="G7" s="1141"/>
      <c r="H7" s="1141"/>
      <c r="I7" s="1141"/>
      <c r="J7" s="1141"/>
      <c r="K7" s="1141"/>
      <c r="L7" s="1141"/>
      <c r="M7" s="1141"/>
      <c r="N7" s="1141"/>
      <c r="O7" s="1141"/>
      <c r="P7" s="1141"/>
      <c r="Q7" s="1141"/>
      <c r="R7" s="1141"/>
      <c r="S7" s="1141"/>
    </row>
    <row r="8" spans="1:22">
      <c r="A8" s="1286">
        <f>'数据-取费表'!AN8</f>
        <v>0</v>
      </c>
      <c r="B8" s="503" t="e">
        <f ca="1">IF(F8="是",'数据-取费表'!AO8,0)</f>
        <v>#REF!</v>
      </c>
      <c r="C8" s="1277" t="s">
        <v>2757</v>
      </c>
      <c r="D8" s="1274"/>
      <c r="E8" s="1287">
        <f>IF(OR(A8=0,F8="否"),0,'数据-取费表'!K8+'数据-取费表'!S8)</f>
        <v>0</v>
      </c>
      <c r="F8" s="1288" t="s">
        <v>2764</v>
      </c>
      <c r="G8" s="1141"/>
      <c r="H8" s="1141"/>
      <c r="I8" s="1141"/>
      <c r="J8" s="1141"/>
      <c r="K8" s="1141"/>
      <c r="L8" s="1141"/>
      <c r="M8" s="1141"/>
      <c r="N8" s="1141"/>
      <c r="O8" s="1141"/>
      <c r="P8" s="1141"/>
      <c r="Q8" s="1141"/>
      <c r="R8" s="1141"/>
      <c r="S8" s="1141"/>
    </row>
    <row r="9" spans="1:22">
      <c r="A9" s="1286">
        <f>'数据-取费表'!AN9</f>
        <v>0</v>
      </c>
      <c r="B9" s="503" t="e">
        <f ca="1">IF(F9="是",'数据-取费表'!AO9,0)</f>
        <v>#REF!</v>
      </c>
      <c r="C9" s="1277" t="s">
        <v>2757</v>
      </c>
      <c r="D9" s="1274"/>
      <c r="E9" s="1287">
        <f>IF(OR(A9=0,F9="否"),0,'数据-取费表'!K9+'数据-取费表'!S9)</f>
        <v>0</v>
      </c>
      <c r="F9" s="1288" t="s">
        <v>2764</v>
      </c>
      <c r="G9" s="1141"/>
      <c r="H9" s="1141"/>
      <c r="I9" s="1141"/>
      <c r="J9" s="1141"/>
      <c r="K9" s="1141"/>
      <c r="L9" s="1141"/>
      <c r="M9" s="1141"/>
      <c r="N9" s="1141"/>
      <c r="O9" s="1141"/>
      <c r="P9" s="1141"/>
      <c r="Q9" s="1141"/>
      <c r="R9" s="1141"/>
      <c r="S9" s="1141"/>
    </row>
    <row r="10" spans="1:22">
      <c r="A10" s="1286">
        <f>'数据-取费表'!AN10</f>
        <v>0</v>
      </c>
      <c r="B10" s="503" t="e">
        <f ca="1">IF(F10="是",'数据-取费表'!AO10,0)</f>
        <v>#REF!</v>
      </c>
      <c r="C10" s="1277" t="s">
        <v>2757</v>
      </c>
      <c r="D10" s="1274"/>
      <c r="E10" s="1287">
        <f>IF(OR(A10=0,F10="否"),0,'数据-取费表'!K10+'数据-取费表'!S10)</f>
        <v>0</v>
      </c>
      <c r="F10" s="1288" t="s">
        <v>2764</v>
      </c>
      <c r="G10" s="1141"/>
      <c r="H10" s="1141"/>
      <c r="I10" s="1141"/>
      <c r="J10" s="1141"/>
      <c r="K10" s="1141"/>
      <c r="L10" s="1141"/>
      <c r="M10" s="1141"/>
      <c r="N10" s="1141"/>
      <c r="O10" s="1141"/>
      <c r="P10" s="1141"/>
      <c r="Q10" s="1141"/>
      <c r="R10" s="1141"/>
      <c r="S10" s="1141"/>
    </row>
    <row r="11" spans="1:22">
      <c r="A11" s="1286">
        <f>'数据-取费表'!AN11</f>
        <v>0</v>
      </c>
      <c r="B11" s="503" t="e">
        <f ca="1">IF(F11="是",'数据-取费表'!AO11,0)</f>
        <v>#REF!</v>
      </c>
      <c r="C11" s="1277" t="s">
        <v>2757</v>
      </c>
      <c r="D11" s="1274"/>
      <c r="E11" s="1287">
        <f>IF(OR(A11=0,F11="否"),0,'数据-取费表'!K11+'数据-取费表'!S11)</f>
        <v>0</v>
      </c>
      <c r="F11" s="1288" t="s">
        <v>2764</v>
      </c>
      <c r="G11" s="1141"/>
      <c r="H11" s="1141"/>
      <c r="I11" s="1141"/>
      <c r="J11" s="1141"/>
      <c r="K11" s="1141"/>
      <c r="L11" s="1141"/>
      <c r="M11" s="1141"/>
      <c r="N11" s="1141"/>
      <c r="O11" s="1141"/>
      <c r="P11" s="1141"/>
      <c r="Q11" s="1141"/>
      <c r="R11" s="1141"/>
      <c r="S11" s="1141"/>
    </row>
    <row r="12" spans="1:22">
      <c r="A12" s="1286">
        <f>'数据-取费表'!AN12</f>
        <v>0</v>
      </c>
      <c r="B12" s="503" t="e">
        <f ca="1">IF(F12="是",'数据-取费表'!AO12,0)</f>
        <v>#REF!</v>
      </c>
      <c r="C12" s="1277" t="s">
        <v>2757</v>
      </c>
      <c r="D12" s="1274"/>
      <c r="E12" s="1287">
        <f>IF(OR(A12=0,F12="否"),0,'数据-取费表'!K12+'数据-取费表'!S12)</f>
        <v>0</v>
      </c>
      <c r="F12" s="1288" t="s">
        <v>2764</v>
      </c>
      <c r="G12" s="1141"/>
      <c r="H12" s="1141"/>
      <c r="I12" s="1141"/>
      <c r="J12" s="1141"/>
      <c r="K12" s="1141"/>
      <c r="L12" s="1141"/>
      <c r="M12" s="1141"/>
      <c r="N12" s="1141"/>
      <c r="O12" s="1141"/>
      <c r="P12" s="1141"/>
      <c r="Q12" s="1141"/>
      <c r="R12" s="1141"/>
      <c r="S12" s="1141"/>
    </row>
    <row r="13" spans="1:22">
      <c r="A13" s="1289">
        <f>'数据-取费表'!AN13</f>
        <v>0</v>
      </c>
      <c r="B13" s="503" t="e">
        <f ca="1">IF(F13="是",'数据-取费表'!AO13,0)</f>
        <v>#REF!</v>
      </c>
      <c r="C13" s="1290" t="s">
        <v>2757</v>
      </c>
      <c r="D13" s="1291"/>
      <c r="E13" s="1287">
        <f>IF(OR(A13=0,F13="否"),0,'数据-取费表'!K13+'数据-取费表'!S13)</f>
        <v>0</v>
      </c>
      <c r="F13" s="1288" t="s">
        <v>2764</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253" t="s">
        <v>82</v>
      </c>
    </row>
    <row r="3" spans="1:1" ht="18">
      <c r="A3" s="3254" t="str">
        <f>项目基本情况!B5&amp;"："</f>
        <v>：</v>
      </c>
    </row>
    <row r="4" spans="1:1" ht="18">
      <c r="A4" s="3255" t="str">
        <f>"受贵公司委托，我公司对"&amp;项目基本情况!S1&amp;"进行了预评估。"</f>
        <v>受贵公司委托，我公司对北京市房地产抵押价值进行了预评估。</v>
      </c>
    </row>
    <row r="5" spans="1:1" ht="18.75">
      <c r="A5" s="3256" t="s">
        <v>83</v>
      </c>
    </row>
    <row r="6" spans="1:1" ht="18.75">
      <c r="A6" s="3257" t="s">
        <v>84</v>
      </c>
    </row>
    <row r="7" spans="1:1" ht="54">
      <c r="A7" s="32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估价对象为北京市房地产，为所有。根据《国有土地使用证》[]，估价对象（分摊）出让国有建设用地使用权面积为175003.3平方米，建筑面积为596993.59平方米。</v>
      </c>
    </row>
    <row r="8" spans="1:1" ht="57.75">
      <c r="A8" s="3258" t="s">
        <v>85</v>
      </c>
    </row>
    <row r="9" spans="1:1" ht="18.75">
      <c r="A9" s="3257" t="s">
        <v>86</v>
      </c>
    </row>
    <row r="10" spans="1:1" ht="54">
      <c r="A10" s="32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估价对象为北京市房地产,属开发建设的，该项目尚在开发建设中。根据《国有土地使用证》[]，估价对象（分摊）出让国有建设用地使用权面积为175003.3平方米，规划建筑面积为596993.59平方米。</v>
      </c>
    </row>
    <row r="11" spans="1:1" ht="76.5">
      <c r="A11" s="3258" t="s">
        <v>87</v>
      </c>
    </row>
    <row r="12" spans="1:1" ht="18.75">
      <c r="A12" s="3256" t="s">
        <v>88</v>
      </c>
    </row>
    <row r="13" spans="1:1" ht="38.25" customHeight="1">
      <c r="A13" s="32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54" t="s">
        <v>89</v>
      </c>
    </row>
    <row r="15" spans="1:1" ht="18">
      <c r="A15" s="3259" t="str">
        <f>TEXT(项目基本情况!D3,"yyyy年m月d日;;")&amp;IF(项目基本情况!D3=项目基本情况!B3,"（评估专业人员实地查勘之日）","")</f>
        <v>2025年5月21日</v>
      </c>
    </row>
    <row r="16" spans="1:1" ht="18.75">
      <c r="A16" s="3254" t="s">
        <v>90</v>
      </c>
    </row>
    <row r="17" spans="1:1" ht="75">
      <c r="A17" s="3255" t="s">
        <v>91</v>
      </c>
    </row>
    <row r="18" spans="1:1" ht="54">
      <c r="A18" s="32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32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4" t="s">
        <v>92</v>
      </c>
    </row>
    <row r="24" spans="1:1" ht="18">
      <c r="A24" s="3229" t="str">
        <f>"本次评估采用的主估价方法为"&amp;结果表!K4&amp;"和"&amp;结果表!L4&amp;"。"</f>
        <v>本次评估采用的主估价方法为成本法和收益法。</v>
      </c>
    </row>
    <row r="25" spans="1:1" ht="18">
      <c r="A25" s="3229"/>
    </row>
    <row r="26" spans="1:1" ht="18.75">
      <c r="A26" s="3260"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3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2765</v>
      </c>
      <c r="B1" s="1173" t="s">
        <v>2766</v>
      </c>
      <c r="C1" s="1045" t="s">
        <v>2767</v>
      </c>
      <c r="D1" s="1004"/>
      <c r="E1" s="1174"/>
      <c r="F1" s="1006"/>
      <c r="G1" s="1007" t="s">
        <v>2768</v>
      </c>
      <c r="H1" s="1008"/>
      <c r="I1" s="1008"/>
      <c r="J1" s="1008"/>
      <c r="K1" s="1043"/>
      <c r="L1" s="1044"/>
      <c r="M1" s="1045"/>
      <c r="N1" s="1045"/>
      <c r="O1" s="1045"/>
      <c r="P1" s="1203"/>
      <c r="Q1" s="1003"/>
      <c r="R1" s="1003"/>
      <c r="S1" s="1003"/>
      <c r="T1" s="1003"/>
      <c r="U1" s="1003"/>
      <c r="V1" s="1003"/>
      <c r="W1" s="1003"/>
      <c r="X1" s="1003"/>
      <c r="Y1" s="1003"/>
      <c r="Z1" s="1003"/>
      <c r="AA1" s="1003"/>
      <c r="AB1" s="1003"/>
      <c r="AC1" s="1050"/>
    </row>
    <row r="2" spans="1:29" s="1193" customFormat="1" ht="28.5" customHeight="1">
      <c r="A2" s="1009" t="s">
        <v>1028</v>
      </c>
      <c r="B2" s="1194"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1029</v>
      </c>
      <c r="F2" s="1013"/>
      <c r="G2" s="969"/>
      <c r="H2" s="969"/>
      <c r="I2" s="969"/>
      <c r="J2" s="969"/>
      <c r="K2" s="1204"/>
      <c r="L2" s="1205"/>
      <c r="M2" s="1206"/>
      <c r="N2" s="1206"/>
      <c r="O2" s="1206"/>
      <c r="P2" s="1207"/>
      <c r="Q2" s="1225"/>
      <c r="R2" s="1225"/>
      <c r="S2" s="1225"/>
      <c r="T2" s="1225"/>
      <c r="U2" s="1225"/>
      <c r="V2" s="1225"/>
      <c r="W2" s="1225"/>
      <c r="X2" s="1225"/>
      <c r="Y2" s="1225"/>
      <c r="Z2" s="1225"/>
      <c r="AA2" s="1225"/>
      <c r="AB2" s="1225"/>
      <c r="AC2" s="1226"/>
    </row>
    <row r="3" spans="1:29" s="1193" customFormat="1" ht="28.5" customHeight="1">
      <c r="A3" s="348" t="s">
        <v>1030</v>
      </c>
      <c r="B3" s="1015">
        <f>IF(C2="——",C49,ROUND(B2*10000/D3,0))</f>
        <v>0</v>
      </c>
      <c r="C3" s="1014" t="s">
        <v>1187</v>
      </c>
      <c r="D3" s="1015">
        <f>IF(D1="",'数据-汇总表'!E3,SUMIF('数据-汇总表'!$C19:$C33,D1,'数据-汇总表'!$E19:$E33))</f>
        <v>596993.59</v>
      </c>
      <c r="E3" s="969"/>
      <c r="F3" s="1195"/>
      <c r="G3" s="969"/>
      <c r="H3" s="969"/>
      <c r="I3" s="969"/>
      <c r="J3" s="969"/>
      <c r="K3" s="1204"/>
      <c r="L3" s="1205"/>
      <c r="M3" s="1206"/>
      <c r="N3" s="1206"/>
      <c r="O3" s="1206"/>
      <c r="P3" s="1207"/>
      <c r="Q3" s="1225"/>
      <c r="R3" s="1225"/>
      <c r="S3" s="1225"/>
      <c r="T3" s="1225"/>
      <c r="U3" s="1225"/>
      <c r="V3" s="1225"/>
      <c r="W3" s="1225"/>
      <c r="X3" s="1225"/>
      <c r="Y3" s="1225"/>
      <c r="Z3" s="1225"/>
      <c r="AA3" s="1225"/>
      <c r="AB3" s="1225"/>
      <c r="AC3" s="1226"/>
    </row>
    <row r="4" spans="1:29" ht="15">
      <c r="A4" s="650" t="s">
        <v>2769</v>
      </c>
      <c r="B4" s="651"/>
      <c r="C4" s="3543" t="s">
        <v>2770</v>
      </c>
      <c r="D4" s="3544"/>
      <c r="E4" s="3545" t="s">
        <v>2771</v>
      </c>
      <c r="F4" s="3546"/>
      <c r="G4" s="3543" t="s">
        <v>2772</v>
      </c>
      <c r="H4" s="3544"/>
      <c r="I4" s="3543" t="s">
        <v>2773</v>
      </c>
      <c r="J4" s="3544"/>
      <c r="K4" s="1208" t="s">
        <v>2774</v>
      </c>
      <c r="L4" s="803"/>
      <c r="M4" s="748"/>
      <c r="N4" s="748"/>
      <c r="O4" s="748"/>
      <c r="P4" s="3576" t="s">
        <v>2775</v>
      </c>
      <c r="Q4" s="3577"/>
      <c r="R4" s="3582" t="s">
        <v>2771</v>
      </c>
      <c r="S4" s="3583"/>
      <c r="T4" s="3582" t="s">
        <v>2772</v>
      </c>
      <c r="U4" s="3583"/>
      <c r="V4" s="3559" t="s">
        <v>2773</v>
      </c>
      <c r="W4" s="3559"/>
      <c r="X4" s="852"/>
      <c r="Y4" s="3582" t="s">
        <v>2775</v>
      </c>
      <c r="Z4" s="3583"/>
      <c r="AA4" s="3573" t="s">
        <v>2771</v>
      </c>
      <c r="AB4" s="3573" t="s">
        <v>2772</v>
      </c>
      <c r="AC4" s="3573" t="s">
        <v>2773</v>
      </c>
    </row>
    <row r="5" spans="1:29" ht="15">
      <c r="A5" s="654"/>
      <c r="B5" s="655"/>
      <c r="C5" s="3547" t="s">
        <v>2776</v>
      </c>
      <c r="D5" s="3548"/>
      <c r="E5" s="3549" t="s">
        <v>2777</v>
      </c>
      <c r="F5" s="3550"/>
      <c r="G5" s="3547" t="s">
        <v>2778</v>
      </c>
      <c r="H5" s="3548"/>
      <c r="I5" s="3547" t="s">
        <v>2779</v>
      </c>
      <c r="J5" s="3548"/>
      <c r="K5" s="1209"/>
      <c r="L5" s="803"/>
      <c r="M5" s="748"/>
      <c r="N5" s="748"/>
      <c r="O5" s="748"/>
      <c r="P5" s="3578"/>
      <c r="Q5" s="3579"/>
      <c r="R5" s="3584"/>
      <c r="S5" s="3585"/>
      <c r="T5" s="3584"/>
      <c r="U5" s="3585"/>
      <c r="V5" s="3559"/>
      <c r="W5" s="3559"/>
      <c r="X5" s="852"/>
      <c r="Y5" s="3584"/>
      <c r="Z5" s="3585"/>
      <c r="AA5" s="3574"/>
      <c r="AB5" s="3574"/>
      <c r="AC5" s="3574"/>
    </row>
    <row r="6" spans="1:29" ht="15">
      <c r="A6" s="656"/>
      <c r="B6" s="657"/>
      <c r="C6" s="3551" t="s">
        <v>2780</v>
      </c>
      <c r="D6" s="3552"/>
      <c r="E6" s="3553" t="s">
        <v>2780</v>
      </c>
      <c r="F6" s="3554"/>
      <c r="G6" s="3551" t="s">
        <v>2780</v>
      </c>
      <c r="H6" s="3552"/>
      <c r="I6" s="3551" t="s">
        <v>2780</v>
      </c>
      <c r="J6" s="3552"/>
      <c r="K6" s="1209" t="s">
        <v>2781</v>
      </c>
      <c r="L6" s="803"/>
      <c r="M6" s="748"/>
      <c r="N6" s="748"/>
      <c r="O6" s="748"/>
      <c r="P6" s="3580"/>
      <c r="Q6" s="3581"/>
      <c r="R6" s="3584"/>
      <c r="S6" s="3585"/>
      <c r="T6" s="3586"/>
      <c r="U6" s="3587"/>
      <c r="V6" s="3559"/>
      <c r="W6" s="3559"/>
      <c r="X6" s="852"/>
      <c r="Y6" s="3586"/>
      <c r="Z6" s="3587"/>
      <c r="AA6" s="3575"/>
      <c r="AB6" s="3575"/>
      <c r="AC6" s="3575"/>
    </row>
    <row r="7" spans="1:29" s="631" customFormat="1" ht="15">
      <c r="A7" s="659" t="s">
        <v>2782</v>
      </c>
      <c r="B7" s="660"/>
      <c r="C7" s="661">
        <f>'数据-取费表'!B2</f>
        <v>45798</v>
      </c>
      <c r="D7" s="662">
        <v>100</v>
      </c>
      <c r="E7" s="663"/>
      <c r="F7" s="664">
        <f>SUMIF(58:58,YEAR(E7)&amp;"-"&amp;MONTH(E7),59:59)</f>
        <v>0</v>
      </c>
      <c r="G7" s="663"/>
      <c r="H7" s="662">
        <f>SUMIF(58:58,YEAR(G7)&amp;"-"&amp;MONTH(G7),59:59)</f>
        <v>0</v>
      </c>
      <c r="I7" s="663"/>
      <c r="J7" s="662">
        <f>SUMIF(58:58,YEAR(I7)&amp;"-"&amp;MONTH(I7),59:59)</f>
        <v>0</v>
      </c>
      <c r="K7" s="1210"/>
      <c r="L7" s="808"/>
      <c r="M7" s="809"/>
      <c r="N7" s="809"/>
      <c r="O7" s="809"/>
      <c r="P7" s="3555" t="s">
        <v>2783</v>
      </c>
      <c r="Q7" s="3556"/>
      <c r="R7" s="853" t="s">
        <v>2784</v>
      </c>
      <c r="S7" s="854">
        <f t="shared" ref="S7:S15" si="0">F7</f>
        <v>0</v>
      </c>
      <c r="T7" s="853" t="s">
        <v>2784</v>
      </c>
      <c r="U7" s="854">
        <f t="shared" ref="U7:U15" si="1">H7</f>
        <v>0</v>
      </c>
      <c r="V7" s="853" t="s">
        <v>2784</v>
      </c>
      <c r="W7" s="854">
        <f t="shared" ref="W7:W15" si="2">J7</f>
        <v>0</v>
      </c>
      <c r="X7" s="855"/>
      <c r="Y7" s="3555" t="s">
        <v>2783</v>
      </c>
      <c r="Z7" s="3557"/>
      <c r="AA7" s="866" t="e">
        <f>D7/F7</f>
        <v>#DIV/0!</v>
      </c>
      <c r="AB7" s="866" t="e">
        <f>D7/H7</f>
        <v>#DIV/0!</v>
      </c>
      <c r="AC7" s="866" t="e">
        <f>D7/J7</f>
        <v>#DIV/0!</v>
      </c>
    </row>
    <row r="8" spans="1:29" s="631" customFormat="1" ht="15">
      <c r="A8" s="659" t="s">
        <v>2785</v>
      </c>
      <c r="B8" s="660"/>
      <c r="C8" s="666"/>
      <c r="D8" s="662">
        <v>100</v>
      </c>
      <c r="E8" s="1196"/>
      <c r="F8" s="664">
        <f>SUMIF(61:61,E8,62:62)-SUMIF(61:61,C8,62:62)+100</f>
        <v>100</v>
      </c>
      <c r="G8" s="666"/>
      <c r="H8" s="662">
        <f>SUMIF(61:61,G8,62:62)-SUMIF(61:61,C8,62:62)+100</f>
        <v>100</v>
      </c>
      <c r="I8" s="1196"/>
      <c r="J8" s="662">
        <f>SUMIF(61:61,I8,62:62)-SUMIF(61:61,C8,62:62)+100</f>
        <v>100</v>
      </c>
      <c r="K8" s="1210"/>
      <c r="L8" s="808"/>
      <c r="M8" s="809"/>
      <c r="N8" s="809"/>
      <c r="O8" s="809"/>
      <c r="P8" s="3555" t="s">
        <v>2786</v>
      </c>
      <c r="Q8" s="3557"/>
      <c r="R8" s="853" t="s">
        <v>2784</v>
      </c>
      <c r="S8" s="854">
        <f t="shared" si="0"/>
        <v>100</v>
      </c>
      <c r="T8" s="853" t="s">
        <v>2784</v>
      </c>
      <c r="U8" s="854">
        <f t="shared" si="1"/>
        <v>100</v>
      </c>
      <c r="V8" s="853" t="s">
        <v>2784</v>
      </c>
      <c r="W8" s="854">
        <f t="shared" si="2"/>
        <v>100</v>
      </c>
      <c r="X8" s="855"/>
      <c r="Y8" s="3555" t="s">
        <v>2786</v>
      </c>
      <c r="Z8" s="3557"/>
      <c r="AA8" s="866">
        <f t="shared" ref="AA8:AA19" si="3">D8/F8</f>
        <v>1</v>
      </c>
      <c r="AB8" s="866">
        <f t="shared" ref="AB8:AB19" si="4">D8/H8</f>
        <v>1</v>
      </c>
      <c r="AC8" s="866">
        <f t="shared" ref="AC8:AC19" si="5">D8/J8</f>
        <v>1</v>
      </c>
    </row>
    <row r="9" spans="1:29" s="631" customFormat="1">
      <c r="A9" s="667" t="s">
        <v>2787</v>
      </c>
      <c r="B9" s="668" t="s">
        <v>2788</v>
      </c>
      <c r="C9" s="1016"/>
      <c r="D9" s="670">
        <v>100</v>
      </c>
      <c r="E9" s="1067"/>
      <c r="F9" s="668">
        <f>SUMIF(63:63,E9,64:64)-SUMIF(63:63,C9,64:64)+100</f>
        <v>100</v>
      </c>
      <c r="G9" s="1017"/>
      <c r="H9" s="670">
        <f>SUMIF(63:63,G9,64:64)-SUMIF(63:63,C9,64:64)+100</f>
        <v>100</v>
      </c>
      <c r="I9" s="1017"/>
      <c r="J9" s="670">
        <f>SUMIF(63:63,I9,64:64)-SUMIF(63:63,C9,64:64)+100</f>
        <v>100</v>
      </c>
      <c r="K9" s="1210"/>
      <c r="L9" s="808"/>
      <c r="M9" s="809"/>
      <c r="N9" s="809"/>
      <c r="O9" s="809"/>
      <c r="P9" s="3560" t="s">
        <v>2789</v>
      </c>
      <c r="Q9" s="857" t="str">
        <f t="shared" ref="Q9:Q15" si="6">B9</f>
        <v>用途</v>
      </c>
      <c r="R9" s="853" t="s">
        <v>2784</v>
      </c>
      <c r="S9" s="854">
        <f t="shared" si="0"/>
        <v>100</v>
      </c>
      <c r="T9" s="853" t="s">
        <v>2784</v>
      </c>
      <c r="U9" s="854">
        <f t="shared" si="1"/>
        <v>100</v>
      </c>
      <c r="V9" s="853" t="s">
        <v>2784</v>
      </c>
      <c r="W9" s="854">
        <f t="shared" si="2"/>
        <v>100</v>
      </c>
      <c r="X9" s="855"/>
      <c r="Y9" s="3465" t="s">
        <v>2790</v>
      </c>
      <c r="Z9" s="866" t="str">
        <f t="shared" ref="Z9:Z15" si="7">Q9</f>
        <v>用途</v>
      </c>
      <c r="AA9" s="866">
        <f t="shared" si="3"/>
        <v>1</v>
      </c>
      <c r="AB9" s="866">
        <f t="shared" si="4"/>
        <v>1</v>
      </c>
      <c r="AC9" s="866">
        <f t="shared" si="5"/>
        <v>1</v>
      </c>
    </row>
    <row r="10" spans="1:29" s="632" customFormat="1" ht="27">
      <c r="A10" s="671"/>
      <c r="B10" s="672" t="s">
        <v>2791</v>
      </c>
      <c r="C10" s="1018"/>
      <c r="D10" s="674">
        <v>100</v>
      </c>
      <c r="E10" s="1070"/>
      <c r="F10" s="672">
        <f>SUMIF(65:65,E10,66:66)-SUMIF(65:65,C10,66:66)+100</f>
        <v>100</v>
      </c>
      <c r="G10" s="1018"/>
      <c r="H10" s="674">
        <f>SUMIF(65:65,G10,66:66)-SUMIF(65:65,C10,66:66)+100</f>
        <v>100</v>
      </c>
      <c r="I10" s="1018"/>
      <c r="J10" s="674">
        <f>SUMIF(65:65,I10,66:66)-SUMIF(65:65,C10,66:66)+100</f>
        <v>100</v>
      </c>
      <c r="K10" s="1210"/>
      <c r="L10" s="813"/>
      <c r="M10" s="814"/>
      <c r="N10" s="814"/>
      <c r="O10" s="814"/>
      <c r="P10" s="3560"/>
      <c r="Q10" s="857" t="str">
        <f t="shared" si="6"/>
        <v>土地使用年限（年）</v>
      </c>
      <c r="R10" s="853" t="s">
        <v>2784</v>
      </c>
      <c r="S10" s="854">
        <f t="shared" si="0"/>
        <v>100</v>
      </c>
      <c r="T10" s="853" t="s">
        <v>2784</v>
      </c>
      <c r="U10" s="854">
        <f t="shared" si="1"/>
        <v>100</v>
      </c>
      <c r="V10" s="853" t="s">
        <v>2784</v>
      </c>
      <c r="W10" s="854">
        <f t="shared" si="2"/>
        <v>100</v>
      </c>
      <c r="X10" s="855"/>
      <c r="Y10" s="3465"/>
      <c r="Z10" s="866" t="str">
        <f t="shared" si="7"/>
        <v>土地使用年限（年）</v>
      </c>
      <c r="AA10" s="866">
        <f t="shared" si="3"/>
        <v>1</v>
      </c>
      <c r="AB10" s="866">
        <f t="shared" si="4"/>
        <v>1</v>
      </c>
      <c r="AC10" s="866">
        <f t="shared" si="5"/>
        <v>1</v>
      </c>
    </row>
    <row r="11" spans="1:29" ht="15">
      <c r="A11" s="675"/>
      <c r="B11" s="672" t="s">
        <v>2792</v>
      </c>
      <c r="C11" s="676"/>
      <c r="D11" s="674">
        <v>100</v>
      </c>
      <c r="E11" s="677"/>
      <c r="F11" s="672" t="e">
        <f>LOOKUP(E11,68:68,69:69)-LOOKUP(C11,68:68,69:69)+100</f>
        <v>#N/A</v>
      </c>
      <c r="G11" s="676"/>
      <c r="H11" s="674" t="e">
        <f>LOOKUP(G11,68:68,69:69)-LOOKUP(C11,68:68,69:69)+100</f>
        <v>#N/A</v>
      </c>
      <c r="I11" s="676"/>
      <c r="J11" s="674" t="e">
        <f>LOOKUP(I11,68:68,69:69)-LOOKUP(C11,68:68,69:69)+100</f>
        <v>#N/A</v>
      </c>
      <c r="K11" s="1211"/>
      <c r="L11" s="817"/>
      <c r="M11" s="748"/>
      <c r="N11" s="748"/>
      <c r="O11" s="748"/>
      <c r="P11" s="3560"/>
      <c r="Q11" s="857" t="str">
        <f t="shared" si="6"/>
        <v>容积率</v>
      </c>
      <c r="R11" s="853" t="s">
        <v>2784</v>
      </c>
      <c r="S11" s="854" t="e">
        <f t="shared" si="0"/>
        <v>#N/A</v>
      </c>
      <c r="T11" s="853" t="s">
        <v>2784</v>
      </c>
      <c r="U11" s="854" t="e">
        <f t="shared" si="1"/>
        <v>#N/A</v>
      </c>
      <c r="V11" s="853" t="s">
        <v>2784</v>
      </c>
      <c r="W11" s="854" t="e">
        <f t="shared" si="2"/>
        <v>#N/A</v>
      </c>
      <c r="X11" s="855"/>
      <c r="Y11" s="3465"/>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2"/>
      <c r="L12" s="808"/>
      <c r="M12" s="809"/>
      <c r="N12" s="809"/>
      <c r="O12" s="809"/>
      <c r="P12" s="3560"/>
      <c r="Q12" s="857">
        <f t="shared" si="6"/>
        <v>111</v>
      </c>
      <c r="R12" s="853" t="s">
        <v>2784</v>
      </c>
      <c r="S12" s="854">
        <f t="shared" si="0"/>
        <v>100</v>
      </c>
      <c r="T12" s="853" t="s">
        <v>2784</v>
      </c>
      <c r="U12" s="854">
        <f t="shared" si="1"/>
        <v>100</v>
      </c>
      <c r="V12" s="853" t="s">
        <v>2784</v>
      </c>
      <c r="W12" s="854">
        <f t="shared" si="2"/>
        <v>100</v>
      </c>
      <c r="X12" s="855"/>
      <c r="Y12" s="3465"/>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2"/>
      <c r="L13" s="819"/>
      <c r="M13" s="748"/>
      <c r="N13" s="748"/>
      <c r="O13" s="748"/>
      <c r="P13" s="3560"/>
      <c r="Q13" s="857">
        <f t="shared" si="6"/>
        <v>111</v>
      </c>
      <c r="R13" s="853" t="s">
        <v>2784</v>
      </c>
      <c r="S13" s="854">
        <f t="shared" si="0"/>
        <v>100</v>
      </c>
      <c r="T13" s="853" t="s">
        <v>2784</v>
      </c>
      <c r="U13" s="854">
        <f t="shared" si="1"/>
        <v>100</v>
      </c>
      <c r="V13" s="853" t="s">
        <v>2784</v>
      </c>
      <c r="W13" s="854">
        <f t="shared" si="2"/>
        <v>100</v>
      </c>
      <c r="X13" s="855"/>
      <c r="Y13" s="3465"/>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12"/>
      <c r="L14" s="819"/>
      <c r="M14" s="748"/>
      <c r="N14" s="748"/>
      <c r="O14" s="748"/>
      <c r="P14" s="3560"/>
      <c r="Q14" s="857">
        <f t="shared" si="6"/>
        <v>111</v>
      </c>
      <c r="R14" s="853" t="s">
        <v>2784</v>
      </c>
      <c r="S14" s="854">
        <f t="shared" si="0"/>
        <v>100</v>
      </c>
      <c r="T14" s="853" t="s">
        <v>2784</v>
      </c>
      <c r="U14" s="854">
        <f t="shared" si="1"/>
        <v>100</v>
      </c>
      <c r="V14" s="853" t="s">
        <v>2784</v>
      </c>
      <c r="W14" s="854">
        <f t="shared" si="2"/>
        <v>100</v>
      </c>
      <c r="X14" s="855"/>
      <c r="Y14" s="3465"/>
      <c r="Z14" s="866">
        <f t="shared" si="7"/>
        <v>111</v>
      </c>
      <c r="AA14" s="866">
        <f t="shared" si="3"/>
        <v>1</v>
      </c>
      <c r="AB14" s="866">
        <f t="shared" si="4"/>
        <v>1</v>
      </c>
      <c r="AC14" s="866">
        <f t="shared" si="5"/>
        <v>1</v>
      </c>
    </row>
    <row r="15" spans="1:29" ht="85.5">
      <c r="A15" s="689" t="s">
        <v>2793</v>
      </c>
      <c r="B15" s="972" t="s">
        <v>2794</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13"/>
      <c r="L15" s="819"/>
      <c r="M15" s="748"/>
      <c r="N15" s="748"/>
      <c r="O15" s="748"/>
      <c r="P15" s="3561" t="s">
        <v>2795</v>
      </c>
      <c r="Q15" s="771" t="str">
        <f t="shared" si="6"/>
        <v>居住社区成熟度</v>
      </c>
      <c r="R15" s="858" t="s">
        <v>2784</v>
      </c>
      <c r="S15" s="859">
        <f t="shared" si="0"/>
        <v>100</v>
      </c>
      <c r="T15" s="858" t="s">
        <v>2784</v>
      </c>
      <c r="U15" s="859">
        <f t="shared" si="1"/>
        <v>100</v>
      </c>
      <c r="V15" s="858" t="s">
        <v>2784</v>
      </c>
      <c r="W15" s="859">
        <f t="shared" si="2"/>
        <v>100</v>
      </c>
      <c r="X15" s="852"/>
      <c r="Y15" s="3566" t="s">
        <v>2795</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14"/>
      <c r="L16" s="819"/>
      <c r="M16" s="748"/>
      <c r="N16" s="748"/>
      <c r="O16" s="748"/>
      <c r="P16" s="3562"/>
      <c r="Q16" s="771"/>
      <c r="R16" s="858"/>
      <c r="S16" s="859"/>
      <c r="T16" s="858"/>
      <c r="U16" s="859"/>
      <c r="V16" s="858"/>
      <c r="W16" s="859"/>
      <c r="X16" s="852"/>
      <c r="Y16" s="3567"/>
      <c r="Z16" s="840"/>
      <c r="AA16" s="840">
        <v>1</v>
      </c>
      <c r="AB16" s="840">
        <v>1</v>
      </c>
      <c r="AC16" s="840">
        <v>1</v>
      </c>
    </row>
    <row r="17" spans="1:29" ht="71.25">
      <c r="A17" s="675"/>
      <c r="B17" s="974" t="s">
        <v>2796</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13"/>
      <c r="L17" s="819"/>
      <c r="M17" s="748"/>
      <c r="N17" s="748"/>
      <c r="O17" s="748"/>
      <c r="P17" s="3562"/>
      <c r="Q17" s="771" t="str">
        <f>B17</f>
        <v>交通便捷度</v>
      </c>
      <c r="R17" s="858" t="s">
        <v>2784</v>
      </c>
      <c r="S17" s="859">
        <f>F17</f>
        <v>100</v>
      </c>
      <c r="T17" s="858" t="s">
        <v>2784</v>
      </c>
      <c r="U17" s="859">
        <f>H17</f>
        <v>100</v>
      </c>
      <c r="V17" s="858" t="s">
        <v>2784</v>
      </c>
      <c r="W17" s="859">
        <f>J17</f>
        <v>100</v>
      </c>
      <c r="X17" s="852"/>
      <c r="Y17" s="3567"/>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14"/>
      <c r="L18" s="819"/>
      <c r="M18" s="748"/>
      <c r="N18" s="748"/>
      <c r="O18" s="748"/>
      <c r="P18" s="3562"/>
      <c r="Q18" s="771"/>
      <c r="R18" s="858"/>
      <c r="S18" s="859"/>
      <c r="T18" s="858"/>
      <c r="U18" s="859"/>
      <c r="V18" s="858"/>
      <c r="W18" s="859"/>
      <c r="X18" s="852"/>
      <c r="Y18" s="3567"/>
      <c r="Z18" s="840"/>
      <c r="AA18" s="840">
        <v>1</v>
      </c>
      <c r="AB18" s="840">
        <v>1</v>
      </c>
      <c r="AC18" s="840">
        <v>1</v>
      </c>
    </row>
    <row r="19" spans="1:29" ht="42.75">
      <c r="A19" s="675"/>
      <c r="B19" s="974" t="s">
        <v>2797</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213"/>
      <c r="L19" s="819"/>
      <c r="M19" s="748"/>
      <c r="N19" s="748"/>
      <c r="O19" s="748"/>
      <c r="P19" s="3562"/>
      <c r="Q19" s="771" t="str">
        <f>B19</f>
        <v>公共配套设施</v>
      </c>
      <c r="R19" s="858" t="s">
        <v>2784</v>
      </c>
      <c r="S19" s="859">
        <f>F19</f>
        <v>100</v>
      </c>
      <c r="T19" s="858" t="s">
        <v>2784</v>
      </c>
      <c r="U19" s="859">
        <f>H19</f>
        <v>100</v>
      </c>
      <c r="V19" s="858" t="s">
        <v>2784</v>
      </c>
      <c r="W19" s="859">
        <f>J19</f>
        <v>100</v>
      </c>
      <c r="X19" s="852"/>
      <c r="Y19" s="3567"/>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14"/>
      <c r="L20" s="819"/>
      <c r="M20" s="748"/>
      <c r="N20" s="748"/>
      <c r="O20" s="748"/>
      <c r="P20" s="3562"/>
      <c r="Q20" s="771"/>
      <c r="R20" s="858"/>
      <c r="S20" s="859"/>
      <c r="T20" s="858"/>
      <c r="U20" s="859"/>
      <c r="V20" s="858"/>
      <c r="W20" s="859"/>
      <c r="X20" s="852"/>
      <c r="Y20" s="3567"/>
      <c r="Z20" s="840"/>
      <c r="AA20" s="840">
        <v>1</v>
      </c>
      <c r="AB20" s="840">
        <v>1</v>
      </c>
      <c r="AC20" s="840">
        <v>1</v>
      </c>
    </row>
    <row r="21" spans="1:29" ht="28.5">
      <c r="A21" s="675"/>
      <c r="B21" s="979" t="s">
        <v>2798</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213"/>
      <c r="L21" s="819"/>
      <c r="M21" s="748"/>
      <c r="N21" s="748"/>
      <c r="O21" s="748"/>
      <c r="P21" s="3562"/>
      <c r="Q21" s="771" t="str">
        <f>B21</f>
        <v>基础设施水平</v>
      </c>
      <c r="R21" s="858" t="s">
        <v>2784</v>
      </c>
      <c r="S21" s="859">
        <f>F21</f>
        <v>100</v>
      </c>
      <c r="T21" s="858" t="s">
        <v>2784</v>
      </c>
      <c r="U21" s="859">
        <f>H21</f>
        <v>100</v>
      </c>
      <c r="V21" s="858" t="s">
        <v>2784</v>
      </c>
      <c r="W21" s="859">
        <f>J21</f>
        <v>100</v>
      </c>
      <c r="X21" s="852"/>
      <c r="Y21" s="3567"/>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15"/>
      <c r="L22" s="819"/>
      <c r="M22" s="748"/>
      <c r="N22" s="748"/>
      <c r="O22" s="748"/>
      <c r="P22" s="3562"/>
      <c r="Q22" s="771"/>
      <c r="R22" s="858"/>
      <c r="S22" s="859"/>
      <c r="T22" s="858"/>
      <c r="U22" s="859"/>
      <c r="V22" s="858"/>
      <c r="W22" s="859"/>
      <c r="X22" s="852"/>
      <c r="Y22" s="3567"/>
      <c r="Z22" s="840"/>
      <c r="AA22" s="840">
        <v>1</v>
      </c>
      <c r="AB22" s="840">
        <v>1</v>
      </c>
      <c r="AC22" s="840">
        <v>1</v>
      </c>
    </row>
    <row r="23" spans="1:29" ht="42.75">
      <c r="A23" s="675"/>
      <c r="B23" s="974" t="s">
        <v>2799</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13"/>
      <c r="L23" s="819"/>
      <c r="M23" s="748"/>
      <c r="N23" s="748"/>
      <c r="O23" s="748"/>
      <c r="P23" s="3562"/>
      <c r="Q23" s="771" t="str">
        <f>B23</f>
        <v>自然及人文环境</v>
      </c>
      <c r="R23" s="858" t="s">
        <v>2784</v>
      </c>
      <c r="S23" s="859">
        <f>F23</f>
        <v>100</v>
      </c>
      <c r="T23" s="858" t="s">
        <v>2784</v>
      </c>
      <c r="U23" s="859">
        <f>H23</f>
        <v>100</v>
      </c>
      <c r="V23" s="858" t="s">
        <v>2784</v>
      </c>
      <c r="W23" s="859">
        <f>J23</f>
        <v>100</v>
      </c>
      <c r="X23" s="852"/>
      <c r="Y23" s="3567"/>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14"/>
      <c r="L24" s="819"/>
      <c r="M24" s="748"/>
      <c r="N24" s="748"/>
      <c r="O24" s="748"/>
      <c r="P24" s="3562"/>
      <c r="Q24" s="771"/>
      <c r="R24" s="858"/>
      <c r="S24" s="859"/>
      <c r="T24" s="858"/>
      <c r="U24" s="859"/>
      <c r="V24" s="858"/>
      <c r="W24" s="859"/>
      <c r="X24" s="852"/>
      <c r="Y24" s="3567"/>
      <c r="Z24" s="840"/>
      <c r="AA24" s="840">
        <v>1</v>
      </c>
      <c r="AB24" s="840">
        <v>1</v>
      </c>
      <c r="AC24" s="840">
        <v>1</v>
      </c>
    </row>
    <row r="25" spans="1:29" ht="15">
      <c r="A25" s="675"/>
      <c r="B25" s="672" t="s">
        <v>2800</v>
      </c>
      <c r="C25" s="1028"/>
      <c r="D25" s="684">
        <v>100</v>
      </c>
      <c r="E25" s="725"/>
      <c r="F25" s="684">
        <f>SUMIF(86:86,E25,87:87)-SUMIF(86:86,C25,87:87)+100</f>
        <v>100</v>
      </c>
      <c r="G25" s="1197"/>
      <c r="H25" s="684">
        <f>SUMIF(86:86,G25,87:87)-SUMIF(86:86,C25,87:87)+100</f>
        <v>100</v>
      </c>
      <c r="I25" s="1197"/>
      <c r="J25" s="684">
        <f>SUMIF(86:86,I25,87:87)-SUMIF(86:86,C25,87:87)+100</f>
        <v>100</v>
      </c>
      <c r="K25" s="1211"/>
      <c r="L25" s="819"/>
      <c r="M25" s="748"/>
      <c r="N25" s="748"/>
      <c r="O25" s="748"/>
      <c r="P25" s="3562"/>
      <c r="Q25" s="771" t="str">
        <f t="shared" ref="Q25:Q46" si="11">B25</f>
        <v>楼层-1</v>
      </c>
      <c r="R25" s="858" t="s">
        <v>2784</v>
      </c>
      <c r="S25" s="859">
        <f t="shared" ref="S25:S46" si="12">F25</f>
        <v>100</v>
      </c>
      <c r="T25" s="858" t="s">
        <v>2784</v>
      </c>
      <c r="U25" s="859">
        <f t="shared" ref="U25:U46" si="13">H25</f>
        <v>100</v>
      </c>
      <c r="V25" s="858" t="s">
        <v>2784</v>
      </c>
      <c r="W25" s="859">
        <f t="shared" ref="W25:W46" si="14">J25</f>
        <v>100</v>
      </c>
      <c r="X25" s="852"/>
      <c r="Y25" s="3567"/>
      <c r="Z25" s="840" t="str">
        <f>Q25</f>
        <v>楼层-1</v>
      </c>
      <c r="AA25" s="840">
        <f t="shared" ref="AA25:AA46" si="15">D25/F25</f>
        <v>1</v>
      </c>
      <c r="AB25" s="840">
        <f t="shared" ref="AB25:AB46" si="16">D25/H25</f>
        <v>1</v>
      </c>
      <c r="AC25" s="840">
        <f t="shared" ref="AC25:AC46" si="17">D25/J25</f>
        <v>1</v>
      </c>
    </row>
    <row r="26" spans="1:29" ht="15">
      <c r="A26" s="675"/>
      <c r="B26" s="672" t="s">
        <v>2801</v>
      </c>
      <c r="C26" s="1028"/>
      <c r="D26" s="684">
        <v>100</v>
      </c>
      <c r="E26" s="725"/>
      <c r="F26" s="684">
        <f>SUMIF(88:88,E26,89:89)-SUMIF(88:88,C26,89:89)+100</f>
        <v>100</v>
      </c>
      <c r="G26" s="1197"/>
      <c r="H26" s="684">
        <f>SUMIF(88:88,G26,89:89)-SUMIF(88:88,C26,89:89)+100</f>
        <v>100</v>
      </c>
      <c r="I26" s="1197"/>
      <c r="J26" s="684">
        <f>SUMIF(88:88,I26,89:89)-SUMIF(88:88,C26,89:89)+100</f>
        <v>100</v>
      </c>
      <c r="K26" s="1211"/>
      <c r="L26" s="819"/>
      <c r="M26" s="748"/>
      <c r="N26" s="748"/>
      <c r="O26" s="748"/>
      <c r="P26" s="3562"/>
      <c r="Q26" s="771" t="str">
        <f t="shared" si="11"/>
        <v>朝向</v>
      </c>
      <c r="R26" s="858" t="s">
        <v>2784</v>
      </c>
      <c r="S26" s="859">
        <f t="shared" si="12"/>
        <v>100</v>
      </c>
      <c r="T26" s="858" t="s">
        <v>2784</v>
      </c>
      <c r="U26" s="859">
        <f t="shared" si="13"/>
        <v>100</v>
      </c>
      <c r="V26" s="858" t="s">
        <v>2784</v>
      </c>
      <c r="W26" s="859">
        <f t="shared" si="14"/>
        <v>100</v>
      </c>
      <c r="X26" s="852"/>
      <c r="Y26" s="3567"/>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12"/>
      <c r="L27" s="808"/>
      <c r="M27" s="809"/>
      <c r="N27" s="809"/>
      <c r="O27" s="809"/>
      <c r="P27" s="3562"/>
      <c r="Q27" s="857">
        <f t="shared" si="11"/>
        <v>111</v>
      </c>
      <c r="R27" s="853" t="s">
        <v>2784</v>
      </c>
      <c r="S27" s="854">
        <f t="shared" si="12"/>
        <v>100</v>
      </c>
      <c r="T27" s="853" t="s">
        <v>2784</v>
      </c>
      <c r="U27" s="854">
        <f t="shared" si="13"/>
        <v>100</v>
      </c>
      <c r="V27" s="853" t="s">
        <v>2784</v>
      </c>
      <c r="W27" s="854">
        <f t="shared" si="14"/>
        <v>100</v>
      </c>
      <c r="X27" s="855"/>
      <c r="Y27" s="3567"/>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58"/>
      <c r="H28" s="684">
        <f>SUMIF(92:92,G28,93:93)-SUMIF(92:92,C28,93:93)+100</f>
        <v>100</v>
      </c>
      <c r="I28" s="683"/>
      <c r="J28" s="684">
        <f>SUMIF(92:92,I28,93:93)-SUMIF(92:92,C28,93:93)+100</f>
        <v>100</v>
      </c>
      <c r="K28" s="1212"/>
      <c r="L28" s="819"/>
      <c r="M28" s="748"/>
      <c r="N28" s="748"/>
      <c r="O28" s="748"/>
      <c r="P28" s="3562"/>
      <c r="Q28" s="771">
        <f t="shared" si="11"/>
        <v>111</v>
      </c>
      <c r="R28" s="858" t="s">
        <v>2784</v>
      </c>
      <c r="S28" s="859">
        <f t="shared" si="12"/>
        <v>100</v>
      </c>
      <c r="T28" s="858" t="s">
        <v>2784</v>
      </c>
      <c r="U28" s="859">
        <f t="shared" si="13"/>
        <v>100</v>
      </c>
      <c r="V28" s="858" t="s">
        <v>2784</v>
      </c>
      <c r="W28" s="859">
        <f t="shared" si="14"/>
        <v>100</v>
      </c>
      <c r="X28" s="852"/>
      <c r="Y28" s="3567"/>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58"/>
      <c r="H29" s="684">
        <f>SUMIF(94:94,G29,95:95)-SUMIF(94:94,C29,95:95)+100</f>
        <v>100</v>
      </c>
      <c r="I29" s="683"/>
      <c r="J29" s="684">
        <f>SUMIF(94:94,I29,95:95)-SUMIF(94:94,C29,95:95)+100</f>
        <v>100</v>
      </c>
      <c r="K29" s="1212"/>
      <c r="L29" s="819"/>
      <c r="M29" s="748"/>
      <c r="N29" s="748"/>
      <c r="O29" s="748"/>
      <c r="P29" s="3562"/>
      <c r="Q29" s="771">
        <f t="shared" si="11"/>
        <v>111</v>
      </c>
      <c r="R29" s="858" t="s">
        <v>2784</v>
      </c>
      <c r="S29" s="859">
        <f t="shared" si="12"/>
        <v>100</v>
      </c>
      <c r="T29" s="858" t="s">
        <v>2784</v>
      </c>
      <c r="U29" s="859">
        <f t="shared" si="13"/>
        <v>100</v>
      </c>
      <c r="V29" s="858" t="s">
        <v>2784</v>
      </c>
      <c r="W29" s="859">
        <f t="shared" si="14"/>
        <v>100</v>
      </c>
      <c r="X29" s="852"/>
      <c r="Y29" s="3567"/>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58"/>
      <c r="H30" s="684">
        <f>SUMIF(96:96,G30,97:97)-SUMIF(96:96,C30,97:97)+100</f>
        <v>100</v>
      </c>
      <c r="I30" s="683"/>
      <c r="J30" s="684">
        <f>SUMIF(96:96,I30,97:97)-SUMIF(96:96,C30,97:97)+100</f>
        <v>100</v>
      </c>
      <c r="K30" s="1212"/>
      <c r="L30" s="819"/>
      <c r="M30" s="748"/>
      <c r="N30" s="748"/>
      <c r="O30" s="748"/>
      <c r="P30" s="3562"/>
      <c r="Q30" s="771">
        <f t="shared" si="11"/>
        <v>111</v>
      </c>
      <c r="R30" s="858" t="s">
        <v>2784</v>
      </c>
      <c r="S30" s="859">
        <f t="shared" si="12"/>
        <v>100</v>
      </c>
      <c r="T30" s="858" t="s">
        <v>2784</v>
      </c>
      <c r="U30" s="859">
        <f t="shared" si="13"/>
        <v>100</v>
      </c>
      <c r="V30" s="858" t="s">
        <v>2784</v>
      </c>
      <c r="W30" s="859">
        <f t="shared" si="14"/>
        <v>100</v>
      </c>
      <c r="X30" s="852"/>
      <c r="Y30" s="3567"/>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1"/>
      <c r="H31" s="688">
        <f>SUMIF(98:98,G31,99:99)-SUMIF(98:98,C31,99:99)+100</f>
        <v>100</v>
      </c>
      <c r="I31" s="687"/>
      <c r="J31" s="688">
        <f>SUMIF(98:98,I31,99:99)-SUMIF(98:98,C31,99:99)+100</f>
        <v>100</v>
      </c>
      <c r="K31" s="1212"/>
      <c r="L31" s="819"/>
      <c r="M31" s="748"/>
      <c r="N31" s="748"/>
      <c r="O31" s="748"/>
      <c r="P31" s="3562"/>
      <c r="Q31" s="771">
        <f t="shared" si="11"/>
        <v>111</v>
      </c>
      <c r="R31" s="858" t="s">
        <v>2784</v>
      </c>
      <c r="S31" s="859">
        <f t="shared" si="12"/>
        <v>100</v>
      </c>
      <c r="T31" s="858" t="s">
        <v>2784</v>
      </c>
      <c r="U31" s="859">
        <f t="shared" si="13"/>
        <v>100</v>
      </c>
      <c r="V31" s="858" t="s">
        <v>2784</v>
      </c>
      <c r="W31" s="859">
        <f t="shared" si="14"/>
        <v>100</v>
      </c>
      <c r="X31" s="852"/>
      <c r="Y31" s="3567"/>
      <c r="Z31" s="840">
        <f t="shared" si="18"/>
        <v>111</v>
      </c>
      <c r="AA31" s="840">
        <f t="shared" si="15"/>
        <v>1</v>
      </c>
      <c r="AB31" s="840">
        <f t="shared" si="16"/>
        <v>1</v>
      </c>
      <c r="AC31" s="840">
        <f t="shared" si="17"/>
        <v>1</v>
      </c>
    </row>
    <row r="32" spans="1:29" ht="15">
      <c r="A32" s="689" t="s">
        <v>2802</v>
      </c>
      <c r="B32" s="668" t="s">
        <v>2803</v>
      </c>
      <c r="C32" s="1024"/>
      <c r="D32" s="652">
        <v>100</v>
      </c>
      <c r="E32" s="1198"/>
      <c r="F32" s="835">
        <f>SUMIF(100:100,E32,101:101)-SUMIF(100:100,C32,101:101)+100</f>
        <v>100</v>
      </c>
      <c r="G32" s="1024"/>
      <c r="H32" s="652">
        <f>SUMIF(100:100,G32,101:101)-SUMIF(100:100,C32,101:101)+100</f>
        <v>100</v>
      </c>
      <c r="I32" s="1198"/>
      <c r="J32" s="684">
        <f>SUMIF(100:100,I32,101:101)-SUMIF(100:100,C32,101:101)+100</f>
        <v>100</v>
      </c>
      <c r="K32" s="1211"/>
      <c r="L32" s="819"/>
      <c r="M32" s="748"/>
      <c r="N32" s="748"/>
      <c r="O32" s="748"/>
      <c r="P32" s="3563" t="s">
        <v>2804</v>
      </c>
      <c r="Q32" s="771" t="str">
        <f t="shared" si="11"/>
        <v>建筑类型</v>
      </c>
      <c r="R32" s="858" t="s">
        <v>2784</v>
      </c>
      <c r="S32" s="859">
        <f t="shared" si="12"/>
        <v>100</v>
      </c>
      <c r="T32" s="858" t="s">
        <v>2784</v>
      </c>
      <c r="U32" s="859">
        <f t="shared" si="13"/>
        <v>100</v>
      </c>
      <c r="V32" s="858" t="s">
        <v>2784</v>
      </c>
      <c r="W32" s="859">
        <f t="shared" si="14"/>
        <v>100</v>
      </c>
      <c r="X32" s="852"/>
      <c r="Y32" s="3568" t="s">
        <v>2804</v>
      </c>
      <c r="Z32" s="840" t="str">
        <f t="shared" si="18"/>
        <v>建筑类型</v>
      </c>
      <c r="AA32" s="840">
        <f t="shared" si="15"/>
        <v>1</v>
      </c>
      <c r="AB32" s="840">
        <f t="shared" si="16"/>
        <v>1</v>
      </c>
      <c r="AC32" s="840">
        <f t="shared" si="17"/>
        <v>1</v>
      </c>
    </row>
    <row r="33" spans="1:29" s="633" customFormat="1" ht="15">
      <c r="A33" s="729"/>
      <c r="B33" s="672" t="s">
        <v>2805</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12"/>
      <c r="L33" s="817"/>
      <c r="M33" s="827"/>
      <c r="N33" s="827"/>
      <c r="O33" s="827"/>
      <c r="P33" s="3564"/>
      <c r="Q33" s="1049" t="str">
        <f t="shared" si="11"/>
        <v>项目建筑规模</v>
      </c>
      <c r="R33" s="860" t="s">
        <v>2784</v>
      </c>
      <c r="S33" s="861" t="e">
        <f t="shared" si="12"/>
        <v>#N/A</v>
      </c>
      <c r="T33" s="860" t="s">
        <v>2784</v>
      </c>
      <c r="U33" s="861" t="e">
        <f t="shared" si="13"/>
        <v>#N/A</v>
      </c>
      <c r="V33" s="860" t="s">
        <v>2784</v>
      </c>
      <c r="W33" s="861" t="e">
        <f t="shared" si="14"/>
        <v>#N/A</v>
      </c>
      <c r="X33" s="862"/>
      <c r="Y33" s="3568"/>
      <c r="Z33" s="867" t="str">
        <f t="shared" si="18"/>
        <v>项目建筑规模</v>
      </c>
      <c r="AA33" s="840" t="e">
        <f t="shared" si="15"/>
        <v>#N/A</v>
      </c>
      <c r="AB33" s="840" t="e">
        <f t="shared" si="16"/>
        <v>#N/A</v>
      </c>
      <c r="AC33" s="840" t="e">
        <f t="shared" si="17"/>
        <v>#N/A</v>
      </c>
    </row>
    <row r="34" spans="1:29" ht="15">
      <c r="A34" s="724"/>
      <c r="B34" s="672" t="s">
        <v>2806</v>
      </c>
      <c r="C34" s="1028"/>
      <c r="D34" s="684">
        <v>100</v>
      </c>
      <c r="E34" s="1199"/>
      <c r="F34" s="835">
        <f>SUMIF(105:105,E34,106:106)-SUMIF(105:105,C34,106:106)+100</f>
        <v>100</v>
      </c>
      <c r="G34" s="1028"/>
      <c r="H34" s="684">
        <f>SUMIF(105:105,G34,106:106)-SUMIF(105:105,C34,106:106)+100</f>
        <v>100</v>
      </c>
      <c r="I34" s="1199"/>
      <c r="J34" s="684">
        <f>SUMIF(105:105,I34,106:106)-SUMIF(105:105,C34,106:106)+100</f>
        <v>100</v>
      </c>
      <c r="K34" s="1211"/>
      <c r="L34" s="819"/>
      <c r="M34" s="748"/>
      <c r="N34" s="748"/>
      <c r="O34" s="748"/>
      <c r="P34" s="3564"/>
      <c r="Q34" s="771" t="str">
        <f t="shared" si="11"/>
        <v>建筑结构</v>
      </c>
      <c r="R34" s="858" t="s">
        <v>2784</v>
      </c>
      <c r="S34" s="859">
        <f t="shared" si="12"/>
        <v>100</v>
      </c>
      <c r="T34" s="858" t="s">
        <v>2784</v>
      </c>
      <c r="U34" s="859">
        <f t="shared" si="13"/>
        <v>100</v>
      </c>
      <c r="V34" s="858" t="s">
        <v>2784</v>
      </c>
      <c r="W34" s="859">
        <f t="shared" si="14"/>
        <v>100</v>
      </c>
      <c r="X34" s="852"/>
      <c r="Y34" s="3568"/>
      <c r="Z34" s="840" t="str">
        <f t="shared" si="18"/>
        <v>建筑结构</v>
      </c>
      <c r="AA34" s="840">
        <f t="shared" si="15"/>
        <v>1</v>
      </c>
      <c r="AB34" s="840">
        <f t="shared" si="16"/>
        <v>1</v>
      </c>
      <c r="AC34" s="840">
        <f t="shared" si="17"/>
        <v>1</v>
      </c>
    </row>
    <row r="35" spans="1:29" ht="15">
      <c r="A35" s="724"/>
      <c r="B35" s="672" t="s">
        <v>2807</v>
      </c>
      <c r="C35" s="725"/>
      <c r="D35" s="684">
        <v>100</v>
      </c>
      <c r="E35" s="1197"/>
      <c r="F35" s="835">
        <f>SUMIF(107:107,E35,108:108)-SUMIF(107:107,C35,108:108)+100</f>
        <v>100</v>
      </c>
      <c r="G35" s="725"/>
      <c r="H35" s="684">
        <f>SUMIF(107:107,G35,108:108)-SUMIF(107:107,C35,108:108)+100</f>
        <v>100</v>
      </c>
      <c r="I35" s="1197"/>
      <c r="J35" s="684">
        <f>SUMIF(107:107,I35,108:108)-SUMIF(107:107,C35,108:108)+100</f>
        <v>100</v>
      </c>
      <c r="K35" s="1211"/>
      <c r="L35" s="819"/>
      <c r="M35" s="748"/>
      <c r="N35" s="748"/>
      <c r="O35" s="748"/>
      <c r="P35" s="3564"/>
      <c r="Q35" s="771" t="str">
        <f t="shared" si="11"/>
        <v>建筑品质</v>
      </c>
      <c r="R35" s="858" t="s">
        <v>2784</v>
      </c>
      <c r="S35" s="859">
        <f t="shared" si="12"/>
        <v>100</v>
      </c>
      <c r="T35" s="858" t="s">
        <v>2784</v>
      </c>
      <c r="U35" s="859">
        <f t="shared" si="13"/>
        <v>100</v>
      </c>
      <c r="V35" s="858" t="s">
        <v>2784</v>
      </c>
      <c r="W35" s="859">
        <f t="shared" si="14"/>
        <v>100</v>
      </c>
      <c r="X35" s="852"/>
      <c r="Y35" s="3568"/>
      <c r="Z35" s="840" t="str">
        <f t="shared" si="18"/>
        <v>建筑品质</v>
      </c>
      <c r="AA35" s="840">
        <f t="shared" si="15"/>
        <v>1</v>
      </c>
      <c r="AB35" s="840">
        <f t="shared" si="16"/>
        <v>1</v>
      </c>
      <c r="AC35" s="840">
        <f t="shared" si="17"/>
        <v>1</v>
      </c>
    </row>
    <row r="36" spans="1:29" ht="15">
      <c r="A36" s="724"/>
      <c r="B36" s="672" t="s">
        <v>2808</v>
      </c>
      <c r="C36" s="725"/>
      <c r="D36" s="684">
        <v>100</v>
      </c>
      <c r="E36" s="1197"/>
      <c r="F36" s="835">
        <f>SUMIF(109:109,E36,110:110)-SUMIF(109:109,C36,110:110)+100</f>
        <v>100</v>
      </c>
      <c r="G36" s="725"/>
      <c r="H36" s="684">
        <f>SUMIF(109:109,G36,110:110)-SUMIF(109:109,C36,110:110)+100</f>
        <v>100</v>
      </c>
      <c r="I36" s="1197"/>
      <c r="J36" s="684">
        <f>SUMIF(109:109,I36,110:110)-SUMIF(109:109,C36,110:110)+100</f>
        <v>100</v>
      </c>
      <c r="K36" s="1211"/>
      <c r="L36" s="819"/>
      <c r="M36" s="748"/>
      <c r="N36" s="748"/>
      <c r="O36" s="748"/>
      <c r="P36" s="3564"/>
      <c r="Q36" s="771" t="str">
        <f t="shared" si="11"/>
        <v>公共部分装修</v>
      </c>
      <c r="R36" s="858" t="s">
        <v>2784</v>
      </c>
      <c r="S36" s="859">
        <f t="shared" si="12"/>
        <v>100</v>
      </c>
      <c r="T36" s="858" t="s">
        <v>2784</v>
      </c>
      <c r="U36" s="859">
        <f t="shared" si="13"/>
        <v>100</v>
      </c>
      <c r="V36" s="858" t="s">
        <v>2784</v>
      </c>
      <c r="W36" s="859">
        <f t="shared" si="14"/>
        <v>100</v>
      </c>
      <c r="X36" s="852"/>
      <c r="Y36" s="3568"/>
      <c r="Z36" s="840" t="str">
        <f t="shared" si="18"/>
        <v>公共部分装修</v>
      </c>
      <c r="AA36" s="840">
        <f t="shared" si="15"/>
        <v>1</v>
      </c>
      <c r="AB36" s="840">
        <f t="shared" si="16"/>
        <v>1</v>
      </c>
      <c r="AC36" s="840">
        <f t="shared" si="17"/>
        <v>1</v>
      </c>
    </row>
    <row r="37" spans="1:29" s="631" customFormat="1" ht="15">
      <c r="A37" s="726"/>
      <c r="B37" s="672" t="s">
        <v>650</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211"/>
      <c r="L37" s="808"/>
      <c r="M37" s="809"/>
      <c r="N37" s="809"/>
      <c r="O37" s="809"/>
      <c r="P37" s="3564"/>
      <c r="Q37" s="857" t="str">
        <f t="shared" si="11"/>
        <v>成新度</v>
      </c>
      <c r="R37" s="853" t="s">
        <v>2784</v>
      </c>
      <c r="S37" s="854" t="e">
        <f t="shared" si="12"/>
        <v>#N/A</v>
      </c>
      <c r="T37" s="853" t="s">
        <v>2784</v>
      </c>
      <c r="U37" s="854" t="e">
        <f t="shared" si="13"/>
        <v>#N/A</v>
      </c>
      <c r="V37" s="853" t="s">
        <v>2784</v>
      </c>
      <c r="W37" s="854" t="e">
        <f t="shared" si="14"/>
        <v>#N/A</v>
      </c>
      <c r="X37" s="855"/>
      <c r="Y37" s="3568"/>
      <c r="Z37" s="866" t="str">
        <f t="shared" si="18"/>
        <v>成新度</v>
      </c>
      <c r="AA37" s="866" t="e">
        <f t="shared" si="15"/>
        <v>#N/A</v>
      </c>
      <c r="AB37" s="866" t="e">
        <f t="shared" si="16"/>
        <v>#N/A</v>
      </c>
      <c r="AC37" s="866" t="e">
        <f t="shared" si="17"/>
        <v>#N/A</v>
      </c>
    </row>
    <row r="38" spans="1:29" ht="15">
      <c r="A38" s="724"/>
      <c r="B38" s="672" t="s">
        <v>2809</v>
      </c>
      <c r="C38" s="725"/>
      <c r="D38" s="684">
        <v>100</v>
      </c>
      <c r="E38" s="1197"/>
      <c r="F38" s="835">
        <f>SUMIF(114:114,E38,115:115)-SUMIF(114:114,C38,115:115)+100</f>
        <v>100</v>
      </c>
      <c r="G38" s="725"/>
      <c r="H38" s="684">
        <f>SUMIF(114:114,G38,115:115)-SUMIF(114:114,C38,115:115)+100</f>
        <v>100</v>
      </c>
      <c r="I38" s="1197"/>
      <c r="J38" s="684">
        <f>SUMIF(114:114,I38,115:115)-SUMIF(114:114,C38,115:115)+100</f>
        <v>100</v>
      </c>
      <c r="K38" s="1211"/>
      <c r="L38" s="819"/>
      <c r="M38" s="748"/>
      <c r="N38" s="748"/>
      <c r="O38" s="748"/>
      <c r="P38" s="3564" t="s">
        <v>2804</v>
      </c>
      <c r="Q38" s="771" t="str">
        <f t="shared" si="11"/>
        <v>物业管理</v>
      </c>
      <c r="R38" s="858" t="s">
        <v>2784</v>
      </c>
      <c r="S38" s="859">
        <f t="shared" si="12"/>
        <v>100</v>
      </c>
      <c r="T38" s="858" t="s">
        <v>2784</v>
      </c>
      <c r="U38" s="859">
        <f t="shared" si="13"/>
        <v>100</v>
      </c>
      <c r="V38" s="858" t="s">
        <v>2784</v>
      </c>
      <c r="W38" s="859">
        <f t="shared" si="14"/>
        <v>100</v>
      </c>
      <c r="X38" s="852"/>
      <c r="Y38" s="3568" t="s">
        <v>2804</v>
      </c>
      <c r="Z38" s="840" t="str">
        <f t="shared" si="18"/>
        <v>物业管理</v>
      </c>
      <c r="AA38" s="840">
        <f t="shared" si="15"/>
        <v>1</v>
      </c>
      <c r="AB38" s="840">
        <f t="shared" si="16"/>
        <v>1</v>
      </c>
      <c r="AC38" s="840">
        <f t="shared" si="17"/>
        <v>1</v>
      </c>
    </row>
    <row r="39" spans="1:29" ht="15">
      <c r="A39" s="724"/>
      <c r="B39" s="672" t="s">
        <v>2810</v>
      </c>
      <c r="C39" s="725"/>
      <c r="D39" s="684">
        <v>100</v>
      </c>
      <c r="E39" s="1197"/>
      <c r="F39" s="835">
        <f>SUMIF(116:116,E39,117:117)-SUMIF(116:116,C39,117:117)+100</f>
        <v>100</v>
      </c>
      <c r="G39" s="725"/>
      <c r="H39" s="684">
        <f>SUMIF(116:116,G39,117:117)-SUMIF(116:116,C39,117:117)+100</f>
        <v>100</v>
      </c>
      <c r="I39" s="1197"/>
      <c r="J39" s="684">
        <f>SUMIF(116:116,I39,117:117)-SUMIF(116:116,C39,117:117)+100</f>
        <v>100</v>
      </c>
      <c r="K39" s="1211"/>
      <c r="L39" s="819"/>
      <c r="M39" s="748"/>
      <c r="N39" s="748"/>
      <c r="O39" s="748"/>
      <c r="P39" s="3564"/>
      <c r="Q39" s="771" t="str">
        <f t="shared" si="11"/>
        <v>市政基础设施</v>
      </c>
      <c r="R39" s="858" t="s">
        <v>2784</v>
      </c>
      <c r="S39" s="859">
        <f t="shared" si="12"/>
        <v>100</v>
      </c>
      <c r="T39" s="858" t="s">
        <v>2784</v>
      </c>
      <c r="U39" s="859">
        <f t="shared" si="13"/>
        <v>100</v>
      </c>
      <c r="V39" s="858" t="s">
        <v>2784</v>
      </c>
      <c r="W39" s="859">
        <f t="shared" si="14"/>
        <v>100</v>
      </c>
      <c r="X39" s="852"/>
      <c r="Y39" s="3568"/>
      <c r="Z39" s="840" t="str">
        <f t="shared" si="18"/>
        <v>市政基础设施</v>
      </c>
      <c r="AA39" s="840">
        <f t="shared" si="15"/>
        <v>1</v>
      </c>
      <c r="AB39" s="840">
        <f t="shared" si="16"/>
        <v>1</v>
      </c>
      <c r="AC39" s="840">
        <f t="shared" si="17"/>
        <v>1</v>
      </c>
    </row>
    <row r="40" spans="1:29" ht="15">
      <c r="A40" s="724"/>
      <c r="B40" s="672" t="s">
        <v>2811</v>
      </c>
      <c r="C40" s="725"/>
      <c r="D40" s="684">
        <v>100</v>
      </c>
      <c r="E40" s="1197"/>
      <c r="F40" s="835">
        <f>SUMIF(118:118,E40,119:119)-SUMIF(118:118,C40,119:119)+100</f>
        <v>100</v>
      </c>
      <c r="G40" s="725"/>
      <c r="H40" s="684">
        <f>SUMIF(118:118,G40,119:119)-SUMIF(118:118,C40,119:119)+100</f>
        <v>100</v>
      </c>
      <c r="I40" s="1197"/>
      <c r="J40" s="684">
        <f>SUMIF(118:118,I40,119:119)-SUMIF(118:118,C40,119:119)+100</f>
        <v>100</v>
      </c>
      <c r="K40" s="1211"/>
      <c r="L40" s="819"/>
      <c r="M40" s="748"/>
      <c r="N40" s="748"/>
      <c r="O40" s="748"/>
      <c r="P40" s="3564"/>
      <c r="Q40" s="771" t="str">
        <f t="shared" si="11"/>
        <v>房型</v>
      </c>
      <c r="R40" s="858" t="s">
        <v>2784</v>
      </c>
      <c r="S40" s="859">
        <f t="shared" si="12"/>
        <v>100</v>
      </c>
      <c r="T40" s="858" t="s">
        <v>2784</v>
      </c>
      <c r="U40" s="859">
        <f t="shared" si="13"/>
        <v>100</v>
      </c>
      <c r="V40" s="858" t="s">
        <v>2784</v>
      </c>
      <c r="W40" s="859">
        <f t="shared" si="14"/>
        <v>100</v>
      </c>
      <c r="X40" s="852"/>
      <c r="Y40" s="3568"/>
      <c r="Z40" s="840" t="str">
        <f t="shared" si="18"/>
        <v>房型</v>
      </c>
      <c r="AA40" s="840">
        <f t="shared" si="15"/>
        <v>1</v>
      </c>
      <c r="AB40" s="840">
        <f t="shared" si="16"/>
        <v>1</v>
      </c>
      <c r="AC40" s="840">
        <f t="shared" si="17"/>
        <v>1</v>
      </c>
    </row>
    <row r="41" spans="1:29" s="633" customFormat="1" ht="28.5">
      <c r="A41" s="729"/>
      <c r="B41" s="672" t="s">
        <v>2812</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12"/>
      <c r="L41" s="817"/>
      <c r="M41" s="827"/>
      <c r="N41" s="827"/>
      <c r="O41" s="827"/>
      <c r="P41" s="3564"/>
      <c r="Q41" s="1049" t="str">
        <f t="shared" si="11"/>
        <v>单套/主力户型建筑面积</v>
      </c>
      <c r="R41" s="860" t="s">
        <v>2784</v>
      </c>
      <c r="S41" s="861">
        <f t="shared" si="12"/>
        <v>100</v>
      </c>
      <c r="T41" s="860" t="s">
        <v>2784</v>
      </c>
      <c r="U41" s="861">
        <f t="shared" si="13"/>
        <v>100</v>
      </c>
      <c r="V41" s="860" t="s">
        <v>2784</v>
      </c>
      <c r="W41" s="861">
        <f t="shared" si="14"/>
        <v>100</v>
      </c>
      <c r="X41" s="862"/>
      <c r="Y41" s="3568"/>
      <c r="Z41" s="867" t="str">
        <f t="shared" si="18"/>
        <v>单套/主力户型建筑面积</v>
      </c>
      <c r="AA41" s="840">
        <f t="shared" si="15"/>
        <v>1</v>
      </c>
      <c r="AB41" s="840">
        <f t="shared" si="16"/>
        <v>1</v>
      </c>
      <c r="AC41" s="840">
        <f t="shared" si="17"/>
        <v>1</v>
      </c>
    </row>
    <row r="42" spans="1:29" ht="15">
      <c r="A42" s="724"/>
      <c r="B42" s="672" t="s">
        <v>2813</v>
      </c>
      <c r="C42" s="725"/>
      <c r="D42" s="684">
        <v>100</v>
      </c>
      <c r="E42" s="1197"/>
      <c r="F42" s="835">
        <f>SUMIF(122:122,E42,123:123)-SUMIF(122:122,C42,123:123)+100</f>
        <v>100</v>
      </c>
      <c r="G42" s="725"/>
      <c r="H42" s="684">
        <f>SUMIF(122:122,G42,123:123)-SUMIF(122:122,C42,123:123)+100</f>
        <v>100</v>
      </c>
      <c r="I42" s="1197"/>
      <c r="J42" s="684">
        <f>SUMIF(122:122,I42,123:123)-SUMIF(122:122,C42,123:123)+100</f>
        <v>100</v>
      </c>
      <c r="K42" s="1211"/>
      <c r="L42" s="819"/>
      <c r="M42" s="748"/>
      <c r="N42" s="748"/>
      <c r="O42" s="748"/>
      <c r="P42" s="3564"/>
      <c r="Q42" s="771" t="str">
        <f t="shared" si="11"/>
        <v>内部装修</v>
      </c>
      <c r="R42" s="858" t="s">
        <v>2784</v>
      </c>
      <c r="S42" s="859">
        <f t="shared" si="12"/>
        <v>100</v>
      </c>
      <c r="T42" s="858" t="s">
        <v>2784</v>
      </c>
      <c r="U42" s="859">
        <f t="shared" si="13"/>
        <v>100</v>
      </c>
      <c r="V42" s="858" t="s">
        <v>2784</v>
      </c>
      <c r="W42" s="859">
        <f t="shared" si="14"/>
        <v>100</v>
      </c>
      <c r="X42" s="852"/>
      <c r="Y42" s="3568"/>
      <c r="Z42" s="840" t="str">
        <f t="shared" si="18"/>
        <v>内部装修</v>
      </c>
      <c r="AA42" s="840">
        <f t="shared" si="15"/>
        <v>1</v>
      </c>
      <c r="AB42" s="840">
        <f t="shared" si="16"/>
        <v>1</v>
      </c>
      <c r="AC42" s="840">
        <f t="shared" si="17"/>
        <v>1</v>
      </c>
    </row>
    <row r="43" spans="1:29" ht="15">
      <c r="A43" s="724"/>
      <c r="B43" s="672" t="s">
        <v>2814</v>
      </c>
      <c r="C43" s="725"/>
      <c r="D43" s="684">
        <v>100</v>
      </c>
      <c r="E43" s="1197"/>
      <c r="F43" s="835">
        <f>SUMIF(124:124,E43,125:125)-SUMIF(124:124,C43,125:125)+100</f>
        <v>100</v>
      </c>
      <c r="G43" s="725"/>
      <c r="H43" s="684">
        <f>SUMIF(124:124,G43,125:125)-SUMIF(124:124,C43,125:125)+100</f>
        <v>100</v>
      </c>
      <c r="I43" s="1197"/>
      <c r="J43" s="684">
        <f>SUMIF(124:124,I43,125:125)-SUMIF(124:124,C43,125:125)+100</f>
        <v>100</v>
      </c>
      <c r="K43" s="1211"/>
      <c r="L43" s="819"/>
      <c r="M43" s="748"/>
      <c r="N43" s="748"/>
      <c r="O43" s="748"/>
      <c r="P43" s="3564"/>
      <c r="Q43" s="771" t="str">
        <f t="shared" si="11"/>
        <v>内部装修维护情况</v>
      </c>
      <c r="R43" s="858" t="s">
        <v>2784</v>
      </c>
      <c r="S43" s="859">
        <f t="shared" si="12"/>
        <v>100</v>
      </c>
      <c r="T43" s="858" t="s">
        <v>2784</v>
      </c>
      <c r="U43" s="859">
        <f t="shared" si="13"/>
        <v>100</v>
      </c>
      <c r="V43" s="858" t="s">
        <v>2784</v>
      </c>
      <c r="W43" s="859">
        <f t="shared" si="14"/>
        <v>100</v>
      </c>
      <c r="X43" s="852"/>
      <c r="Y43" s="3568"/>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12"/>
      <c r="L44" s="808"/>
      <c r="M44" s="809"/>
      <c r="N44" s="809"/>
      <c r="O44" s="809"/>
      <c r="P44" s="3564"/>
      <c r="Q44" s="857">
        <f t="shared" si="11"/>
        <v>111</v>
      </c>
      <c r="R44" s="853" t="s">
        <v>2784</v>
      </c>
      <c r="S44" s="854">
        <f t="shared" si="12"/>
        <v>100</v>
      </c>
      <c r="T44" s="853" t="s">
        <v>2784</v>
      </c>
      <c r="U44" s="854">
        <f t="shared" si="13"/>
        <v>100</v>
      </c>
      <c r="V44" s="853" t="s">
        <v>2784</v>
      </c>
      <c r="W44" s="854">
        <f t="shared" si="14"/>
        <v>100</v>
      </c>
      <c r="X44" s="855"/>
      <c r="Y44" s="3568"/>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2"/>
      <c r="L45" s="819"/>
      <c r="M45" s="748"/>
      <c r="N45" s="748"/>
      <c r="O45" s="748"/>
      <c r="P45" s="3564"/>
      <c r="Q45" s="771">
        <f t="shared" si="11"/>
        <v>111</v>
      </c>
      <c r="R45" s="858" t="s">
        <v>2784</v>
      </c>
      <c r="S45" s="859">
        <f t="shared" si="12"/>
        <v>100</v>
      </c>
      <c r="T45" s="858" t="s">
        <v>2784</v>
      </c>
      <c r="U45" s="859">
        <f t="shared" si="13"/>
        <v>100</v>
      </c>
      <c r="V45" s="858" t="s">
        <v>2784</v>
      </c>
      <c r="W45" s="859">
        <f t="shared" si="14"/>
        <v>100</v>
      </c>
      <c r="X45" s="852"/>
      <c r="Y45" s="3568"/>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12"/>
      <c r="L46" s="819"/>
      <c r="M46" s="748"/>
      <c r="N46" s="748"/>
      <c r="O46" s="748"/>
      <c r="P46" s="3565"/>
      <c r="Q46" s="771">
        <f t="shared" si="11"/>
        <v>111</v>
      </c>
      <c r="R46" s="858" t="s">
        <v>2784</v>
      </c>
      <c r="S46" s="859">
        <f t="shared" si="12"/>
        <v>100</v>
      </c>
      <c r="T46" s="858" t="s">
        <v>2784</v>
      </c>
      <c r="U46" s="859">
        <f t="shared" si="13"/>
        <v>100</v>
      </c>
      <c r="V46" s="858" t="s">
        <v>2784</v>
      </c>
      <c r="W46" s="859">
        <f t="shared" si="14"/>
        <v>100</v>
      </c>
      <c r="X46" s="852"/>
      <c r="Y46" s="3569"/>
      <c r="Z46" s="840">
        <f t="shared" si="18"/>
        <v>111</v>
      </c>
      <c r="AA46" s="840">
        <f t="shared" si="15"/>
        <v>1</v>
      </c>
      <c r="AB46" s="840">
        <f t="shared" si="16"/>
        <v>1</v>
      </c>
      <c r="AC46" s="840">
        <f t="shared" si="17"/>
        <v>1</v>
      </c>
    </row>
    <row r="47" spans="1:29" ht="15">
      <c r="A47" s="731" t="s">
        <v>2815</v>
      </c>
      <c r="B47" s="1032"/>
      <c r="C47" s="1033" t="s">
        <v>124</v>
      </c>
      <c r="D47" s="734"/>
      <c r="E47" s="735"/>
      <c r="F47" s="736"/>
      <c r="G47" s="737"/>
      <c r="H47" s="738"/>
      <c r="I47" s="735"/>
      <c r="J47" s="738"/>
      <c r="K47" s="1216"/>
      <c r="L47" s="832"/>
      <c r="M47" s="748"/>
      <c r="N47" s="748"/>
      <c r="O47" s="748"/>
      <c r="P47" s="3558" t="str">
        <f>A47</f>
        <v>成交单价（元/平方米）</v>
      </c>
      <c r="Q47" s="3558"/>
      <c r="R47" s="3559">
        <f>E47</f>
        <v>0</v>
      </c>
      <c r="S47" s="3559"/>
      <c r="T47" s="3559">
        <f>G47</f>
        <v>0</v>
      </c>
      <c r="U47" s="3559"/>
      <c r="V47" s="3559">
        <f>I47</f>
        <v>0</v>
      </c>
      <c r="W47" s="3559"/>
      <c r="X47" s="793"/>
      <c r="Y47" s="868"/>
      <c r="Z47" s="793"/>
      <c r="AA47" s="793"/>
      <c r="AB47" s="793"/>
      <c r="AC47" s="793"/>
    </row>
    <row r="48" spans="1:29" ht="15">
      <c r="A48" s="739" t="s">
        <v>2816</v>
      </c>
      <c r="B48" s="1034"/>
      <c r="C48" s="1035" t="e">
        <f>R49</f>
        <v>#DIV/0!</v>
      </c>
      <c r="D48" s="742" t="s">
        <v>2817</v>
      </c>
      <c r="E48" s="1036" t="e">
        <f>R48</f>
        <v>#DIV/0!</v>
      </c>
      <c r="F48" s="743"/>
      <c r="G48" s="1035" t="e">
        <f>T48</f>
        <v>#DIV/0!</v>
      </c>
      <c r="H48" s="743"/>
      <c r="I48" s="1036" t="e">
        <f>V48</f>
        <v>#DIV/0!</v>
      </c>
      <c r="J48" s="743"/>
      <c r="K48" s="1217">
        <f>F48+H48+J48</f>
        <v>0</v>
      </c>
      <c r="L48" s="832"/>
      <c r="M48" s="748"/>
      <c r="N48" s="748"/>
      <c r="O48" s="748"/>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793"/>
      <c r="Y48" s="793"/>
      <c r="Z48" s="793"/>
      <c r="AA48" s="793"/>
      <c r="AB48" s="793"/>
      <c r="AC48" s="793"/>
    </row>
    <row r="49" spans="1:29" ht="15">
      <c r="A49" s="745" t="s">
        <v>2818</v>
      </c>
      <c r="B49" s="746"/>
      <c r="C49" s="1200" t="e">
        <f>R49</f>
        <v>#DIV/0!</v>
      </c>
      <c r="D49" s="657"/>
      <c r="E49" s="657"/>
      <c r="F49" s="657"/>
      <c r="G49" s="657"/>
      <c r="H49" s="657"/>
      <c r="I49" s="657"/>
      <c r="J49" s="657"/>
      <c r="K49" s="1218"/>
      <c r="L49" s="832"/>
      <c r="M49" s="748"/>
      <c r="N49" s="748"/>
      <c r="O49" s="748"/>
      <c r="P49" s="3570" t="str">
        <f>A49</f>
        <v>估价对象XX用房的比较价值（楼面单价，元/平方米）</v>
      </c>
      <c r="Q49" s="3571"/>
      <c r="R49" s="3572" t="e">
        <f>IF(F1="售价",ROUND(IF(D48="简单平均",AVERAGE(R48:V48),R48*F48+T48*H48+V48*J48),0),ROUND(IF(D48="简单平均",AVERAGE(R48:V48),R48*F48+T48*H48+V48*J48),1))</f>
        <v>#DIV/0!</v>
      </c>
      <c r="S49" s="3572"/>
      <c r="T49" s="3572"/>
      <c r="U49" s="3572"/>
      <c r="V49" s="3572"/>
      <c r="W49" s="3572"/>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2819</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2820</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2821</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19"/>
    </row>
    <row r="55" spans="1:29" s="634" customFormat="1">
      <c r="A55" s="755"/>
      <c r="B55" s="756"/>
      <c r="C55" s="1037"/>
      <c r="D55" s="755"/>
      <c r="E55" s="755"/>
      <c r="F55" s="755"/>
      <c r="G55" s="755"/>
      <c r="H55" s="755"/>
      <c r="I55" s="755"/>
      <c r="J55" s="755"/>
      <c r="K55" s="838"/>
      <c r="L55" s="839"/>
      <c r="M55" s="755"/>
      <c r="N55" s="755"/>
      <c r="O55" s="755"/>
      <c r="P55" s="1219"/>
    </row>
    <row r="56" spans="1:29">
      <c r="A56" s="748"/>
      <c r="B56" s="756"/>
      <c r="C56" s="1037"/>
      <c r="D56" s="748"/>
      <c r="E56" s="748"/>
      <c r="F56" s="748"/>
      <c r="G56" s="748"/>
      <c r="H56" s="748"/>
      <c r="I56" s="748"/>
      <c r="J56" s="748"/>
      <c r="K56" s="836"/>
      <c r="L56" s="837"/>
      <c r="M56" s="748"/>
      <c r="N56" s="748"/>
      <c r="O56" s="748"/>
    </row>
    <row r="57" spans="1:29" ht="21">
      <c r="A57" s="792" t="s">
        <v>2822</v>
      </c>
      <c r="B57" s="793"/>
      <c r="C57" s="794"/>
      <c r="D57" s="794"/>
      <c r="E57" s="794"/>
      <c r="F57" s="795"/>
      <c r="G57" s="795"/>
      <c r="H57" s="794"/>
      <c r="I57" s="794"/>
      <c r="J57" s="794"/>
      <c r="K57" s="996"/>
      <c r="L57" s="997"/>
      <c r="M57" s="849"/>
      <c r="N57" s="849"/>
      <c r="O57" s="849"/>
      <c r="P57" s="1220"/>
      <c r="Q57" s="1137"/>
    </row>
    <row r="58" spans="1:29" s="636" customFormat="1" ht="15">
      <c r="A58" s="1038" t="s">
        <v>2782</v>
      </c>
      <c r="B58" s="1039"/>
      <c r="C58" s="1201" t="str">
        <f>YEAR(C7)&amp;"-"&amp;MONTH(C7)</f>
        <v>2025-5</v>
      </c>
      <c r="D58" s="1041">
        <f>EDATE(C58,-1)</f>
        <v>45748</v>
      </c>
      <c r="E58" s="1041">
        <f>EDATE(D58,-1)</f>
        <v>45717</v>
      </c>
      <c r="F58" s="1041">
        <f t="shared" ref="F58:O58" si="19">EDATE(E58,-1)</f>
        <v>45689</v>
      </c>
      <c r="G58" s="1041">
        <f t="shared" si="19"/>
        <v>45658</v>
      </c>
      <c r="H58" s="1041">
        <f t="shared" si="19"/>
        <v>45627</v>
      </c>
      <c r="I58" s="1041">
        <f t="shared" si="19"/>
        <v>45597</v>
      </c>
      <c r="J58" s="1041">
        <f t="shared" si="19"/>
        <v>45566</v>
      </c>
      <c r="K58" s="1041">
        <f t="shared" si="19"/>
        <v>45536</v>
      </c>
      <c r="L58" s="1041">
        <f t="shared" si="19"/>
        <v>45505</v>
      </c>
      <c r="M58" s="1041">
        <f t="shared" si="19"/>
        <v>45474</v>
      </c>
      <c r="N58" s="1041">
        <f t="shared" si="19"/>
        <v>45444</v>
      </c>
      <c r="O58" s="1041">
        <f t="shared" si="19"/>
        <v>45413</v>
      </c>
      <c r="P58" s="1221"/>
    </row>
    <row r="59" spans="1:29" s="631" customFormat="1" ht="15">
      <c r="A59" s="705"/>
      <c r="B59" s="1202"/>
      <c r="C59" s="1042">
        <v>100</v>
      </c>
      <c r="D59" s="1162"/>
      <c r="E59" s="884"/>
      <c r="F59" s="884"/>
      <c r="G59" s="884"/>
      <c r="H59" s="884"/>
      <c r="I59" s="884"/>
      <c r="J59" s="884"/>
      <c r="K59" s="884"/>
      <c r="L59" s="884"/>
      <c r="M59" s="679"/>
      <c r="N59" s="884"/>
      <c r="O59" s="679"/>
      <c r="P59" s="1222"/>
    </row>
    <row r="60" spans="1:29" s="631" customFormat="1" ht="15">
      <c r="A60" s="875" t="s">
        <v>2823</v>
      </c>
      <c r="B60" s="876"/>
      <c r="C60" s="877"/>
      <c r="D60" s="878"/>
      <c r="E60" s="878"/>
      <c r="F60" s="878"/>
      <c r="G60" s="878"/>
      <c r="H60" s="878"/>
      <c r="I60" s="878"/>
      <c r="J60" s="878"/>
      <c r="K60" s="878"/>
      <c r="L60" s="878"/>
      <c r="M60" s="918"/>
      <c r="N60" s="878"/>
      <c r="O60" s="918"/>
      <c r="P60" s="1222"/>
      <c r="Q60" s="1137"/>
    </row>
    <row r="61" spans="1:29" s="631" customFormat="1" ht="15">
      <c r="A61" s="879" t="s">
        <v>2785</v>
      </c>
      <c r="B61" s="880"/>
      <c r="C61" s="881" t="s">
        <v>2824</v>
      </c>
      <c r="D61" s="882"/>
      <c r="E61" s="882"/>
      <c r="F61" s="882"/>
      <c r="G61" s="882"/>
      <c r="H61" s="882"/>
      <c r="I61" s="882"/>
      <c r="J61" s="882"/>
      <c r="K61" s="882"/>
      <c r="L61" s="920"/>
      <c r="M61" s="921"/>
      <c r="N61" s="1140"/>
      <c r="O61" s="1140"/>
      <c r="P61" s="1223"/>
      <c r="Q61" s="1137"/>
    </row>
    <row r="62" spans="1:29" s="631" customFormat="1" ht="15">
      <c r="A62" s="879"/>
      <c r="B62" s="880"/>
      <c r="C62" s="1162">
        <v>100</v>
      </c>
      <c r="D62" s="884"/>
      <c r="E62" s="884"/>
      <c r="F62" s="884"/>
      <c r="G62" s="884"/>
      <c r="H62" s="884"/>
      <c r="I62" s="884"/>
      <c r="J62" s="884"/>
      <c r="K62" s="884"/>
      <c r="L62" s="884"/>
      <c r="M62" s="923"/>
      <c r="N62" s="1140"/>
      <c r="O62" s="1140"/>
      <c r="P62" s="1222"/>
      <c r="Q62" s="1137"/>
    </row>
    <row r="63" spans="1:29">
      <c r="A63" s="689" t="s">
        <v>2825</v>
      </c>
      <c r="B63" s="885" t="s">
        <v>2788</v>
      </c>
      <c r="C63" s="765">
        <f>C9</f>
        <v>0</v>
      </c>
      <c r="D63" s="829"/>
      <c r="E63" s="829"/>
      <c r="F63" s="829"/>
      <c r="G63" s="829"/>
      <c r="H63" s="829"/>
      <c r="I63" s="829"/>
      <c r="J63" s="829"/>
      <c r="K63" s="924"/>
      <c r="L63" s="925"/>
      <c r="M63" s="926"/>
      <c r="N63" s="1142"/>
      <c r="O63" s="1142"/>
      <c r="P63" s="1224"/>
      <c r="Q63" s="1137"/>
    </row>
    <row r="64" spans="1:29" ht="15">
      <c r="A64" s="675"/>
      <c r="B64" s="886"/>
      <c r="C64" s="887">
        <v>100</v>
      </c>
      <c r="D64" s="887"/>
      <c r="E64" s="887"/>
      <c r="F64" s="887"/>
      <c r="G64" s="887"/>
      <c r="H64" s="887"/>
      <c r="I64" s="887"/>
      <c r="J64" s="887"/>
      <c r="K64" s="887"/>
      <c r="L64" s="887"/>
      <c r="M64" s="928"/>
      <c r="N64" s="1144"/>
      <c r="O64" s="1144"/>
      <c r="P64" s="1224"/>
      <c r="Q64" s="1137"/>
    </row>
    <row r="65" spans="1:17" ht="27">
      <c r="A65" s="675"/>
      <c r="B65" s="888" t="s">
        <v>2791</v>
      </c>
      <c r="C65" s="910"/>
      <c r="D65" s="910"/>
      <c r="E65" s="910"/>
      <c r="F65" s="910"/>
      <c r="G65" s="910"/>
      <c r="H65" s="910"/>
      <c r="I65" s="910"/>
      <c r="J65" s="910"/>
      <c r="K65" s="910"/>
      <c r="L65" s="910"/>
      <c r="M65" s="910"/>
      <c r="N65" s="1144"/>
      <c r="O65" s="1144"/>
      <c r="P65" s="1224"/>
      <c r="Q65" s="1137"/>
    </row>
    <row r="66" spans="1:17" ht="15">
      <c r="A66" s="675"/>
      <c r="B66" s="890"/>
      <c r="C66" s="887"/>
      <c r="D66" s="887"/>
      <c r="E66" s="887"/>
      <c r="F66" s="887"/>
      <c r="G66" s="887"/>
      <c r="H66" s="887"/>
      <c r="I66" s="887"/>
      <c r="J66" s="887"/>
      <c r="K66" s="887"/>
      <c r="L66" s="887"/>
      <c r="M66" s="928"/>
      <c r="N66" s="1144"/>
      <c r="O66" s="1144"/>
      <c r="P66" s="1224"/>
      <c r="Q66" s="1137"/>
    </row>
    <row r="67" spans="1:17" ht="15">
      <c r="A67" s="675"/>
      <c r="B67" s="892" t="s">
        <v>2792</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24"/>
      <c r="Q67" s="1137"/>
    </row>
    <row r="68" spans="1:17" ht="15">
      <c r="A68" s="675"/>
      <c r="B68" s="894"/>
      <c r="C68" s="681"/>
      <c r="D68" s="681"/>
      <c r="E68" s="681"/>
      <c r="F68" s="681"/>
      <c r="G68" s="681"/>
      <c r="H68" s="681"/>
      <c r="I68" s="681"/>
      <c r="J68" s="681"/>
      <c r="K68" s="934"/>
      <c r="L68" s="935"/>
      <c r="M68" s="936"/>
      <c r="N68" s="1142"/>
      <c r="O68" s="1142"/>
      <c r="P68" s="1224"/>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24"/>
      <c r="Q69" s="1137"/>
    </row>
    <row r="70" spans="1:17" s="633" customFormat="1" ht="15">
      <c r="A70" s="895"/>
      <c r="B70" s="888">
        <f>B12</f>
        <v>111</v>
      </c>
      <c r="C70" s="896"/>
      <c r="D70" s="896"/>
      <c r="E70" s="896"/>
      <c r="F70" s="896"/>
      <c r="G70" s="896"/>
      <c r="H70" s="897"/>
      <c r="I70" s="897"/>
      <c r="J70" s="897"/>
      <c r="K70" s="897"/>
      <c r="L70" s="937"/>
      <c r="M70" s="938"/>
      <c r="N70" s="1145"/>
      <c r="O70" s="1145"/>
      <c r="P70" s="1227"/>
      <c r="Q70" s="1147"/>
    </row>
    <row r="71" spans="1:17" s="633" customFormat="1" ht="15">
      <c r="A71" s="895"/>
      <c r="B71" s="890"/>
      <c r="C71" s="898"/>
      <c r="D71" s="887"/>
      <c r="E71" s="887"/>
      <c r="F71" s="887"/>
      <c r="G71" s="887"/>
      <c r="H71" s="887"/>
      <c r="I71" s="887"/>
      <c r="J71" s="887"/>
      <c r="K71" s="887"/>
      <c r="L71" s="887"/>
      <c r="M71" s="928"/>
      <c r="N71" s="1144"/>
      <c r="O71" s="1144"/>
      <c r="P71" s="1227"/>
      <c r="Q71" s="1147"/>
    </row>
    <row r="72" spans="1:17" s="633" customFormat="1" ht="15">
      <c r="A72" s="895"/>
      <c r="B72" s="888">
        <f>B13</f>
        <v>111</v>
      </c>
      <c r="C72" s="896"/>
      <c r="D72" s="896"/>
      <c r="E72" s="896"/>
      <c r="F72" s="896"/>
      <c r="G72" s="896"/>
      <c r="H72" s="897"/>
      <c r="I72" s="897"/>
      <c r="J72" s="897"/>
      <c r="K72" s="897"/>
      <c r="L72" s="937"/>
      <c r="M72" s="938"/>
      <c r="N72" s="1145"/>
      <c r="O72" s="1145"/>
      <c r="P72" s="1228"/>
      <c r="Q72" s="1151"/>
    </row>
    <row r="73" spans="1:17" s="633" customFormat="1" ht="15">
      <c r="A73" s="895"/>
      <c r="B73" s="890"/>
      <c r="C73" s="898"/>
      <c r="D73" s="898"/>
      <c r="E73" s="898"/>
      <c r="F73" s="898"/>
      <c r="G73" s="898"/>
      <c r="H73" s="899"/>
      <c r="I73" s="899"/>
      <c r="J73" s="899"/>
      <c r="K73" s="899"/>
      <c r="L73" s="899"/>
      <c r="M73" s="940"/>
      <c r="N73" s="1145"/>
      <c r="O73" s="1145"/>
      <c r="P73" s="1227"/>
      <c r="Q73" s="1147"/>
    </row>
    <row r="74" spans="1:17" s="633" customFormat="1" ht="15">
      <c r="A74" s="895"/>
      <c r="B74" s="892">
        <f>B14</f>
        <v>111</v>
      </c>
      <c r="C74" s="896"/>
      <c r="D74" s="896"/>
      <c r="E74" s="896"/>
      <c r="F74" s="896"/>
      <c r="G74" s="882"/>
      <c r="H74" s="900"/>
      <c r="I74" s="900"/>
      <c r="J74" s="900"/>
      <c r="K74" s="900"/>
      <c r="L74" s="941"/>
      <c r="M74" s="942"/>
      <c r="N74" s="1145"/>
      <c r="O74" s="1145"/>
      <c r="P74" s="1229"/>
      <c r="Q74" s="1147"/>
    </row>
    <row r="75" spans="1:17" s="633" customFormat="1" ht="15">
      <c r="A75" s="901"/>
      <c r="B75" s="902"/>
      <c r="C75" s="903"/>
      <c r="D75" s="903"/>
      <c r="E75" s="903"/>
      <c r="F75" s="903"/>
      <c r="G75" s="903"/>
      <c r="H75" s="904"/>
      <c r="I75" s="904"/>
      <c r="J75" s="904"/>
      <c r="K75" s="904"/>
      <c r="L75" s="904"/>
      <c r="M75" s="944"/>
      <c r="N75" s="1145"/>
      <c r="O75" s="1145"/>
      <c r="P75" s="1227"/>
      <c r="Q75" s="1147"/>
    </row>
    <row r="76" spans="1:17">
      <c r="A76" s="689" t="s">
        <v>2793</v>
      </c>
      <c r="B76" s="885" t="s">
        <v>2794</v>
      </c>
      <c r="C76" s="905" t="s">
        <v>1349</v>
      </c>
      <c r="D76" s="905" t="s">
        <v>1350</v>
      </c>
      <c r="E76" s="905" t="s">
        <v>1351</v>
      </c>
      <c r="F76" s="905" t="s">
        <v>1352</v>
      </c>
      <c r="G76" s="905" t="s">
        <v>1353</v>
      </c>
      <c r="H76" s="765"/>
      <c r="I76" s="765"/>
      <c r="J76" s="765"/>
      <c r="K76" s="945"/>
      <c r="L76" s="946"/>
      <c r="M76" s="947"/>
      <c r="N76" s="1142"/>
      <c r="O76" s="1142"/>
      <c r="P76" s="1230"/>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24"/>
      <c r="Q77" s="1137"/>
    </row>
    <row r="78" spans="1:17" ht="15">
      <c r="A78" s="675"/>
      <c r="B78" s="888" t="s">
        <v>2796</v>
      </c>
      <c r="C78" s="906" t="s">
        <v>1349</v>
      </c>
      <c r="D78" s="906" t="s">
        <v>1350</v>
      </c>
      <c r="E78" s="906" t="s">
        <v>1351</v>
      </c>
      <c r="F78" s="906" t="s">
        <v>1352</v>
      </c>
      <c r="G78" s="906" t="s">
        <v>1353</v>
      </c>
      <c r="H78" s="889"/>
      <c r="I78" s="889"/>
      <c r="J78" s="889"/>
      <c r="K78" s="930"/>
      <c r="L78" s="931"/>
      <c r="M78" s="932"/>
      <c r="N78" s="1142"/>
      <c r="O78" s="1142"/>
      <c r="P78" s="1224"/>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24"/>
      <c r="Q79" s="1137"/>
    </row>
    <row r="80" spans="1:17" ht="15">
      <c r="A80" s="675"/>
      <c r="B80" s="888" t="s">
        <v>2797</v>
      </c>
      <c r="C80" s="906" t="s">
        <v>1349</v>
      </c>
      <c r="D80" s="906" t="s">
        <v>1350</v>
      </c>
      <c r="E80" s="906" t="s">
        <v>1351</v>
      </c>
      <c r="F80" s="906" t="s">
        <v>1352</v>
      </c>
      <c r="G80" s="906" t="s">
        <v>1353</v>
      </c>
      <c r="H80" s="889"/>
      <c r="I80" s="889"/>
      <c r="J80" s="889"/>
      <c r="K80" s="930"/>
      <c r="L80" s="931"/>
      <c r="M80" s="932"/>
      <c r="N80" s="1142"/>
      <c r="O80" s="1142"/>
      <c r="P80" s="1224"/>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24"/>
      <c r="Q81" s="1137"/>
    </row>
    <row r="82" spans="1:17" ht="15">
      <c r="A82" s="675"/>
      <c r="B82" s="892" t="s">
        <v>2798</v>
      </c>
      <c r="C82" s="889" t="s">
        <v>2826</v>
      </c>
      <c r="D82" s="889" t="s">
        <v>2827</v>
      </c>
      <c r="E82" s="889" t="s">
        <v>2828</v>
      </c>
      <c r="F82" s="889" t="s">
        <v>2829</v>
      </c>
      <c r="G82" s="889" t="s">
        <v>2830</v>
      </c>
      <c r="H82" s="889"/>
      <c r="I82" s="889"/>
      <c r="J82" s="889"/>
      <c r="K82" s="889"/>
      <c r="L82" s="889"/>
      <c r="M82" s="1053"/>
      <c r="N82" s="1144"/>
      <c r="O82" s="1144"/>
      <c r="P82" s="1224"/>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24"/>
      <c r="Q83" s="1137"/>
    </row>
    <row r="84" spans="1:17" ht="15">
      <c r="A84" s="675"/>
      <c r="B84" s="888" t="s">
        <v>2799</v>
      </c>
      <c r="C84" s="906" t="s">
        <v>1349</v>
      </c>
      <c r="D84" s="906" t="s">
        <v>1350</v>
      </c>
      <c r="E84" s="906" t="s">
        <v>1351</v>
      </c>
      <c r="F84" s="906" t="s">
        <v>1352</v>
      </c>
      <c r="G84" s="906" t="s">
        <v>1353</v>
      </c>
      <c r="H84" s="889"/>
      <c r="I84" s="889"/>
      <c r="J84" s="889"/>
      <c r="K84" s="930"/>
      <c r="L84" s="931"/>
      <c r="M84" s="932"/>
      <c r="N84" s="1142"/>
      <c r="O84" s="1142"/>
      <c r="P84" s="1224"/>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24"/>
      <c r="Q85" s="1137"/>
    </row>
    <row r="86" spans="1:17" s="631" customFormat="1" ht="15">
      <c r="A86" s="678"/>
      <c r="B86" s="888" t="s">
        <v>2800</v>
      </c>
      <c r="C86" s="896"/>
      <c r="D86" s="896"/>
      <c r="E86" s="896"/>
      <c r="F86" s="896"/>
      <c r="G86" s="896"/>
      <c r="H86" s="896"/>
      <c r="I86" s="896"/>
      <c r="J86" s="896"/>
      <c r="K86" s="896"/>
      <c r="L86" s="1054"/>
      <c r="M86" s="1055"/>
      <c r="N86" s="1140"/>
      <c r="O86" s="1140"/>
      <c r="P86" s="1224"/>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24"/>
      <c r="Q87" s="1137"/>
    </row>
    <row r="88" spans="1:17" s="631" customFormat="1" ht="15">
      <c r="A88" s="678"/>
      <c r="B88" s="888" t="s">
        <v>2801</v>
      </c>
      <c r="C88" s="896"/>
      <c r="D88" s="896"/>
      <c r="E88" s="896"/>
      <c r="F88" s="1168"/>
      <c r="G88" s="896"/>
      <c r="H88" s="896"/>
      <c r="I88" s="896"/>
      <c r="J88" s="896"/>
      <c r="K88" s="896"/>
      <c r="L88" s="896"/>
      <c r="M88" s="1055"/>
      <c r="N88" s="1140"/>
      <c r="O88" s="1140"/>
      <c r="P88" s="1224"/>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24"/>
      <c r="Q89" s="1137"/>
    </row>
    <row r="90" spans="1:17" s="633" customFormat="1" ht="15">
      <c r="A90" s="895"/>
      <c r="B90" s="888">
        <f>B27</f>
        <v>111</v>
      </c>
      <c r="C90" s="896"/>
      <c r="D90" s="896"/>
      <c r="E90" s="896"/>
      <c r="F90" s="896"/>
      <c r="G90" s="896"/>
      <c r="H90" s="897"/>
      <c r="I90" s="897"/>
      <c r="J90" s="897"/>
      <c r="K90" s="897"/>
      <c r="L90" s="937"/>
      <c r="M90" s="938"/>
      <c r="N90" s="1145"/>
      <c r="O90" s="1145"/>
      <c r="P90" s="1227"/>
      <c r="Q90" s="1147"/>
    </row>
    <row r="91" spans="1:17" s="633" customFormat="1" ht="15">
      <c r="A91" s="895"/>
      <c r="B91" s="890"/>
      <c r="C91" s="898"/>
      <c r="D91" s="898"/>
      <c r="E91" s="898"/>
      <c r="F91" s="898"/>
      <c r="G91" s="898"/>
      <c r="H91" s="899"/>
      <c r="I91" s="899"/>
      <c r="J91" s="899"/>
      <c r="K91" s="899"/>
      <c r="L91" s="899"/>
      <c r="M91" s="940"/>
      <c r="N91" s="1145"/>
      <c r="O91" s="1145"/>
      <c r="P91" s="1227"/>
      <c r="Q91" s="1147"/>
    </row>
    <row r="92" spans="1:17" ht="15">
      <c r="A92" s="675"/>
      <c r="B92" s="888">
        <f>B28</f>
        <v>111</v>
      </c>
      <c r="C92" s="896"/>
      <c r="D92" s="896"/>
      <c r="E92" s="896"/>
      <c r="F92" s="896"/>
      <c r="G92" s="910"/>
      <c r="H92" s="910"/>
      <c r="I92" s="910"/>
      <c r="J92" s="910"/>
      <c r="K92" s="955"/>
      <c r="L92" s="956"/>
      <c r="M92" s="957"/>
      <c r="N92" s="1142"/>
      <c r="O92" s="1142"/>
      <c r="P92" s="1224"/>
      <c r="Q92" s="1137"/>
    </row>
    <row r="93" spans="1:17" ht="15">
      <c r="A93" s="675"/>
      <c r="B93" s="890"/>
      <c r="C93" s="898"/>
      <c r="D93" s="887"/>
      <c r="E93" s="887"/>
      <c r="F93" s="887"/>
      <c r="G93" s="887"/>
      <c r="H93" s="887"/>
      <c r="I93" s="887"/>
      <c r="J93" s="887"/>
      <c r="K93" s="887"/>
      <c r="L93" s="887"/>
      <c r="M93" s="928"/>
      <c r="N93" s="1144"/>
      <c r="O93" s="1144"/>
      <c r="P93" s="1224"/>
      <c r="Q93" s="1137"/>
    </row>
    <row r="94" spans="1:17" ht="15">
      <c r="A94" s="675"/>
      <c r="B94" s="888">
        <f>B29</f>
        <v>111</v>
      </c>
      <c r="C94" s="896"/>
      <c r="D94" s="896"/>
      <c r="E94" s="896"/>
      <c r="F94" s="896"/>
      <c r="G94" s="910"/>
      <c r="H94" s="910"/>
      <c r="I94" s="910"/>
      <c r="J94" s="910"/>
      <c r="K94" s="955"/>
      <c r="L94" s="956"/>
      <c r="M94" s="957"/>
      <c r="N94" s="1142"/>
      <c r="O94" s="1142"/>
      <c r="P94" s="1224"/>
      <c r="Q94" s="1137"/>
    </row>
    <row r="95" spans="1:17" ht="15">
      <c r="A95" s="675"/>
      <c r="B95" s="890"/>
      <c r="C95" s="898"/>
      <c r="D95" s="898"/>
      <c r="E95" s="898"/>
      <c r="F95" s="898"/>
      <c r="G95" s="887"/>
      <c r="H95" s="887"/>
      <c r="I95" s="887"/>
      <c r="J95" s="887"/>
      <c r="K95" s="887"/>
      <c r="L95" s="887"/>
      <c r="M95" s="928"/>
      <c r="N95" s="1144"/>
      <c r="O95" s="1144"/>
      <c r="P95" s="1224"/>
      <c r="Q95" s="1137"/>
    </row>
    <row r="96" spans="1:17" ht="15">
      <c r="A96" s="675"/>
      <c r="B96" s="888">
        <f>B30</f>
        <v>111</v>
      </c>
      <c r="C96" s="896"/>
      <c r="D96" s="896"/>
      <c r="E96" s="896"/>
      <c r="F96" s="896"/>
      <c r="G96" s="910"/>
      <c r="H96" s="910"/>
      <c r="I96" s="910"/>
      <c r="J96" s="910"/>
      <c r="K96" s="955"/>
      <c r="L96" s="956"/>
      <c r="M96" s="957"/>
      <c r="N96" s="1142"/>
      <c r="O96" s="1142"/>
      <c r="P96" s="1224"/>
      <c r="Q96" s="1137"/>
    </row>
    <row r="97" spans="1:17" ht="15">
      <c r="A97" s="675"/>
      <c r="B97" s="890"/>
      <c r="C97" s="903"/>
      <c r="D97" s="903"/>
      <c r="E97" s="903"/>
      <c r="F97" s="903"/>
      <c r="G97" s="887"/>
      <c r="H97" s="887"/>
      <c r="I97" s="887"/>
      <c r="J97" s="887"/>
      <c r="K97" s="887"/>
      <c r="L97" s="887"/>
      <c r="M97" s="928"/>
      <c r="N97" s="1144"/>
      <c r="O97" s="1144"/>
      <c r="P97" s="1224"/>
      <c r="Q97" s="1137"/>
    </row>
    <row r="98" spans="1:17" ht="15">
      <c r="A98" s="675"/>
      <c r="B98" s="892">
        <f>B31</f>
        <v>111</v>
      </c>
      <c r="C98" s="911"/>
      <c r="D98" s="911"/>
      <c r="E98" s="911"/>
      <c r="F98" s="911"/>
      <c r="G98" s="911"/>
      <c r="H98" s="911"/>
      <c r="I98" s="911"/>
      <c r="J98" s="911"/>
      <c r="K98" s="958"/>
      <c r="L98" s="959"/>
      <c r="M98" s="960"/>
      <c r="N98" s="1142"/>
      <c r="O98" s="1142"/>
      <c r="P98" s="1224"/>
      <c r="Q98" s="1137"/>
    </row>
    <row r="99" spans="1:17" ht="15">
      <c r="A99" s="685"/>
      <c r="B99" s="902"/>
      <c r="C99" s="912"/>
      <c r="D99" s="912"/>
      <c r="E99" s="912"/>
      <c r="F99" s="912"/>
      <c r="G99" s="912"/>
      <c r="H99" s="912"/>
      <c r="I99" s="912"/>
      <c r="J99" s="912"/>
      <c r="K99" s="912"/>
      <c r="L99" s="912"/>
      <c r="M99" s="961"/>
      <c r="N99" s="1144"/>
      <c r="O99" s="1144"/>
      <c r="P99" s="1224"/>
      <c r="Q99" s="1137"/>
    </row>
    <row r="100" spans="1:17">
      <c r="A100" s="689" t="s">
        <v>2802</v>
      </c>
      <c r="B100" s="885" t="s">
        <v>2803</v>
      </c>
      <c r="C100" s="829"/>
      <c r="D100" s="829"/>
      <c r="E100" s="829"/>
      <c r="F100" s="829"/>
      <c r="G100" s="829"/>
      <c r="H100" s="829"/>
      <c r="I100" s="829"/>
      <c r="J100" s="829"/>
      <c r="K100" s="924"/>
      <c r="L100" s="925"/>
      <c r="M100" s="926"/>
      <c r="N100" s="1142"/>
      <c r="O100" s="1142"/>
      <c r="P100" s="1224"/>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24"/>
      <c r="Q101" s="1137"/>
    </row>
    <row r="102" spans="1:17" ht="15">
      <c r="A102" s="675"/>
      <c r="B102" s="888" t="s">
        <v>2805</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24"/>
      <c r="Q102" s="1137"/>
    </row>
    <row r="103" spans="1:17" s="633" customFormat="1">
      <c r="A103" s="729"/>
      <c r="B103" s="913"/>
      <c r="C103" s="874"/>
      <c r="D103" s="874"/>
      <c r="E103" s="874"/>
      <c r="F103" s="874"/>
      <c r="G103" s="874"/>
      <c r="H103" s="874"/>
      <c r="I103" s="874"/>
      <c r="J103" s="962"/>
      <c r="K103" s="962"/>
      <c r="L103" s="963"/>
      <c r="M103" s="964"/>
      <c r="N103" s="1145"/>
      <c r="O103" s="1145"/>
      <c r="P103" s="1227"/>
      <c r="Q103" s="1147"/>
    </row>
    <row r="104" spans="1:17" s="633" customFormat="1" ht="15">
      <c r="A104" s="895"/>
      <c r="B104" s="890"/>
      <c r="C104" s="898"/>
      <c r="D104" s="887"/>
      <c r="E104" s="887"/>
      <c r="F104" s="887"/>
      <c r="G104" s="887"/>
      <c r="H104" s="887"/>
      <c r="I104" s="887"/>
      <c r="J104" s="887"/>
      <c r="K104" s="887"/>
      <c r="L104" s="887"/>
      <c r="M104" s="887"/>
      <c r="N104" s="1144"/>
      <c r="O104" s="1144"/>
      <c r="P104" s="1227"/>
      <c r="Q104" s="1147"/>
    </row>
    <row r="105" spans="1:17">
      <c r="A105" s="724"/>
      <c r="B105" s="888" t="s">
        <v>2806</v>
      </c>
      <c r="C105" s="896"/>
      <c r="D105" s="896"/>
      <c r="E105" s="910"/>
      <c r="F105" s="910"/>
      <c r="G105" s="910"/>
      <c r="H105" s="910"/>
      <c r="I105" s="910"/>
      <c r="J105" s="910"/>
      <c r="K105" s="955"/>
      <c r="L105" s="956"/>
      <c r="M105" s="957"/>
      <c r="N105" s="1142"/>
      <c r="O105" s="1142"/>
      <c r="P105" s="1224"/>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24"/>
      <c r="Q106" s="1137"/>
    </row>
    <row r="107" spans="1:17">
      <c r="A107" s="724"/>
      <c r="B107" s="888" t="s">
        <v>2807</v>
      </c>
      <c r="C107" s="910"/>
      <c r="D107" s="910"/>
      <c r="E107" s="910"/>
      <c r="F107" s="910"/>
      <c r="G107" s="910"/>
      <c r="H107" s="910"/>
      <c r="I107" s="910"/>
      <c r="J107" s="910"/>
      <c r="K107" s="955"/>
      <c r="L107" s="956"/>
      <c r="M107" s="957"/>
      <c r="N107" s="1142"/>
      <c r="O107" s="1142"/>
      <c r="P107" s="1224"/>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24"/>
      <c r="Q108" s="1137"/>
    </row>
    <row r="109" spans="1:17">
      <c r="A109" s="724"/>
      <c r="B109" s="888" t="s">
        <v>2808</v>
      </c>
      <c r="C109" s="896"/>
      <c r="D109" s="896"/>
      <c r="E109" s="896"/>
      <c r="F109" s="910"/>
      <c r="G109" s="910"/>
      <c r="H109" s="910"/>
      <c r="I109" s="910"/>
      <c r="J109" s="910"/>
      <c r="K109" s="955"/>
      <c r="L109" s="956"/>
      <c r="M109" s="957"/>
      <c r="N109" s="1142"/>
      <c r="O109" s="1142"/>
      <c r="P109" s="1224"/>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24"/>
      <c r="Q110" s="1137"/>
    </row>
    <row r="111" spans="1:17" s="633" customFormat="1">
      <c r="A111" s="729"/>
      <c r="B111" s="888" t="s">
        <v>650</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27"/>
      <c r="Q111" s="1147"/>
    </row>
    <row r="112" spans="1:17" s="633" customFormat="1">
      <c r="A112" s="729"/>
      <c r="B112" s="892"/>
      <c r="C112" s="857">
        <v>0.5</v>
      </c>
      <c r="D112" s="857">
        <v>0.6</v>
      </c>
      <c r="E112" s="857">
        <v>0.7</v>
      </c>
      <c r="F112" s="857">
        <v>0.8</v>
      </c>
      <c r="G112" s="857">
        <v>0.9</v>
      </c>
      <c r="H112" s="857">
        <v>1.0001</v>
      </c>
      <c r="I112" s="857"/>
      <c r="J112" s="1049"/>
      <c r="K112" s="1049"/>
      <c r="L112" s="1231"/>
      <c r="M112" s="1232"/>
      <c r="N112" s="1145"/>
      <c r="O112" s="1145"/>
      <c r="P112" s="1227"/>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27"/>
      <c r="Q113" s="1147"/>
    </row>
    <row r="114" spans="1:17">
      <c r="A114" s="724"/>
      <c r="B114" s="888" t="s">
        <v>2809</v>
      </c>
      <c r="C114" s="896"/>
      <c r="D114" s="896"/>
      <c r="E114" s="910"/>
      <c r="F114" s="910"/>
      <c r="G114" s="910"/>
      <c r="H114" s="910"/>
      <c r="I114" s="910"/>
      <c r="J114" s="910"/>
      <c r="K114" s="955"/>
      <c r="L114" s="956"/>
      <c r="M114" s="957"/>
      <c r="N114" s="1142"/>
      <c r="O114" s="1142"/>
      <c r="P114" s="1224"/>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24"/>
      <c r="Q115" s="1137"/>
    </row>
    <row r="116" spans="1:17">
      <c r="A116" s="724"/>
      <c r="B116" s="888" t="s">
        <v>2810</v>
      </c>
      <c r="C116" s="896"/>
      <c r="D116" s="896"/>
      <c r="E116" s="896"/>
      <c r="F116" s="896"/>
      <c r="G116" s="896"/>
      <c r="H116" s="910"/>
      <c r="I116" s="910"/>
      <c r="J116" s="910"/>
      <c r="K116" s="955"/>
      <c r="L116" s="956"/>
      <c r="M116" s="957"/>
      <c r="N116" s="1142"/>
      <c r="O116" s="1142"/>
      <c r="P116" s="1224"/>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24"/>
      <c r="Q117" s="1137"/>
    </row>
    <row r="118" spans="1:17">
      <c r="A118" s="724"/>
      <c r="B118" s="888" t="s">
        <v>2811</v>
      </c>
      <c r="C118" s="910"/>
      <c r="D118" s="910"/>
      <c r="E118" s="910"/>
      <c r="F118" s="910"/>
      <c r="G118" s="910"/>
      <c r="H118" s="910"/>
      <c r="I118" s="910"/>
      <c r="J118" s="910"/>
      <c r="K118" s="955"/>
      <c r="L118" s="956"/>
      <c r="M118" s="957"/>
      <c r="N118" s="1142"/>
      <c r="O118" s="1142"/>
      <c r="P118" s="1224"/>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24"/>
      <c r="Q119" s="1137"/>
    </row>
    <row r="120" spans="1:17" s="633" customFormat="1" ht="27.75">
      <c r="A120" s="729"/>
      <c r="B120" s="888" t="s">
        <v>2812</v>
      </c>
      <c r="C120" s="896"/>
      <c r="D120" s="896"/>
      <c r="E120" s="896"/>
      <c r="F120" s="896"/>
      <c r="G120" s="896"/>
      <c r="H120" s="896"/>
      <c r="I120" s="896"/>
      <c r="J120" s="896"/>
      <c r="K120" s="896"/>
      <c r="L120" s="1054"/>
      <c r="M120" s="1055"/>
      <c r="N120" s="1145"/>
      <c r="O120" s="1145"/>
      <c r="P120" s="1227"/>
      <c r="Q120" s="1147"/>
    </row>
    <row r="121" spans="1:17" s="633" customFormat="1" ht="15">
      <c r="A121" s="895"/>
      <c r="B121" s="886"/>
      <c r="C121" s="898"/>
      <c r="D121" s="887"/>
      <c r="E121" s="887"/>
      <c r="F121" s="887"/>
      <c r="G121" s="887"/>
      <c r="H121" s="887"/>
      <c r="I121" s="887"/>
      <c r="J121" s="887"/>
      <c r="K121" s="887"/>
      <c r="L121" s="887"/>
      <c r="M121" s="887"/>
      <c r="N121" s="1145"/>
      <c r="O121" s="1145"/>
      <c r="P121" s="1227"/>
      <c r="Q121" s="1147"/>
    </row>
    <row r="122" spans="1:17">
      <c r="A122" s="724"/>
      <c r="B122" s="888" t="s">
        <v>2813</v>
      </c>
      <c r="C122" s="896"/>
      <c r="D122" s="896"/>
      <c r="E122" s="896"/>
      <c r="F122" s="910"/>
      <c r="G122" s="910"/>
      <c r="H122" s="910"/>
      <c r="I122" s="910"/>
      <c r="J122" s="910"/>
      <c r="K122" s="955"/>
      <c r="L122" s="956"/>
      <c r="M122" s="957"/>
      <c r="N122" s="1142"/>
      <c r="O122" s="1142"/>
      <c r="P122" s="1224"/>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24"/>
      <c r="Q123" s="1137"/>
    </row>
    <row r="124" spans="1:17">
      <c r="A124" s="724"/>
      <c r="B124" s="888" t="s">
        <v>2814</v>
      </c>
      <c r="C124" s="906" t="s">
        <v>1349</v>
      </c>
      <c r="D124" s="906" t="s">
        <v>1350</v>
      </c>
      <c r="E124" s="906" t="s">
        <v>1351</v>
      </c>
      <c r="F124" s="906" t="s">
        <v>1352</v>
      </c>
      <c r="G124" s="906" t="s">
        <v>1353</v>
      </c>
      <c r="H124" s="889"/>
      <c r="I124" s="889"/>
      <c r="J124" s="889"/>
      <c r="K124" s="930"/>
      <c r="L124" s="931"/>
      <c r="M124" s="932"/>
      <c r="N124" s="1142"/>
      <c r="O124" s="1142"/>
      <c r="P124" s="1227"/>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24"/>
      <c r="Q125" s="1137"/>
    </row>
    <row r="126" spans="1:17" s="633" customFormat="1">
      <c r="A126" s="729"/>
      <c r="B126" s="888">
        <f>B44</f>
        <v>111</v>
      </c>
      <c r="C126" s="896"/>
      <c r="D126" s="896"/>
      <c r="E126" s="896"/>
      <c r="F126" s="896"/>
      <c r="G126" s="896"/>
      <c r="H126" s="897"/>
      <c r="I126" s="897"/>
      <c r="J126" s="897"/>
      <c r="K126" s="897"/>
      <c r="L126" s="937"/>
      <c r="M126" s="938"/>
      <c r="N126" s="1145"/>
      <c r="O126" s="1145"/>
      <c r="P126" s="1227"/>
      <c r="Q126" s="1147"/>
    </row>
    <row r="127" spans="1:17" s="633" customFormat="1" ht="15">
      <c r="A127" s="895"/>
      <c r="B127" s="890"/>
      <c r="C127" s="898"/>
      <c r="D127" s="887"/>
      <c r="E127" s="887"/>
      <c r="F127" s="887"/>
      <c r="G127" s="898"/>
      <c r="H127" s="899"/>
      <c r="I127" s="899"/>
      <c r="J127" s="899"/>
      <c r="K127" s="899"/>
      <c r="L127" s="899"/>
      <c r="M127" s="940"/>
      <c r="N127" s="1145"/>
      <c r="O127" s="1145"/>
      <c r="P127" s="1227"/>
      <c r="Q127" s="1147"/>
    </row>
    <row r="128" spans="1:17">
      <c r="A128" s="724"/>
      <c r="B128" s="888">
        <f>B45</f>
        <v>111</v>
      </c>
      <c r="C128" s="896"/>
      <c r="D128" s="896"/>
      <c r="E128" s="896"/>
      <c r="F128" s="896"/>
      <c r="G128" s="910"/>
      <c r="H128" s="910"/>
      <c r="I128" s="910"/>
      <c r="J128" s="910"/>
      <c r="K128" s="955"/>
      <c r="L128" s="956"/>
      <c r="M128" s="957"/>
      <c r="N128" s="1142"/>
      <c r="O128" s="1142"/>
      <c r="P128" s="1224"/>
      <c r="Q128" s="1137"/>
    </row>
    <row r="129" spans="1:17" ht="15">
      <c r="A129" s="675"/>
      <c r="B129" s="890"/>
      <c r="C129" s="898"/>
      <c r="D129" s="898"/>
      <c r="E129" s="898"/>
      <c r="F129" s="898"/>
      <c r="G129" s="887"/>
      <c r="H129" s="887"/>
      <c r="I129" s="887"/>
      <c r="J129" s="887"/>
      <c r="K129" s="887"/>
      <c r="L129" s="887"/>
      <c r="M129" s="928"/>
      <c r="N129" s="1144"/>
      <c r="O129" s="1144"/>
      <c r="P129" s="1224"/>
      <c r="Q129" s="1137"/>
    </row>
    <row r="130" spans="1:17">
      <c r="A130" s="724"/>
      <c r="B130" s="892">
        <f>B46</f>
        <v>111</v>
      </c>
      <c r="C130" s="896"/>
      <c r="D130" s="896"/>
      <c r="E130" s="896"/>
      <c r="F130" s="896"/>
      <c r="G130" s="911"/>
      <c r="H130" s="911"/>
      <c r="I130" s="911"/>
      <c r="J130" s="911"/>
      <c r="K130" s="882"/>
      <c r="L130" s="920"/>
      <c r="M130" s="960"/>
      <c r="N130" s="1142"/>
      <c r="O130" s="1142"/>
      <c r="P130" s="1224"/>
      <c r="Q130" s="1137"/>
    </row>
    <row r="131" spans="1:17" ht="15">
      <c r="A131" s="685"/>
      <c r="B131" s="902"/>
      <c r="C131" s="903"/>
      <c r="D131" s="903"/>
      <c r="E131" s="903"/>
      <c r="F131" s="903"/>
      <c r="G131" s="912"/>
      <c r="H131" s="912"/>
      <c r="I131" s="912"/>
      <c r="J131" s="912"/>
      <c r="K131" s="912"/>
      <c r="L131" s="912"/>
      <c r="M131" s="961"/>
      <c r="N131" s="1144"/>
      <c r="O131" s="1144"/>
      <c r="P131" s="1224"/>
      <c r="Q131" s="1137"/>
    </row>
    <row r="136" spans="1:17">
      <c r="B136" s="1233" t="s">
        <v>2831</v>
      </c>
    </row>
    <row r="137" spans="1:17" ht="15">
      <c r="B137" s="1234" t="s">
        <v>2832</v>
      </c>
      <c r="C137" s="1235"/>
      <c r="D137" s="1235"/>
      <c r="E137" s="1235"/>
      <c r="F137" s="1235"/>
      <c r="G137" s="1236"/>
      <c r="H137" s="1237"/>
      <c r="I137" s="1260" t="s">
        <v>2833</v>
      </c>
      <c r="J137" s="1235"/>
      <c r="K137" s="1261"/>
    </row>
    <row r="138" spans="1:17" ht="15">
      <c r="B138" s="1238"/>
      <c r="C138" s="1239" t="s">
        <v>2834</v>
      </c>
      <c r="D138" s="1239" t="s">
        <v>2835</v>
      </c>
      <c r="E138" s="1240" t="s">
        <v>2836</v>
      </c>
      <c r="F138" s="1241" t="s">
        <v>2837</v>
      </c>
      <c r="G138" s="1239" t="s">
        <v>2835</v>
      </c>
      <c r="H138" s="1242" t="s">
        <v>2836</v>
      </c>
      <c r="I138" s="1262"/>
      <c r="J138" s="1239" t="s">
        <v>2838</v>
      </c>
      <c r="K138" s="1242" t="s">
        <v>2839</v>
      </c>
    </row>
    <row r="139" spans="1:17" ht="15">
      <c r="B139" s="1243">
        <v>6</v>
      </c>
      <c r="C139" s="1244">
        <v>96</v>
      </c>
      <c r="D139" s="1245" t="s">
        <v>2840</v>
      </c>
      <c r="E139" s="1246">
        <v>100</v>
      </c>
      <c r="F139" s="1247">
        <v>102.5</v>
      </c>
      <c r="G139" s="1245" t="s">
        <v>2840</v>
      </c>
      <c r="H139" s="1248">
        <v>105</v>
      </c>
      <c r="I139" s="1263" t="s">
        <v>2841</v>
      </c>
      <c r="J139" s="1244">
        <v>20</v>
      </c>
      <c r="K139" s="1264">
        <f>C145/(J139-2)</f>
        <v>4.0555555555555553E-3</v>
      </c>
    </row>
    <row r="140" spans="1:17" ht="15">
      <c r="B140" s="1249">
        <v>5</v>
      </c>
      <c r="C140" s="1250">
        <v>100</v>
      </c>
      <c r="D140" s="1250"/>
      <c r="E140" s="1251"/>
      <c r="F140" s="1252">
        <v>102</v>
      </c>
      <c r="G140" s="1250"/>
      <c r="H140" s="1253"/>
      <c r="I140" s="1265" t="s">
        <v>2842</v>
      </c>
      <c r="J140" s="419">
        <f>ROUNDUP((J139-1)/2,0)</f>
        <v>10</v>
      </c>
      <c r="K140" s="1266">
        <v>100</v>
      </c>
    </row>
    <row r="141" spans="1:17" ht="15">
      <c r="B141" s="1249">
        <v>4</v>
      </c>
      <c r="C141" s="1250">
        <v>102</v>
      </c>
      <c r="D141" s="1250"/>
      <c r="E141" s="1251"/>
      <c r="F141" s="1252">
        <v>101.5</v>
      </c>
      <c r="G141" s="1250"/>
      <c r="H141" s="1253"/>
      <c r="I141" s="1265" t="s">
        <v>2843</v>
      </c>
      <c r="J141" s="419">
        <v>1</v>
      </c>
      <c r="K141" s="1267">
        <f>ROUND(100+(J141-J140)*K139*100,1)</f>
        <v>96.4</v>
      </c>
    </row>
    <row r="142" spans="1:17" ht="15">
      <c r="B142" s="1249">
        <v>3</v>
      </c>
      <c r="C142" s="1250">
        <v>103</v>
      </c>
      <c r="D142" s="1250"/>
      <c r="E142" s="1251"/>
      <c r="F142" s="1252">
        <v>101</v>
      </c>
      <c r="G142" s="1250"/>
      <c r="H142" s="1253"/>
      <c r="I142" s="1265" t="s">
        <v>2844</v>
      </c>
      <c r="J142" s="419">
        <f>J139</f>
        <v>20</v>
      </c>
      <c r="K142" s="1268">
        <v>95</v>
      </c>
    </row>
    <row r="143" spans="1:17" ht="15">
      <c r="B143" s="1249">
        <v>2</v>
      </c>
      <c r="C143" s="1250">
        <v>100</v>
      </c>
      <c r="D143" s="1250"/>
      <c r="E143" s="1251"/>
      <c r="F143" s="1252">
        <v>100.5</v>
      </c>
      <c r="G143" s="1250"/>
      <c r="H143" s="1253"/>
      <c r="I143" s="1265" t="s">
        <v>2845</v>
      </c>
      <c r="J143" s="1250">
        <v>15</v>
      </c>
      <c r="K143" s="1267">
        <f>ROUND(100+(J143-J140)*K139*100,1)</f>
        <v>102</v>
      </c>
    </row>
    <row r="144" spans="1:17" ht="15">
      <c r="B144" s="1249">
        <v>1</v>
      </c>
      <c r="C144" s="1250">
        <v>98</v>
      </c>
      <c r="D144" s="1254" t="s">
        <v>2846</v>
      </c>
      <c r="E144" s="1251">
        <v>102</v>
      </c>
      <c r="F144" s="1255">
        <v>100</v>
      </c>
      <c r="G144" s="1254" t="s">
        <v>2846</v>
      </c>
      <c r="H144" s="1253">
        <v>105</v>
      </c>
      <c r="I144" s="1265" t="s">
        <v>2845</v>
      </c>
      <c r="J144" s="1250">
        <v>18</v>
      </c>
      <c r="K144" s="1267">
        <f>ROUND(100+(J144-J140)*K139*100,1)</f>
        <v>103.2</v>
      </c>
    </row>
    <row r="145" spans="2:11" ht="15">
      <c r="B145" s="1256" t="s">
        <v>2847</v>
      </c>
      <c r="C145" s="1257">
        <f>ROUND(MAX(C139:C144)/MIN(C139:C144)-1,3)</f>
        <v>7.2999999999999995E-2</v>
      </c>
      <c r="D145" s="1258"/>
      <c r="E145" s="1258"/>
      <c r="F145" s="1259" t="s">
        <v>2848</v>
      </c>
      <c r="G145" s="1164"/>
      <c r="H145" s="1167"/>
      <c r="I145" s="1269" t="s">
        <v>2845</v>
      </c>
      <c r="J145" s="1270">
        <v>8</v>
      </c>
      <c r="K145" s="1271">
        <f>ROUND(100+(J145-J140)*K139*100,1)</f>
        <v>99.2</v>
      </c>
    </row>
    <row r="147" spans="2:11">
      <c r="B147" s="1233" t="s">
        <v>2849</v>
      </c>
    </row>
    <row r="148" spans="2:11">
      <c r="B148" s="1233" t="s">
        <v>2850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2765</v>
      </c>
      <c r="B1" s="1173" t="s">
        <v>2851</v>
      </c>
      <c r="C1" s="1045" t="s">
        <v>2767</v>
      </c>
      <c r="D1" s="1004"/>
      <c r="E1" s="1174"/>
      <c r="F1" s="1006"/>
      <c r="G1" s="1007" t="s">
        <v>2768</v>
      </c>
      <c r="H1" s="1008"/>
      <c r="I1" s="1008"/>
      <c r="J1" s="1008"/>
      <c r="K1" s="1043"/>
      <c r="L1" s="1044"/>
      <c r="M1" s="1045"/>
      <c r="N1" s="1045"/>
      <c r="O1" s="1045"/>
      <c r="P1" s="1177"/>
      <c r="Q1" s="1186"/>
      <c r="R1" s="1186"/>
      <c r="S1" s="1186"/>
      <c r="T1" s="1186"/>
      <c r="U1" s="1186"/>
      <c r="V1" s="1186"/>
      <c r="W1" s="1186"/>
      <c r="X1" s="1186"/>
      <c r="Y1" s="1186"/>
      <c r="Z1" s="1186"/>
      <c r="AA1" s="1186"/>
      <c r="AB1" s="1186"/>
      <c r="AC1" s="1187"/>
    </row>
    <row r="2" spans="1:29" s="630" customFormat="1" ht="28.5" customHeight="1">
      <c r="A2" s="1009" t="s">
        <v>1028</v>
      </c>
      <c r="B2" s="1010"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1029</v>
      </c>
      <c r="F2" s="1013"/>
      <c r="G2" s="646"/>
      <c r="H2" s="646"/>
      <c r="I2" s="646"/>
      <c r="J2" s="646"/>
      <c r="K2" s="646"/>
      <c r="L2" s="800"/>
      <c r="M2" s="801"/>
      <c r="N2" s="801"/>
      <c r="O2" s="801"/>
      <c r="P2" s="1178"/>
      <c r="Q2" s="1120"/>
      <c r="R2" s="1120"/>
      <c r="S2" s="1120"/>
      <c r="T2" s="1120"/>
      <c r="U2" s="1120"/>
      <c r="V2" s="1120"/>
      <c r="W2" s="1120"/>
      <c r="X2" s="1120"/>
      <c r="Y2" s="1120"/>
      <c r="Z2" s="1120"/>
      <c r="AA2" s="1120"/>
      <c r="AB2" s="1120"/>
      <c r="AC2" s="1154"/>
    </row>
    <row r="3" spans="1:29" s="630" customFormat="1" ht="28.5" customHeight="1">
      <c r="A3" s="348" t="s">
        <v>1030</v>
      </c>
      <c r="B3" s="648">
        <f>IF(C2="——",C49,ROUND(B2*10000/D3,0))</f>
        <v>0</v>
      </c>
      <c r="C3" s="1014" t="s">
        <v>1187</v>
      </c>
      <c r="D3" s="1015">
        <f>IF(D1="",'数据-汇总表'!E3,SUMIF('数据-汇总表'!$C19:$C33,D1,'数据-汇总表'!$E19:$E33))</f>
        <v>596993.59</v>
      </c>
      <c r="E3" s="1154"/>
      <c r="F3" s="647"/>
      <c r="G3" s="646"/>
      <c r="H3" s="646"/>
      <c r="I3" s="646"/>
      <c r="J3" s="646"/>
      <c r="K3" s="799"/>
      <c r="L3" s="800"/>
      <c r="M3" s="801"/>
      <c r="N3" s="801"/>
      <c r="O3" s="801"/>
      <c r="P3" s="1178"/>
      <c r="Q3" s="1120"/>
      <c r="R3" s="1120"/>
      <c r="S3" s="1120"/>
      <c r="T3" s="1120"/>
      <c r="U3" s="1120"/>
      <c r="V3" s="1120"/>
      <c r="W3" s="1120"/>
      <c r="X3" s="1120"/>
      <c r="Y3" s="1120"/>
      <c r="Z3" s="1120"/>
      <c r="AA3" s="1120"/>
      <c r="AB3" s="1120"/>
      <c r="AC3" s="1154"/>
    </row>
    <row r="4" spans="1:29" ht="15">
      <c r="A4" s="650" t="s">
        <v>2769</v>
      </c>
      <c r="B4" s="651"/>
      <c r="C4" s="3543" t="s">
        <v>2770</v>
      </c>
      <c r="D4" s="3544"/>
      <c r="E4" s="3545" t="s">
        <v>2771</v>
      </c>
      <c r="F4" s="3546"/>
      <c r="G4" s="3543" t="s">
        <v>2772</v>
      </c>
      <c r="H4" s="3544"/>
      <c r="I4" s="3543" t="s">
        <v>2773</v>
      </c>
      <c r="J4" s="3544"/>
      <c r="K4" s="802" t="s">
        <v>2774</v>
      </c>
      <c r="L4" s="803"/>
      <c r="M4" s="748"/>
      <c r="N4" s="748"/>
      <c r="O4" s="748"/>
      <c r="P4" s="3576" t="s">
        <v>2775</v>
      </c>
      <c r="Q4" s="3577"/>
      <c r="R4" s="3582" t="s">
        <v>2771</v>
      </c>
      <c r="S4" s="3583"/>
      <c r="T4" s="3582" t="s">
        <v>2772</v>
      </c>
      <c r="U4" s="3583"/>
      <c r="V4" s="3559" t="s">
        <v>2773</v>
      </c>
      <c r="W4" s="3559"/>
      <c r="X4" s="852"/>
      <c r="Y4" s="3582" t="s">
        <v>2775</v>
      </c>
      <c r="Z4" s="3583"/>
      <c r="AA4" s="3573" t="s">
        <v>2771</v>
      </c>
      <c r="AB4" s="3559" t="s">
        <v>2772</v>
      </c>
      <c r="AC4" s="3573" t="s">
        <v>2773</v>
      </c>
    </row>
    <row r="5" spans="1:29" ht="15">
      <c r="A5" s="654"/>
      <c r="B5" s="655"/>
      <c r="C5" s="3547" t="s">
        <v>2776</v>
      </c>
      <c r="D5" s="3548"/>
      <c r="E5" s="3549" t="s">
        <v>2777</v>
      </c>
      <c r="F5" s="3550"/>
      <c r="G5" s="3547" t="s">
        <v>2778</v>
      </c>
      <c r="H5" s="3548"/>
      <c r="I5" s="3547" t="s">
        <v>2779</v>
      </c>
      <c r="J5" s="3548"/>
      <c r="K5" s="802"/>
      <c r="L5" s="803"/>
      <c r="M5" s="748"/>
      <c r="N5" s="748"/>
      <c r="O5" s="748"/>
      <c r="P5" s="3578"/>
      <c r="Q5" s="3579"/>
      <c r="R5" s="3584"/>
      <c r="S5" s="3585"/>
      <c r="T5" s="3584"/>
      <c r="U5" s="3585"/>
      <c r="V5" s="3559"/>
      <c r="W5" s="3559"/>
      <c r="X5" s="852"/>
      <c r="Y5" s="3584"/>
      <c r="Z5" s="3585"/>
      <c r="AA5" s="3574"/>
      <c r="AB5" s="3559"/>
      <c r="AC5" s="3574"/>
    </row>
    <row r="6" spans="1:29" ht="15">
      <c r="A6" s="656"/>
      <c r="B6" s="657"/>
      <c r="C6" s="3551" t="s">
        <v>2780</v>
      </c>
      <c r="D6" s="3552"/>
      <c r="E6" s="3553" t="s">
        <v>2780</v>
      </c>
      <c r="F6" s="3554"/>
      <c r="G6" s="3551" t="s">
        <v>2780</v>
      </c>
      <c r="H6" s="3552"/>
      <c r="I6" s="3551" t="s">
        <v>2780</v>
      </c>
      <c r="J6" s="3552"/>
      <c r="K6" s="802" t="s">
        <v>2781</v>
      </c>
      <c r="L6" s="803"/>
      <c r="M6" s="748"/>
      <c r="N6" s="748"/>
      <c r="O6" s="748"/>
      <c r="P6" s="3580"/>
      <c r="Q6" s="3581"/>
      <c r="R6" s="3584"/>
      <c r="S6" s="3585"/>
      <c r="T6" s="3586"/>
      <c r="U6" s="3587"/>
      <c r="V6" s="3559"/>
      <c r="W6" s="3559"/>
      <c r="X6" s="852"/>
      <c r="Y6" s="3586"/>
      <c r="Z6" s="3587"/>
      <c r="AA6" s="3575"/>
      <c r="AB6" s="3559"/>
      <c r="AC6" s="3575"/>
    </row>
    <row r="7" spans="1:29" s="631" customFormat="1" ht="15">
      <c r="A7" s="659" t="s">
        <v>2782</v>
      </c>
      <c r="B7" s="660"/>
      <c r="C7" s="661">
        <f>'数据-取费表'!B2</f>
        <v>45798</v>
      </c>
      <c r="D7" s="662">
        <v>100</v>
      </c>
      <c r="E7" s="663"/>
      <c r="F7" s="664">
        <f>SUMIF(58:58,YEAR(E7)&amp;"-"&amp;MONTH(E7),59:59)</f>
        <v>0</v>
      </c>
      <c r="G7" s="663"/>
      <c r="H7" s="662">
        <f>SUMIF(58:58,YEAR(G7)&amp;"-"&amp;MONTH(G7),59:59)</f>
        <v>0</v>
      </c>
      <c r="I7" s="663"/>
      <c r="J7" s="662">
        <f>SUMIF(58:58,YEAR(I7)&amp;"-"&amp;MONTH(I7),59:59)</f>
        <v>0</v>
      </c>
      <c r="K7" s="807"/>
      <c r="L7" s="808"/>
      <c r="M7" s="809"/>
      <c r="N7" s="809"/>
      <c r="O7" s="809"/>
      <c r="P7" s="3555" t="s">
        <v>2783</v>
      </c>
      <c r="Q7" s="3556"/>
      <c r="R7" s="853" t="s">
        <v>2784</v>
      </c>
      <c r="S7" s="854">
        <f t="shared" ref="S7:S15" si="0">F7</f>
        <v>0</v>
      </c>
      <c r="T7" s="853" t="s">
        <v>2784</v>
      </c>
      <c r="U7" s="854">
        <f t="shared" ref="U7:U15" si="1">H7</f>
        <v>0</v>
      </c>
      <c r="V7" s="853" t="s">
        <v>2784</v>
      </c>
      <c r="W7" s="854">
        <f t="shared" ref="W7:W15" si="2">J7</f>
        <v>0</v>
      </c>
      <c r="X7" s="855"/>
      <c r="Y7" s="3555" t="s">
        <v>2783</v>
      </c>
      <c r="Z7" s="3557"/>
      <c r="AA7" s="866" t="e">
        <f>D7/F7</f>
        <v>#DIV/0!</v>
      </c>
      <c r="AB7" s="866" t="e">
        <f>D7/H7</f>
        <v>#DIV/0!</v>
      </c>
      <c r="AC7" s="866" t="e">
        <f>D7/J7</f>
        <v>#DIV/0!</v>
      </c>
    </row>
    <row r="8" spans="1:29" s="631" customFormat="1" ht="15">
      <c r="A8" s="659" t="s">
        <v>2785</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555" t="s">
        <v>2786</v>
      </c>
      <c r="Q8" s="3557"/>
      <c r="R8" s="853" t="s">
        <v>2784</v>
      </c>
      <c r="S8" s="854">
        <f t="shared" si="0"/>
        <v>100</v>
      </c>
      <c r="T8" s="853" t="s">
        <v>2784</v>
      </c>
      <c r="U8" s="854">
        <f t="shared" si="1"/>
        <v>100</v>
      </c>
      <c r="V8" s="853" t="s">
        <v>2784</v>
      </c>
      <c r="W8" s="854">
        <f t="shared" si="2"/>
        <v>100</v>
      </c>
      <c r="X8" s="855"/>
      <c r="Y8" s="3555" t="s">
        <v>2786</v>
      </c>
      <c r="Z8" s="3557"/>
      <c r="AA8" s="866">
        <f t="shared" ref="AA8:AA46" si="3">D8/F8</f>
        <v>1</v>
      </c>
      <c r="AB8" s="866">
        <f t="shared" ref="AB8:AB46" si="4">D8/H8</f>
        <v>1</v>
      </c>
      <c r="AC8" s="866">
        <f t="shared" ref="AC8:AC46" si="5">D8/J8</f>
        <v>1</v>
      </c>
    </row>
    <row r="9" spans="1:29" s="631" customFormat="1">
      <c r="A9" s="667" t="s">
        <v>2787</v>
      </c>
      <c r="B9" s="668" t="s">
        <v>2788</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560" t="s">
        <v>2789</v>
      </c>
      <c r="Q9" s="857" t="str">
        <f t="shared" ref="Q9:Q15" si="6">B9</f>
        <v>用途</v>
      </c>
      <c r="R9" s="853" t="s">
        <v>2784</v>
      </c>
      <c r="S9" s="854">
        <f t="shared" si="0"/>
        <v>100</v>
      </c>
      <c r="T9" s="853" t="s">
        <v>2784</v>
      </c>
      <c r="U9" s="854">
        <f t="shared" si="1"/>
        <v>100</v>
      </c>
      <c r="V9" s="853" t="s">
        <v>2784</v>
      </c>
      <c r="W9" s="854">
        <f t="shared" si="2"/>
        <v>100</v>
      </c>
      <c r="X9" s="855"/>
      <c r="Y9" s="3465" t="s">
        <v>2790</v>
      </c>
      <c r="Z9" s="866" t="str">
        <f t="shared" ref="Z9:Z15" si="7">Q9</f>
        <v>用途</v>
      </c>
      <c r="AA9" s="866">
        <f t="shared" si="3"/>
        <v>1</v>
      </c>
      <c r="AB9" s="866">
        <f t="shared" si="4"/>
        <v>1</v>
      </c>
      <c r="AC9" s="866">
        <f t="shared" si="5"/>
        <v>1</v>
      </c>
    </row>
    <row r="10" spans="1:29" s="632" customFormat="1" ht="27">
      <c r="A10" s="671"/>
      <c r="B10" s="672" t="s">
        <v>2791</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560"/>
      <c r="Q10" s="857" t="str">
        <f t="shared" si="6"/>
        <v>土地使用年限（年）</v>
      </c>
      <c r="R10" s="853" t="s">
        <v>2784</v>
      </c>
      <c r="S10" s="854">
        <f t="shared" si="0"/>
        <v>100</v>
      </c>
      <c r="T10" s="853" t="s">
        <v>2784</v>
      </c>
      <c r="U10" s="854">
        <f t="shared" si="1"/>
        <v>100</v>
      </c>
      <c r="V10" s="853" t="s">
        <v>2784</v>
      </c>
      <c r="W10" s="854">
        <f t="shared" si="2"/>
        <v>100</v>
      </c>
      <c r="X10" s="855"/>
      <c r="Y10" s="3465"/>
      <c r="Z10" s="866" t="str">
        <f t="shared" si="7"/>
        <v>土地使用年限（年）</v>
      </c>
      <c r="AA10" s="866">
        <f t="shared" si="3"/>
        <v>1</v>
      </c>
      <c r="AB10" s="866">
        <f t="shared" si="4"/>
        <v>1</v>
      </c>
      <c r="AC10" s="866">
        <f t="shared" si="5"/>
        <v>1</v>
      </c>
    </row>
    <row r="11" spans="1:29" ht="15">
      <c r="A11" s="675"/>
      <c r="B11" s="672" t="s">
        <v>2792</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560"/>
      <c r="Q11" s="857" t="str">
        <f t="shared" si="6"/>
        <v>容积率</v>
      </c>
      <c r="R11" s="853" t="s">
        <v>2784</v>
      </c>
      <c r="S11" s="854" t="e">
        <f t="shared" si="0"/>
        <v>#N/A</v>
      </c>
      <c r="T11" s="853" t="s">
        <v>2784</v>
      </c>
      <c r="U11" s="854" t="e">
        <f t="shared" si="1"/>
        <v>#N/A</v>
      </c>
      <c r="V11" s="853" t="s">
        <v>2784</v>
      </c>
      <c r="W11" s="854" t="e">
        <f t="shared" si="2"/>
        <v>#N/A</v>
      </c>
      <c r="X11" s="855"/>
      <c r="Y11" s="3465"/>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560"/>
      <c r="Q12" s="857">
        <f t="shared" si="6"/>
        <v>111</v>
      </c>
      <c r="R12" s="853" t="s">
        <v>2784</v>
      </c>
      <c r="S12" s="854">
        <f t="shared" si="0"/>
        <v>100</v>
      </c>
      <c r="T12" s="853" t="s">
        <v>2784</v>
      </c>
      <c r="U12" s="854">
        <f t="shared" si="1"/>
        <v>100</v>
      </c>
      <c r="V12" s="853" t="s">
        <v>2784</v>
      </c>
      <c r="W12" s="854">
        <f t="shared" si="2"/>
        <v>100</v>
      </c>
      <c r="X12" s="855"/>
      <c r="Y12" s="3465"/>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560"/>
      <c r="Q13" s="857">
        <f t="shared" si="6"/>
        <v>111</v>
      </c>
      <c r="R13" s="853" t="s">
        <v>2784</v>
      </c>
      <c r="S13" s="854">
        <f t="shared" si="0"/>
        <v>100</v>
      </c>
      <c r="T13" s="853" t="s">
        <v>2784</v>
      </c>
      <c r="U13" s="854">
        <f t="shared" si="1"/>
        <v>100</v>
      </c>
      <c r="V13" s="853" t="s">
        <v>2784</v>
      </c>
      <c r="W13" s="854">
        <f t="shared" si="2"/>
        <v>100</v>
      </c>
      <c r="X13" s="855"/>
      <c r="Y13" s="3465"/>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560"/>
      <c r="Q14" s="857">
        <f t="shared" si="6"/>
        <v>111</v>
      </c>
      <c r="R14" s="853" t="s">
        <v>2784</v>
      </c>
      <c r="S14" s="854">
        <f t="shared" si="0"/>
        <v>100</v>
      </c>
      <c r="T14" s="853" t="s">
        <v>2784</v>
      </c>
      <c r="U14" s="854">
        <f t="shared" si="1"/>
        <v>100</v>
      </c>
      <c r="V14" s="853" t="s">
        <v>2784</v>
      </c>
      <c r="W14" s="854">
        <f t="shared" si="2"/>
        <v>100</v>
      </c>
      <c r="X14" s="855"/>
      <c r="Y14" s="3465"/>
      <c r="Z14" s="866">
        <f t="shared" si="7"/>
        <v>111</v>
      </c>
      <c r="AA14" s="866">
        <f t="shared" si="3"/>
        <v>1</v>
      </c>
      <c r="AB14" s="866">
        <f t="shared" si="4"/>
        <v>1</v>
      </c>
      <c r="AC14" s="866">
        <f t="shared" si="5"/>
        <v>1</v>
      </c>
    </row>
    <row r="15" spans="1:29" ht="71.25">
      <c r="A15" s="689" t="s">
        <v>2793</v>
      </c>
      <c r="B15" s="972" t="s">
        <v>2852</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561" t="s">
        <v>2795</v>
      </c>
      <c r="Q15" s="771" t="str">
        <f t="shared" si="6"/>
        <v>商业繁华度</v>
      </c>
      <c r="R15" s="858" t="s">
        <v>2784</v>
      </c>
      <c r="S15" s="859">
        <f t="shared" si="0"/>
        <v>100</v>
      </c>
      <c r="T15" s="858" t="s">
        <v>2784</v>
      </c>
      <c r="U15" s="859">
        <f t="shared" si="1"/>
        <v>100</v>
      </c>
      <c r="V15" s="858" t="s">
        <v>2784</v>
      </c>
      <c r="W15" s="859">
        <f t="shared" si="2"/>
        <v>100</v>
      </c>
      <c r="X15" s="852"/>
      <c r="Y15" s="3566" t="s">
        <v>2795</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562"/>
      <c r="Q16" s="771"/>
      <c r="R16" s="858"/>
      <c r="S16" s="859"/>
      <c r="T16" s="858"/>
      <c r="U16" s="859"/>
      <c r="V16" s="858"/>
      <c r="W16" s="859"/>
      <c r="X16" s="852"/>
      <c r="Y16" s="3567"/>
      <c r="Z16" s="840"/>
      <c r="AA16" s="840">
        <v>1</v>
      </c>
      <c r="AB16" s="840">
        <v>1</v>
      </c>
      <c r="AC16" s="840">
        <v>1</v>
      </c>
    </row>
    <row r="17" spans="1:29" ht="85.5">
      <c r="A17" s="675"/>
      <c r="B17" s="974" t="s">
        <v>2796</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562"/>
      <c r="Q17" s="771" t="str">
        <f>B17</f>
        <v>交通便捷度</v>
      </c>
      <c r="R17" s="858" t="s">
        <v>2784</v>
      </c>
      <c r="S17" s="859">
        <f>F17</f>
        <v>100</v>
      </c>
      <c r="T17" s="858" t="s">
        <v>2784</v>
      </c>
      <c r="U17" s="859">
        <f>H17</f>
        <v>100</v>
      </c>
      <c r="V17" s="858" t="s">
        <v>2784</v>
      </c>
      <c r="W17" s="859">
        <f>J17</f>
        <v>100</v>
      </c>
      <c r="X17" s="852"/>
      <c r="Y17" s="3567"/>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562"/>
      <c r="Q18" s="771"/>
      <c r="R18" s="858"/>
      <c r="S18" s="859"/>
      <c r="T18" s="858"/>
      <c r="U18" s="859"/>
      <c r="V18" s="858"/>
      <c r="W18" s="859"/>
      <c r="X18" s="852"/>
      <c r="Y18" s="3567"/>
      <c r="Z18" s="840"/>
      <c r="AA18" s="840">
        <v>1</v>
      </c>
      <c r="AB18" s="840">
        <v>1</v>
      </c>
      <c r="AC18" s="840">
        <v>1</v>
      </c>
    </row>
    <row r="19" spans="1:29" ht="42.75">
      <c r="A19" s="675"/>
      <c r="B19" s="974" t="s">
        <v>2797</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562"/>
      <c r="Q19" s="771" t="str">
        <f>B19</f>
        <v>公共配套设施</v>
      </c>
      <c r="R19" s="858" t="s">
        <v>2784</v>
      </c>
      <c r="S19" s="859">
        <f>F19</f>
        <v>100</v>
      </c>
      <c r="T19" s="858" t="s">
        <v>2784</v>
      </c>
      <c r="U19" s="859">
        <f>H19</f>
        <v>100</v>
      </c>
      <c r="V19" s="858" t="s">
        <v>2784</v>
      </c>
      <c r="W19" s="859">
        <f>J19</f>
        <v>100</v>
      </c>
      <c r="X19" s="852"/>
      <c r="Y19" s="3567"/>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562"/>
      <c r="Q20" s="771"/>
      <c r="R20" s="858"/>
      <c r="S20" s="859"/>
      <c r="T20" s="858"/>
      <c r="U20" s="859"/>
      <c r="V20" s="858"/>
      <c r="W20" s="859"/>
      <c r="X20" s="852"/>
      <c r="Y20" s="3567"/>
      <c r="Z20" s="840"/>
      <c r="AA20" s="840">
        <v>1</v>
      </c>
      <c r="AB20" s="840">
        <v>1</v>
      </c>
      <c r="AC20" s="840">
        <v>1</v>
      </c>
    </row>
    <row r="21" spans="1:29" ht="28.5">
      <c r="A21" s="675"/>
      <c r="B21" s="979" t="s">
        <v>2798</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562"/>
      <c r="Q21" s="771" t="str">
        <f>B21</f>
        <v>基础设施水平</v>
      </c>
      <c r="R21" s="858" t="s">
        <v>2784</v>
      </c>
      <c r="S21" s="859">
        <f>F21</f>
        <v>100</v>
      </c>
      <c r="T21" s="858" t="s">
        <v>2784</v>
      </c>
      <c r="U21" s="859">
        <f>H21</f>
        <v>100</v>
      </c>
      <c r="V21" s="858" t="s">
        <v>2784</v>
      </c>
      <c r="W21" s="859">
        <f>J21</f>
        <v>100</v>
      </c>
      <c r="X21" s="852"/>
      <c r="Y21" s="3567"/>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562"/>
      <c r="Q22" s="771"/>
      <c r="R22" s="858"/>
      <c r="S22" s="859"/>
      <c r="T22" s="858"/>
      <c r="U22" s="859"/>
      <c r="V22" s="858"/>
      <c r="W22" s="859"/>
      <c r="X22" s="852"/>
      <c r="Y22" s="3567"/>
      <c r="Z22" s="840"/>
      <c r="AA22" s="840">
        <v>1</v>
      </c>
      <c r="AB22" s="840">
        <v>1</v>
      </c>
      <c r="AC22" s="840">
        <v>1</v>
      </c>
    </row>
    <row r="23" spans="1:29" ht="57">
      <c r="A23" s="675"/>
      <c r="B23" s="974" t="s">
        <v>2799</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562"/>
      <c r="Q23" s="771" t="str">
        <f>B23</f>
        <v>自然及人文环境</v>
      </c>
      <c r="R23" s="858" t="s">
        <v>2784</v>
      </c>
      <c r="S23" s="859">
        <f>F23</f>
        <v>100</v>
      </c>
      <c r="T23" s="858" t="s">
        <v>2784</v>
      </c>
      <c r="U23" s="859">
        <f>H23</f>
        <v>100</v>
      </c>
      <c r="V23" s="858" t="s">
        <v>2784</v>
      </c>
      <c r="W23" s="859">
        <f>J23</f>
        <v>100</v>
      </c>
      <c r="X23" s="852"/>
      <c r="Y23" s="3567"/>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562"/>
      <c r="Q24" s="771"/>
      <c r="R24" s="858"/>
      <c r="S24" s="859"/>
      <c r="T24" s="858"/>
      <c r="U24" s="859"/>
      <c r="V24" s="858"/>
      <c r="W24" s="859"/>
      <c r="X24" s="852"/>
      <c r="Y24" s="3567"/>
      <c r="Z24" s="840"/>
      <c r="AA24" s="840">
        <v>1</v>
      </c>
      <c r="AB24" s="840">
        <v>1</v>
      </c>
      <c r="AC24" s="840">
        <v>1</v>
      </c>
    </row>
    <row r="25" spans="1:29" ht="15">
      <c r="A25" s="675"/>
      <c r="B25" s="672" t="s">
        <v>2853</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562"/>
      <c r="Q25" s="771" t="str">
        <f t="shared" ref="Q25:Q46" si="11">B25</f>
        <v>临街状况</v>
      </c>
      <c r="R25" s="858" t="s">
        <v>2784</v>
      </c>
      <c r="S25" s="859">
        <f>F25</f>
        <v>100</v>
      </c>
      <c r="T25" s="858" t="s">
        <v>2784</v>
      </c>
      <c r="U25" s="859">
        <f>H25</f>
        <v>100</v>
      </c>
      <c r="V25" s="858" t="s">
        <v>2784</v>
      </c>
      <c r="W25" s="859">
        <f>J25</f>
        <v>100</v>
      </c>
      <c r="X25" s="852"/>
      <c r="Y25" s="3567"/>
      <c r="Z25" s="840" t="str">
        <f>Q25</f>
        <v>临街状况</v>
      </c>
      <c r="AA25" s="840">
        <f t="shared" si="3"/>
        <v>1</v>
      </c>
      <c r="AB25" s="840">
        <f t="shared" si="4"/>
        <v>1</v>
      </c>
      <c r="AC25" s="840">
        <f t="shared" si="5"/>
        <v>1</v>
      </c>
    </row>
    <row r="26" spans="1:29" ht="15">
      <c r="A26" s="675"/>
      <c r="B26" s="917" t="s">
        <v>2854</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562"/>
      <c r="Q26" s="771" t="str">
        <f t="shared" si="11"/>
        <v>平面位置/可视性</v>
      </c>
      <c r="R26" s="858" t="s">
        <v>2784</v>
      </c>
      <c r="S26" s="859">
        <f>F26</f>
        <v>100</v>
      </c>
      <c r="T26" s="858" t="s">
        <v>2784</v>
      </c>
      <c r="U26" s="859">
        <f>H26</f>
        <v>100</v>
      </c>
      <c r="V26" s="858" t="s">
        <v>2784</v>
      </c>
      <c r="W26" s="859">
        <f>J26</f>
        <v>100</v>
      </c>
      <c r="X26" s="852"/>
      <c r="Y26" s="3567"/>
      <c r="Z26" s="840" t="str">
        <f>Q26</f>
        <v>平面位置/可视性</v>
      </c>
      <c r="AA26" s="840">
        <f t="shared" si="3"/>
        <v>1</v>
      </c>
      <c r="AB26" s="840">
        <f t="shared" si="4"/>
        <v>1</v>
      </c>
      <c r="AC26" s="840">
        <f t="shared" si="5"/>
        <v>1</v>
      </c>
    </row>
    <row r="27" spans="1:29" s="631" customFormat="1" ht="15">
      <c r="A27" s="678"/>
      <c r="B27" s="974" t="s">
        <v>2855</v>
      </c>
      <c r="C27" s="1160"/>
      <c r="D27" s="703">
        <v>100</v>
      </c>
      <c r="E27" s="1160"/>
      <c r="F27" s="722">
        <f>SUMIF(90:90,E27,91:91)-SUMIF(90:90,C27,91:91)+100</f>
        <v>100</v>
      </c>
      <c r="G27" s="1160"/>
      <c r="H27" s="703">
        <f>SUMIF(90:90,G27,91:91)-SUMIF(90:90,C27,91:91)+100</f>
        <v>100</v>
      </c>
      <c r="I27" s="1160"/>
      <c r="J27" s="703">
        <f>SUMIF(90:90,I27,91:91)-SUMIF(90:90,C27,91:91)+100</f>
        <v>100</v>
      </c>
      <c r="K27" s="826"/>
      <c r="L27" s="808"/>
      <c r="M27" s="809"/>
      <c r="N27" s="809"/>
      <c r="O27" s="809"/>
      <c r="P27" s="3562"/>
      <c r="Q27" s="857" t="str">
        <f t="shared" si="11"/>
        <v>人流量</v>
      </c>
      <c r="R27" s="853" t="s">
        <v>2784</v>
      </c>
      <c r="S27" s="854">
        <f>F27</f>
        <v>100</v>
      </c>
      <c r="T27" s="853" t="s">
        <v>2784</v>
      </c>
      <c r="U27" s="854">
        <f>H27</f>
        <v>100</v>
      </c>
      <c r="V27" s="853" t="s">
        <v>2784</v>
      </c>
      <c r="W27" s="854">
        <f>J27</f>
        <v>100</v>
      </c>
      <c r="X27" s="855"/>
      <c r="Y27" s="3567"/>
      <c r="Z27" s="866" t="str">
        <f>Q27</f>
        <v>人流量</v>
      </c>
      <c r="AA27" s="840">
        <f t="shared" si="3"/>
        <v>1</v>
      </c>
      <c r="AB27" s="840">
        <f t="shared" si="4"/>
        <v>1</v>
      </c>
      <c r="AC27" s="840">
        <f t="shared" si="5"/>
        <v>1</v>
      </c>
    </row>
    <row r="28" spans="1:29" ht="15">
      <c r="A28" s="675"/>
      <c r="B28" s="672" t="s">
        <v>2856</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562"/>
      <c r="Q28" s="771" t="str">
        <f t="shared" si="11"/>
        <v>楼层</v>
      </c>
      <c r="R28" s="858" t="s">
        <v>2784</v>
      </c>
      <c r="S28" s="859">
        <f t="shared" ref="S28:S46" si="12">F28</f>
        <v>100</v>
      </c>
      <c r="T28" s="858" t="s">
        <v>2784</v>
      </c>
      <c r="U28" s="859">
        <f t="shared" ref="U28:U46" si="13">H28</f>
        <v>100</v>
      </c>
      <c r="V28" s="858" t="s">
        <v>2784</v>
      </c>
      <c r="W28" s="859">
        <f t="shared" ref="W28:W46" si="14">J28</f>
        <v>100</v>
      </c>
      <c r="X28" s="852"/>
      <c r="Y28" s="3567"/>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562"/>
      <c r="Q29" s="771">
        <f t="shared" si="11"/>
        <v>111</v>
      </c>
      <c r="R29" s="858" t="s">
        <v>2784</v>
      </c>
      <c r="S29" s="859">
        <f t="shared" si="12"/>
        <v>100</v>
      </c>
      <c r="T29" s="858" t="s">
        <v>2784</v>
      </c>
      <c r="U29" s="859">
        <f t="shared" si="13"/>
        <v>100</v>
      </c>
      <c r="V29" s="858" t="s">
        <v>2784</v>
      </c>
      <c r="W29" s="859">
        <f t="shared" si="14"/>
        <v>100</v>
      </c>
      <c r="X29" s="852"/>
      <c r="Y29" s="3567"/>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562"/>
      <c r="Q30" s="771">
        <f t="shared" si="11"/>
        <v>111</v>
      </c>
      <c r="R30" s="858" t="s">
        <v>2784</v>
      </c>
      <c r="S30" s="859">
        <f t="shared" si="12"/>
        <v>100</v>
      </c>
      <c r="T30" s="858" t="s">
        <v>2784</v>
      </c>
      <c r="U30" s="859">
        <f t="shared" si="13"/>
        <v>100</v>
      </c>
      <c r="V30" s="858" t="s">
        <v>2784</v>
      </c>
      <c r="W30" s="859">
        <f t="shared" si="14"/>
        <v>100</v>
      </c>
      <c r="X30" s="852"/>
      <c r="Y30" s="3567"/>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562"/>
      <c r="Q31" s="771">
        <f t="shared" si="11"/>
        <v>111</v>
      </c>
      <c r="R31" s="858" t="s">
        <v>2784</v>
      </c>
      <c r="S31" s="859">
        <f t="shared" si="12"/>
        <v>100</v>
      </c>
      <c r="T31" s="858" t="s">
        <v>2784</v>
      </c>
      <c r="U31" s="859">
        <f t="shared" si="13"/>
        <v>100</v>
      </c>
      <c r="V31" s="858" t="s">
        <v>2784</v>
      </c>
      <c r="W31" s="859">
        <f t="shared" si="14"/>
        <v>100</v>
      </c>
      <c r="X31" s="852"/>
      <c r="Y31" s="3567"/>
      <c r="Z31" s="840">
        <f t="shared" si="15"/>
        <v>111</v>
      </c>
      <c r="AA31" s="840">
        <f t="shared" si="3"/>
        <v>1</v>
      </c>
      <c r="AB31" s="840">
        <f t="shared" si="4"/>
        <v>1</v>
      </c>
      <c r="AC31" s="840">
        <f t="shared" si="5"/>
        <v>1</v>
      </c>
    </row>
    <row r="32" spans="1:29" ht="15">
      <c r="A32" s="689" t="s">
        <v>2802</v>
      </c>
      <c r="B32" s="668" t="s">
        <v>2857</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563" t="s">
        <v>2804</v>
      </c>
      <c r="Q32" s="771" t="str">
        <f t="shared" si="11"/>
        <v>商业类型</v>
      </c>
      <c r="R32" s="858" t="s">
        <v>2784</v>
      </c>
      <c r="S32" s="859">
        <f t="shared" si="12"/>
        <v>100</v>
      </c>
      <c r="T32" s="858" t="s">
        <v>2784</v>
      </c>
      <c r="U32" s="859">
        <f t="shared" si="13"/>
        <v>100</v>
      </c>
      <c r="V32" s="858" t="s">
        <v>2784</v>
      </c>
      <c r="W32" s="859">
        <f t="shared" si="14"/>
        <v>100</v>
      </c>
      <c r="X32" s="852"/>
      <c r="Y32" s="3568" t="s">
        <v>2804</v>
      </c>
      <c r="Z32" s="840" t="str">
        <f t="shared" si="15"/>
        <v>商业类型</v>
      </c>
      <c r="AA32" s="840">
        <f t="shared" si="3"/>
        <v>1</v>
      </c>
      <c r="AB32" s="840">
        <f t="shared" si="4"/>
        <v>1</v>
      </c>
      <c r="AC32" s="840">
        <f t="shared" si="5"/>
        <v>1</v>
      </c>
    </row>
    <row r="33" spans="1:29" s="633" customFormat="1" ht="15">
      <c r="A33" s="729"/>
      <c r="B33" s="672" t="s">
        <v>2805</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564"/>
      <c r="Q33" s="1049" t="str">
        <f t="shared" si="11"/>
        <v>项目建筑规模</v>
      </c>
      <c r="R33" s="860" t="s">
        <v>2784</v>
      </c>
      <c r="S33" s="861" t="e">
        <f t="shared" si="12"/>
        <v>#N/A</v>
      </c>
      <c r="T33" s="860" t="s">
        <v>2784</v>
      </c>
      <c r="U33" s="861" t="e">
        <f t="shared" si="13"/>
        <v>#N/A</v>
      </c>
      <c r="V33" s="860" t="s">
        <v>2784</v>
      </c>
      <c r="W33" s="861" t="e">
        <f t="shared" si="14"/>
        <v>#N/A</v>
      </c>
      <c r="X33" s="862"/>
      <c r="Y33" s="3568"/>
      <c r="Z33" s="867" t="str">
        <f t="shared" si="15"/>
        <v>项目建筑规模</v>
      </c>
      <c r="AA33" s="840" t="e">
        <f t="shared" si="3"/>
        <v>#N/A</v>
      </c>
      <c r="AB33" s="840" t="e">
        <f t="shared" si="4"/>
        <v>#N/A</v>
      </c>
      <c r="AC33" s="840" t="e">
        <f t="shared" si="5"/>
        <v>#N/A</v>
      </c>
    </row>
    <row r="34" spans="1:29" ht="15">
      <c r="A34" s="724"/>
      <c r="B34" s="672" t="s">
        <v>2806</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564"/>
      <c r="Q34" s="771" t="str">
        <f t="shared" si="11"/>
        <v>建筑结构</v>
      </c>
      <c r="R34" s="858" t="s">
        <v>2784</v>
      </c>
      <c r="S34" s="859">
        <f t="shared" si="12"/>
        <v>100</v>
      </c>
      <c r="T34" s="858" t="s">
        <v>2784</v>
      </c>
      <c r="U34" s="859">
        <f t="shared" si="13"/>
        <v>100</v>
      </c>
      <c r="V34" s="858" t="s">
        <v>2784</v>
      </c>
      <c r="W34" s="859">
        <f t="shared" si="14"/>
        <v>100</v>
      </c>
      <c r="X34" s="852"/>
      <c r="Y34" s="3568"/>
      <c r="Z34" s="840" t="str">
        <f t="shared" si="15"/>
        <v>建筑结构</v>
      </c>
      <c r="AA34" s="840">
        <f t="shared" si="3"/>
        <v>1</v>
      </c>
      <c r="AB34" s="840">
        <f t="shared" si="4"/>
        <v>1</v>
      </c>
      <c r="AC34" s="840">
        <f t="shared" si="5"/>
        <v>1</v>
      </c>
    </row>
    <row r="35" spans="1:29" ht="15">
      <c r="A35" s="724"/>
      <c r="B35" s="672" t="s">
        <v>2808</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564"/>
      <c r="Q35" s="771" t="str">
        <f t="shared" si="11"/>
        <v>公共部分装修</v>
      </c>
      <c r="R35" s="858" t="s">
        <v>2784</v>
      </c>
      <c r="S35" s="859">
        <f t="shared" si="12"/>
        <v>100</v>
      </c>
      <c r="T35" s="858" t="s">
        <v>2784</v>
      </c>
      <c r="U35" s="859">
        <f t="shared" si="13"/>
        <v>100</v>
      </c>
      <c r="V35" s="858" t="s">
        <v>2784</v>
      </c>
      <c r="W35" s="859">
        <f t="shared" si="14"/>
        <v>100</v>
      </c>
      <c r="X35" s="852"/>
      <c r="Y35" s="3568"/>
      <c r="Z35" s="840" t="str">
        <f t="shared" si="15"/>
        <v>公共部分装修</v>
      </c>
      <c r="AA35" s="840">
        <f t="shared" si="3"/>
        <v>1</v>
      </c>
      <c r="AB35" s="840">
        <f t="shared" si="4"/>
        <v>1</v>
      </c>
      <c r="AC35" s="840">
        <f t="shared" si="5"/>
        <v>1</v>
      </c>
    </row>
    <row r="36" spans="1:29" ht="15">
      <c r="A36" s="724"/>
      <c r="B36" s="672" t="s">
        <v>650</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564"/>
      <c r="Q36" s="771" t="str">
        <f t="shared" si="11"/>
        <v>成新度</v>
      </c>
      <c r="R36" s="858" t="s">
        <v>2784</v>
      </c>
      <c r="S36" s="859" t="e">
        <f t="shared" si="12"/>
        <v>#N/A</v>
      </c>
      <c r="T36" s="858" t="s">
        <v>2784</v>
      </c>
      <c r="U36" s="859" t="e">
        <f t="shared" si="13"/>
        <v>#N/A</v>
      </c>
      <c r="V36" s="858" t="s">
        <v>2784</v>
      </c>
      <c r="W36" s="859" t="e">
        <f t="shared" si="14"/>
        <v>#N/A</v>
      </c>
      <c r="X36" s="852"/>
      <c r="Y36" s="3568"/>
      <c r="Z36" s="840" t="str">
        <f t="shared" si="15"/>
        <v>成新度</v>
      </c>
      <c r="AA36" s="840" t="e">
        <f t="shared" si="3"/>
        <v>#N/A</v>
      </c>
      <c r="AB36" s="840" t="e">
        <f t="shared" si="4"/>
        <v>#N/A</v>
      </c>
      <c r="AC36" s="840" t="e">
        <f t="shared" si="5"/>
        <v>#N/A</v>
      </c>
    </row>
    <row r="37" spans="1:29" s="631" customFormat="1" ht="15">
      <c r="A37" s="726"/>
      <c r="B37" s="672" t="s">
        <v>2810</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564"/>
      <c r="Q37" s="857" t="str">
        <f t="shared" si="11"/>
        <v>市政基础设施</v>
      </c>
      <c r="R37" s="853" t="s">
        <v>2784</v>
      </c>
      <c r="S37" s="854">
        <f t="shared" si="12"/>
        <v>100</v>
      </c>
      <c r="T37" s="853" t="s">
        <v>2784</v>
      </c>
      <c r="U37" s="854">
        <f t="shared" si="13"/>
        <v>100</v>
      </c>
      <c r="V37" s="853" t="s">
        <v>2784</v>
      </c>
      <c r="W37" s="854">
        <f t="shared" si="14"/>
        <v>100</v>
      </c>
      <c r="X37" s="855"/>
      <c r="Y37" s="3568"/>
      <c r="Z37" s="866" t="str">
        <f t="shared" si="15"/>
        <v>市政基础设施</v>
      </c>
      <c r="AA37" s="866">
        <f t="shared" si="3"/>
        <v>1</v>
      </c>
      <c r="AB37" s="866">
        <f t="shared" si="4"/>
        <v>1</v>
      </c>
      <c r="AC37" s="866">
        <f t="shared" si="5"/>
        <v>1</v>
      </c>
    </row>
    <row r="38" spans="1:29" ht="15">
      <c r="A38" s="724"/>
      <c r="B38" s="672" t="s">
        <v>2858</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564" t="s">
        <v>2804</v>
      </c>
      <c r="Q38" s="771" t="str">
        <f t="shared" si="11"/>
        <v>业态</v>
      </c>
      <c r="R38" s="858" t="s">
        <v>2784</v>
      </c>
      <c r="S38" s="859">
        <f t="shared" si="12"/>
        <v>100</v>
      </c>
      <c r="T38" s="858" t="s">
        <v>2784</v>
      </c>
      <c r="U38" s="859">
        <f t="shared" si="13"/>
        <v>100</v>
      </c>
      <c r="V38" s="858" t="s">
        <v>2784</v>
      </c>
      <c r="W38" s="859">
        <f t="shared" si="14"/>
        <v>100</v>
      </c>
      <c r="X38" s="852"/>
      <c r="Y38" s="3568" t="s">
        <v>2804</v>
      </c>
      <c r="Z38" s="840" t="str">
        <f t="shared" si="15"/>
        <v>业态</v>
      </c>
      <c r="AA38" s="840">
        <f t="shared" si="3"/>
        <v>1</v>
      </c>
      <c r="AB38" s="840">
        <f t="shared" si="4"/>
        <v>1</v>
      </c>
      <c r="AC38" s="840">
        <f t="shared" si="5"/>
        <v>1</v>
      </c>
    </row>
    <row r="39" spans="1:29" ht="15">
      <c r="A39" s="724"/>
      <c r="B39" s="672" t="s">
        <v>2859</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564"/>
      <c r="Q39" s="771" t="str">
        <f t="shared" si="11"/>
        <v>层高</v>
      </c>
      <c r="R39" s="858" t="s">
        <v>2784</v>
      </c>
      <c r="S39" s="859">
        <f t="shared" si="12"/>
        <v>100</v>
      </c>
      <c r="T39" s="858" t="s">
        <v>2784</v>
      </c>
      <c r="U39" s="859">
        <f t="shared" si="13"/>
        <v>100</v>
      </c>
      <c r="V39" s="858" t="s">
        <v>2784</v>
      </c>
      <c r="W39" s="859">
        <f t="shared" si="14"/>
        <v>100</v>
      </c>
      <c r="X39" s="852"/>
      <c r="Y39" s="3568"/>
      <c r="Z39" s="840" t="str">
        <f t="shared" si="15"/>
        <v>层高</v>
      </c>
      <c r="AA39" s="840">
        <f t="shared" si="3"/>
        <v>1</v>
      </c>
      <c r="AB39" s="840">
        <f t="shared" si="4"/>
        <v>1</v>
      </c>
      <c r="AC39" s="840">
        <f t="shared" si="5"/>
        <v>1</v>
      </c>
    </row>
    <row r="40" spans="1:29" ht="15">
      <c r="A40" s="724"/>
      <c r="B40" s="672" t="s">
        <v>2860</v>
      </c>
      <c r="C40" s="1175"/>
      <c r="D40" s="684">
        <v>100</v>
      </c>
      <c r="E40" s="1176"/>
      <c r="F40" s="835">
        <f>SUMIF(118:118,E40,119:119)-SUMIF(118:118,C40,119:119)+100</f>
        <v>100</v>
      </c>
      <c r="G40" s="1176"/>
      <c r="H40" s="684">
        <f>SUMIF(118:118,G40,119:119)-SUMIF(118:118,C40,119:119)+100</f>
        <v>100</v>
      </c>
      <c r="I40" s="1176"/>
      <c r="J40" s="684">
        <f>SUMIF(118:118,I40,119:119)-SUMIF(118:118,C40,119:119)+100</f>
        <v>100</v>
      </c>
      <c r="K40" s="825"/>
      <c r="L40" s="819"/>
      <c r="M40" s="748"/>
      <c r="N40" s="748"/>
      <c r="O40" s="748"/>
      <c r="P40" s="3564"/>
      <c r="Q40" s="771" t="str">
        <f t="shared" si="11"/>
        <v>单套建筑面积</v>
      </c>
      <c r="R40" s="858" t="s">
        <v>2784</v>
      </c>
      <c r="S40" s="859">
        <f t="shared" si="12"/>
        <v>100</v>
      </c>
      <c r="T40" s="858" t="s">
        <v>2784</v>
      </c>
      <c r="U40" s="859">
        <f t="shared" si="13"/>
        <v>100</v>
      </c>
      <c r="V40" s="858" t="s">
        <v>2784</v>
      </c>
      <c r="W40" s="859">
        <f t="shared" si="14"/>
        <v>100</v>
      </c>
      <c r="X40" s="852"/>
      <c r="Y40" s="3568"/>
      <c r="Z40" s="840" t="str">
        <f t="shared" si="15"/>
        <v>单套建筑面积</v>
      </c>
      <c r="AA40" s="840">
        <f t="shared" si="3"/>
        <v>1</v>
      </c>
      <c r="AB40" s="840">
        <f t="shared" si="4"/>
        <v>1</v>
      </c>
      <c r="AC40" s="840">
        <f t="shared" si="5"/>
        <v>1</v>
      </c>
    </row>
    <row r="41" spans="1:29" s="633" customFormat="1" ht="15">
      <c r="A41" s="729"/>
      <c r="B41" s="835" t="s">
        <v>2861</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564"/>
      <c r="Q41" s="1049" t="str">
        <f t="shared" si="11"/>
        <v>进深比</v>
      </c>
      <c r="R41" s="860" t="s">
        <v>2784</v>
      </c>
      <c r="S41" s="861">
        <f t="shared" si="12"/>
        <v>100</v>
      </c>
      <c r="T41" s="860" t="s">
        <v>2784</v>
      </c>
      <c r="U41" s="861">
        <f t="shared" si="13"/>
        <v>100</v>
      </c>
      <c r="V41" s="860" t="s">
        <v>2784</v>
      </c>
      <c r="W41" s="861">
        <f t="shared" si="14"/>
        <v>100</v>
      </c>
      <c r="X41" s="862"/>
      <c r="Y41" s="3568"/>
      <c r="Z41" s="867" t="str">
        <f t="shared" si="15"/>
        <v>进深比</v>
      </c>
      <c r="AA41" s="840">
        <f t="shared" si="3"/>
        <v>1</v>
      </c>
      <c r="AB41" s="840">
        <f t="shared" si="4"/>
        <v>1</v>
      </c>
      <c r="AC41" s="840">
        <f t="shared" si="5"/>
        <v>1</v>
      </c>
    </row>
    <row r="42" spans="1:29" ht="15">
      <c r="A42" s="724"/>
      <c r="B42" s="672" t="s">
        <v>2813</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564"/>
      <c r="Q42" s="771" t="str">
        <f t="shared" si="11"/>
        <v>内部装修</v>
      </c>
      <c r="R42" s="858" t="s">
        <v>2784</v>
      </c>
      <c r="S42" s="859">
        <f t="shared" si="12"/>
        <v>100</v>
      </c>
      <c r="T42" s="858" t="s">
        <v>2784</v>
      </c>
      <c r="U42" s="859">
        <f t="shared" si="13"/>
        <v>100</v>
      </c>
      <c r="V42" s="858" t="s">
        <v>2784</v>
      </c>
      <c r="W42" s="859">
        <f t="shared" si="14"/>
        <v>100</v>
      </c>
      <c r="X42" s="852"/>
      <c r="Y42" s="3568"/>
      <c r="Z42" s="840" t="str">
        <f t="shared" si="15"/>
        <v>内部装修</v>
      </c>
      <c r="AA42" s="840">
        <f t="shared" si="3"/>
        <v>1</v>
      </c>
      <c r="AB42" s="840">
        <f t="shared" si="4"/>
        <v>1</v>
      </c>
      <c r="AC42" s="840">
        <f t="shared" si="5"/>
        <v>1</v>
      </c>
    </row>
    <row r="43" spans="1:29" ht="15">
      <c r="A43" s="724"/>
      <c r="B43" s="672" t="s">
        <v>2814</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564"/>
      <c r="Q43" s="771" t="str">
        <f t="shared" si="11"/>
        <v>内部装修维护情况</v>
      </c>
      <c r="R43" s="858" t="s">
        <v>2784</v>
      </c>
      <c r="S43" s="859">
        <f t="shared" si="12"/>
        <v>100</v>
      </c>
      <c r="T43" s="858" t="s">
        <v>2784</v>
      </c>
      <c r="U43" s="859">
        <f t="shared" si="13"/>
        <v>100</v>
      </c>
      <c r="V43" s="858" t="s">
        <v>2784</v>
      </c>
      <c r="W43" s="859">
        <f t="shared" si="14"/>
        <v>100</v>
      </c>
      <c r="X43" s="852"/>
      <c r="Y43" s="3568"/>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564"/>
      <c r="Q44" s="857">
        <f t="shared" si="11"/>
        <v>111</v>
      </c>
      <c r="R44" s="853" t="s">
        <v>2784</v>
      </c>
      <c r="S44" s="854">
        <f t="shared" si="12"/>
        <v>100</v>
      </c>
      <c r="T44" s="853" t="s">
        <v>2784</v>
      </c>
      <c r="U44" s="854">
        <f t="shared" si="13"/>
        <v>100</v>
      </c>
      <c r="V44" s="853" t="s">
        <v>2784</v>
      </c>
      <c r="W44" s="854">
        <f t="shared" si="14"/>
        <v>100</v>
      </c>
      <c r="X44" s="855"/>
      <c r="Y44" s="3568"/>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564"/>
      <c r="Q45" s="771">
        <f t="shared" si="11"/>
        <v>111</v>
      </c>
      <c r="R45" s="858" t="s">
        <v>2784</v>
      </c>
      <c r="S45" s="859">
        <f t="shared" si="12"/>
        <v>100</v>
      </c>
      <c r="T45" s="858" t="s">
        <v>2784</v>
      </c>
      <c r="U45" s="859">
        <f t="shared" si="13"/>
        <v>100</v>
      </c>
      <c r="V45" s="858" t="s">
        <v>2784</v>
      </c>
      <c r="W45" s="859">
        <f t="shared" si="14"/>
        <v>100</v>
      </c>
      <c r="X45" s="852"/>
      <c r="Y45" s="3568"/>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565"/>
      <c r="Q46" s="771">
        <f t="shared" si="11"/>
        <v>111</v>
      </c>
      <c r="R46" s="858" t="s">
        <v>2784</v>
      </c>
      <c r="S46" s="859">
        <f t="shared" si="12"/>
        <v>100</v>
      </c>
      <c r="T46" s="858" t="s">
        <v>2784</v>
      </c>
      <c r="U46" s="859">
        <f t="shared" si="13"/>
        <v>100</v>
      </c>
      <c r="V46" s="858" t="s">
        <v>2784</v>
      </c>
      <c r="W46" s="859">
        <f t="shared" si="14"/>
        <v>100</v>
      </c>
      <c r="X46" s="852"/>
      <c r="Y46" s="3569"/>
      <c r="Z46" s="840">
        <f t="shared" si="15"/>
        <v>111</v>
      </c>
      <c r="AA46" s="840">
        <f t="shared" si="3"/>
        <v>1</v>
      </c>
      <c r="AB46" s="840">
        <f t="shared" si="4"/>
        <v>1</v>
      </c>
      <c r="AC46" s="840">
        <f t="shared" si="5"/>
        <v>1</v>
      </c>
    </row>
    <row r="47" spans="1:29" ht="15">
      <c r="A47" s="731" t="s">
        <v>2815</v>
      </c>
      <c r="B47" s="1032"/>
      <c r="C47" s="1033" t="s">
        <v>124</v>
      </c>
      <c r="D47" s="734"/>
      <c r="E47" s="735"/>
      <c r="F47" s="736"/>
      <c r="G47" s="737"/>
      <c r="H47" s="738"/>
      <c r="I47" s="735"/>
      <c r="J47" s="738"/>
      <c r="K47" s="831"/>
      <c r="L47" s="832"/>
      <c r="M47" s="748"/>
      <c r="N47" s="748"/>
      <c r="O47" s="748"/>
      <c r="P47" s="3558" t="str">
        <f>A47</f>
        <v>成交单价（元/平方米）</v>
      </c>
      <c r="Q47" s="3558"/>
      <c r="R47" s="3559">
        <f>E47</f>
        <v>0</v>
      </c>
      <c r="S47" s="3559"/>
      <c r="T47" s="3559">
        <f>G47</f>
        <v>0</v>
      </c>
      <c r="U47" s="3559"/>
      <c r="V47" s="3559">
        <f>I47</f>
        <v>0</v>
      </c>
      <c r="W47" s="3559"/>
      <c r="X47" s="793"/>
      <c r="Y47" s="868"/>
      <c r="Z47" s="793"/>
      <c r="AA47" s="793"/>
      <c r="AB47" s="793"/>
      <c r="AC47" s="793"/>
    </row>
    <row r="48" spans="1:29" ht="15">
      <c r="A48" s="739" t="s">
        <v>2816</v>
      </c>
      <c r="B48" s="1034"/>
      <c r="C48" s="1035" t="e">
        <f>R49</f>
        <v>#DIV/0!</v>
      </c>
      <c r="D48" s="742" t="s">
        <v>2817</v>
      </c>
      <c r="E48" s="1036" t="e">
        <f>R48</f>
        <v>#DIV/0!</v>
      </c>
      <c r="F48" s="743"/>
      <c r="G48" s="1035" t="e">
        <f>T48</f>
        <v>#DIV/0!</v>
      </c>
      <c r="H48" s="743"/>
      <c r="I48" s="1036" t="e">
        <f>V48</f>
        <v>#DIV/0!</v>
      </c>
      <c r="J48" s="743"/>
      <c r="K48" s="833">
        <f>F48+H48+J48</f>
        <v>0</v>
      </c>
      <c r="L48" s="832"/>
      <c r="M48" s="748"/>
      <c r="N48" s="748"/>
      <c r="O48" s="748"/>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793"/>
      <c r="Y48" s="793"/>
      <c r="Z48" s="793"/>
      <c r="AA48" s="793"/>
      <c r="AB48" s="793"/>
      <c r="AC48" s="793"/>
    </row>
    <row r="49" spans="1:29" ht="15">
      <c r="A49" s="745" t="s">
        <v>2818</v>
      </c>
      <c r="B49" s="746"/>
      <c r="C49" s="657" t="e">
        <f>R49</f>
        <v>#DIV/0!</v>
      </c>
      <c r="D49" s="657"/>
      <c r="E49" s="657"/>
      <c r="F49" s="657"/>
      <c r="G49" s="657"/>
      <c r="H49" s="657"/>
      <c r="I49" s="657"/>
      <c r="J49" s="657"/>
      <c r="K49" s="834"/>
      <c r="L49" s="832"/>
      <c r="M49" s="748"/>
      <c r="N49" s="748"/>
      <c r="O49" s="748"/>
      <c r="P49" s="3570" t="str">
        <f>A49</f>
        <v>估价对象XX用房的比较价值（楼面单价，元/平方米）</v>
      </c>
      <c r="Q49" s="3571"/>
      <c r="R49" s="3572" t="e">
        <f>IF(F1="售价",ROUND(IF(D48="简单平均",AVERAGE(R48:V48),R48*F48+T48*H48+V48*J48),0),ROUND(IF(D48="简单平均",AVERAGE(R48:V48),R48*F48+T48*H48+V48*J48),1))</f>
        <v>#DIV/0!</v>
      </c>
      <c r="S49" s="3572"/>
      <c r="T49" s="3572"/>
      <c r="U49" s="3572"/>
      <c r="V49" s="3572"/>
      <c r="W49" s="3572"/>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79"/>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79"/>
      <c r="Q51" s="748"/>
      <c r="R51" s="748"/>
      <c r="S51" s="748"/>
      <c r="T51" s="748"/>
      <c r="U51" s="748"/>
      <c r="V51" s="748"/>
      <c r="W51" s="748"/>
      <c r="X51" s="748"/>
      <c r="Y51" s="748"/>
      <c r="Z51" s="748"/>
      <c r="AA51" s="748"/>
      <c r="AB51" s="748"/>
      <c r="AC51" s="748"/>
    </row>
    <row r="52" spans="1:29" ht="13.5" customHeight="1">
      <c r="A52" s="748"/>
      <c r="B52" s="748"/>
      <c r="C52" s="750" t="s">
        <v>2819</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79"/>
      <c r="Q52" s="748"/>
      <c r="R52" s="748"/>
      <c r="S52" s="748"/>
      <c r="T52" s="748"/>
      <c r="U52" s="748"/>
      <c r="V52" s="748"/>
      <c r="W52" s="748"/>
      <c r="X52" s="748"/>
      <c r="Y52" s="748"/>
      <c r="Z52" s="748"/>
      <c r="AA52" s="748"/>
      <c r="AB52" s="748"/>
      <c r="AC52" s="748"/>
    </row>
    <row r="53" spans="1:29" ht="13.5" customHeight="1">
      <c r="A53" s="748"/>
      <c r="B53" s="748"/>
      <c r="C53" s="750" t="s">
        <v>2820</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79"/>
      <c r="Q53" s="748"/>
      <c r="R53" s="748"/>
      <c r="S53" s="748"/>
      <c r="T53" s="748"/>
      <c r="U53" s="748"/>
      <c r="V53" s="748"/>
      <c r="W53" s="748"/>
      <c r="X53" s="748"/>
      <c r="Y53" s="748"/>
      <c r="Z53" s="748"/>
      <c r="AA53" s="748"/>
      <c r="AB53" s="748"/>
      <c r="AC53" s="748"/>
    </row>
    <row r="54" spans="1:29" s="634" customFormat="1" ht="13.5" customHeight="1">
      <c r="A54" s="755"/>
      <c r="B54" s="755"/>
      <c r="C54" s="750" t="s">
        <v>2821</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0"/>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80"/>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79"/>
      <c r="Q56" s="748"/>
      <c r="R56" s="748"/>
      <c r="S56" s="748"/>
      <c r="T56" s="748"/>
      <c r="U56" s="748"/>
      <c r="V56" s="748"/>
      <c r="W56" s="748"/>
      <c r="X56" s="748"/>
      <c r="Y56" s="748"/>
      <c r="Z56" s="748"/>
      <c r="AA56" s="748"/>
      <c r="AB56" s="748"/>
      <c r="AC56" s="748"/>
    </row>
    <row r="57" spans="1:29" ht="21">
      <c r="A57" s="792" t="s">
        <v>2822</v>
      </c>
      <c r="B57" s="793"/>
      <c r="C57" s="794"/>
      <c r="D57" s="794"/>
      <c r="E57" s="794"/>
      <c r="F57" s="795"/>
      <c r="G57" s="795"/>
      <c r="H57" s="794"/>
      <c r="I57" s="794"/>
      <c r="J57" s="794"/>
      <c r="K57" s="847"/>
      <c r="L57" s="997"/>
      <c r="M57" s="849"/>
      <c r="N57" s="849"/>
      <c r="O57" s="849"/>
      <c r="P57" s="1181"/>
      <c r="Q57" s="863"/>
      <c r="R57" s="748"/>
      <c r="S57" s="748"/>
      <c r="T57" s="748"/>
      <c r="U57" s="748"/>
      <c r="V57" s="748"/>
      <c r="W57" s="748"/>
      <c r="X57" s="748"/>
      <c r="Y57" s="748"/>
      <c r="Z57" s="748"/>
      <c r="AA57" s="748"/>
      <c r="AB57" s="748"/>
      <c r="AC57" s="748"/>
    </row>
    <row r="58" spans="1:29" s="636" customFormat="1" ht="15">
      <c r="A58" s="1038" t="s">
        <v>2782</v>
      </c>
      <c r="B58" s="1039"/>
      <c r="C58" s="1040" t="str">
        <f>YEAR(C7)&amp;"-"&amp;MONTH(C7)</f>
        <v>2025-5</v>
      </c>
      <c r="D58" s="1041">
        <f>EDATE(C58,-1)</f>
        <v>45748</v>
      </c>
      <c r="E58" s="1041">
        <f t="shared" ref="E58:O58" si="16">EDATE(D58,-1)</f>
        <v>45717</v>
      </c>
      <c r="F58" s="1041">
        <f t="shared" si="16"/>
        <v>45689</v>
      </c>
      <c r="G58" s="1041">
        <f t="shared" si="16"/>
        <v>45658</v>
      </c>
      <c r="H58" s="1041">
        <f t="shared" si="16"/>
        <v>45627</v>
      </c>
      <c r="I58" s="1041">
        <f t="shared" si="16"/>
        <v>45597</v>
      </c>
      <c r="J58" s="1041">
        <f t="shared" si="16"/>
        <v>45566</v>
      </c>
      <c r="K58" s="1041">
        <f t="shared" si="16"/>
        <v>45536</v>
      </c>
      <c r="L58" s="1041">
        <f t="shared" si="16"/>
        <v>45505</v>
      </c>
      <c r="M58" s="1041">
        <f t="shared" si="16"/>
        <v>45474</v>
      </c>
      <c r="N58" s="1041">
        <f t="shared" si="16"/>
        <v>45444</v>
      </c>
      <c r="O58" s="1041">
        <f t="shared" si="16"/>
        <v>45413</v>
      </c>
      <c r="P58" s="1182"/>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83"/>
      <c r="Q59" s="809"/>
      <c r="R59" s="809"/>
      <c r="S59" s="809"/>
      <c r="T59" s="809"/>
      <c r="U59" s="809"/>
      <c r="V59" s="809"/>
      <c r="W59" s="809"/>
      <c r="X59" s="809"/>
      <c r="Y59" s="809"/>
      <c r="Z59" s="809"/>
      <c r="AA59" s="809"/>
      <c r="AB59" s="809"/>
      <c r="AC59" s="809"/>
    </row>
    <row r="60" spans="1:29" s="631" customFormat="1" ht="15">
      <c r="A60" s="875" t="s">
        <v>2823</v>
      </c>
      <c r="B60" s="876"/>
      <c r="C60" s="877"/>
      <c r="D60" s="878"/>
      <c r="E60" s="878"/>
      <c r="F60" s="878"/>
      <c r="G60" s="878"/>
      <c r="H60" s="878"/>
      <c r="I60" s="878"/>
      <c r="J60" s="878"/>
      <c r="K60" s="878"/>
      <c r="L60" s="878"/>
      <c r="M60" s="918"/>
      <c r="N60" s="878"/>
      <c r="O60" s="918"/>
      <c r="P60" s="1183"/>
      <c r="Q60" s="863"/>
      <c r="R60" s="809"/>
      <c r="S60" s="809"/>
      <c r="T60" s="809"/>
      <c r="U60" s="809"/>
      <c r="V60" s="809"/>
      <c r="W60" s="809"/>
      <c r="X60" s="809"/>
      <c r="Y60" s="809"/>
      <c r="Z60" s="809"/>
      <c r="AA60" s="809"/>
      <c r="AB60" s="809"/>
      <c r="AC60" s="809"/>
    </row>
    <row r="61" spans="1:29" s="631" customFormat="1" ht="15">
      <c r="A61" s="879" t="s">
        <v>2785</v>
      </c>
      <c r="B61" s="880"/>
      <c r="C61" s="881" t="s">
        <v>2824</v>
      </c>
      <c r="D61" s="882"/>
      <c r="E61" s="882"/>
      <c r="F61" s="882"/>
      <c r="G61" s="882"/>
      <c r="H61" s="882"/>
      <c r="I61" s="882"/>
      <c r="J61" s="882"/>
      <c r="K61" s="882"/>
      <c r="L61" s="920"/>
      <c r="M61" s="921"/>
      <c r="N61" s="922"/>
      <c r="O61" s="922"/>
      <c r="P61" s="1184"/>
      <c r="Q61" s="863"/>
      <c r="R61" s="809"/>
      <c r="S61" s="809"/>
      <c r="T61" s="809"/>
      <c r="U61" s="809"/>
      <c r="V61" s="809"/>
      <c r="W61" s="809"/>
      <c r="X61" s="809"/>
      <c r="Y61" s="809"/>
      <c r="Z61" s="809"/>
      <c r="AA61" s="809"/>
      <c r="AB61" s="809"/>
      <c r="AC61" s="809"/>
    </row>
    <row r="62" spans="1:29" s="631" customFormat="1" ht="15">
      <c r="A62" s="879"/>
      <c r="B62" s="880"/>
      <c r="C62" s="1162">
        <v>100</v>
      </c>
      <c r="D62" s="884"/>
      <c r="E62" s="884"/>
      <c r="F62" s="884"/>
      <c r="G62" s="884"/>
      <c r="H62" s="884"/>
      <c r="I62" s="884"/>
      <c r="J62" s="884"/>
      <c r="K62" s="884"/>
      <c r="L62" s="884"/>
      <c r="M62" s="923"/>
      <c r="N62" s="922"/>
      <c r="O62" s="922"/>
      <c r="P62" s="1183"/>
      <c r="Q62" s="863"/>
      <c r="R62" s="809"/>
      <c r="S62" s="809"/>
      <c r="T62" s="809"/>
      <c r="U62" s="809"/>
      <c r="V62" s="809"/>
      <c r="W62" s="809"/>
      <c r="X62" s="809"/>
      <c r="Y62" s="809"/>
      <c r="Z62" s="809"/>
      <c r="AA62" s="809"/>
      <c r="AB62" s="809"/>
      <c r="AC62" s="809"/>
    </row>
    <row r="63" spans="1:29">
      <c r="A63" s="689" t="s">
        <v>2825</v>
      </c>
      <c r="B63" s="885" t="s">
        <v>2788</v>
      </c>
      <c r="C63" s="765">
        <f>C9</f>
        <v>0</v>
      </c>
      <c r="D63" s="829"/>
      <c r="E63" s="829"/>
      <c r="F63" s="829"/>
      <c r="G63" s="829"/>
      <c r="H63" s="829"/>
      <c r="I63" s="829"/>
      <c r="J63" s="829"/>
      <c r="K63" s="924"/>
      <c r="L63" s="925"/>
      <c r="M63" s="926"/>
      <c r="N63" s="927"/>
      <c r="O63" s="927"/>
      <c r="P63" s="1185"/>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85"/>
      <c r="Q64" s="863"/>
      <c r="R64" s="748"/>
      <c r="S64" s="748"/>
      <c r="T64" s="748"/>
      <c r="U64" s="748"/>
      <c r="V64" s="748"/>
      <c r="W64" s="748"/>
      <c r="X64" s="748"/>
      <c r="Y64" s="748"/>
      <c r="Z64" s="748"/>
      <c r="AA64" s="748"/>
      <c r="AB64" s="748"/>
      <c r="AC64" s="748"/>
    </row>
    <row r="65" spans="1:29" ht="27">
      <c r="A65" s="675"/>
      <c r="B65" s="888" t="s">
        <v>2791</v>
      </c>
      <c r="C65" s="910"/>
      <c r="D65" s="910"/>
      <c r="E65" s="910"/>
      <c r="F65" s="910"/>
      <c r="G65" s="910"/>
      <c r="H65" s="910"/>
      <c r="I65" s="910"/>
      <c r="J65" s="910"/>
      <c r="K65" s="955"/>
      <c r="L65" s="956"/>
      <c r="M65" s="957"/>
      <c r="N65" s="927"/>
      <c r="O65" s="927"/>
      <c r="P65" s="1185"/>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85"/>
      <c r="Q66" s="863"/>
      <c r="R66" s="748"/>
      <c r="S66" s="748"/>
      <c r="T66" s="748"/>
      <c r="U66" s="748"/>
      <c r="V66" s="748"/>
      <c r="W66" s="748"/>
      <c r="X66" s="748"/>
      <c r="Y66" s="748"/>
      <c r="Z66" s="748"/>
      <c r="AA66" s="748"/>
      <c r="AB66" s="748"/>
      <c r="AC66" s="748"/>
    </row>
    <row r="67" spans="1:29" ht="15">
      <c r="A67" s="675"/>
      <c r="B67" s="892" t="s">
        <v>2792</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85"/>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85"/>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85"/>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89"/>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89"/>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0"/>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89"/>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1"/>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89"/>
      <c r="Q75" s="967"/>
      <c r="R75" s="827"/>
      <c r="S75" s="827"/>
      <c r="T75" s="827"/>
      <c r="U75" s="827"/>
      <c r="V75" s="827"/>
      <c r="W75" s="827"/>
      <c r="X75" s="827"/>
      <c r="Y75" s="827"/>
      <c r="Z75" s="827"/>
      <c r="AA75" s="827"/>
      <c r="AB75" s="827"/>
      <c r="AC75" s="827"/>
    </row>
    <row r="76" spans="1:29">
      <c r="A76" s="689" t="s">
        <v>2793</v>
      </c>
      <c r="B76" s="885" t="s">
        <v>2794</v>
      </c>
      <c r="C76" s="905" t="s">
        <v>1349</v>
      </c>
      <c r="D76" s="905" t="s">
        <v>1350</v>
      </c>
      <c r="E76" s="905" t="s">
        <v>1351</v>
      </c>
      <c r="F76" s="905" t="s">
        <v>1352</v>
      </c>
      <c r="G76" s="905" t="s">
        <v>1353</v>
      </c>
      <c r="H76" s="765"/>
      <c r="I76" s="765"/>
      <c r="J76" s="765"/>
      <c r="K76" s="945"/>
      <c r="L76" s="946"/>
      <c r="M76" s="947"/>
      <c r="N76" s="927"/>
      <c r="O76" s="927"/>
      <c r="P76" s="1192"/>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85"/>
      <c r="Q77" s="863"/>
      <c r="R77" s="748"/>
      <c r="S77" s="748"/>
      <c r="T77" s="748"/>
      <c r="U77" s="748"/>
      <c r="V77" s="748"/>
      <c r="W77" s="748"/>
      <c r="X77" s="748"/>
      <c r="Y77" s="748"/>
      <c r="Z77" s="748"/>
      <c r="AA77" s="748"/>
      <c r="AB77" s="748"/>
      <c r="AC77" s="748"/>
    </row>
    <row r="78" spans="1:29" ht="15">
      <c r="A78" s="675"/>
      <c r="B78" s="888" t="s">
        <v>2796</v>
      </c>
      <c r="C78" s="906" t="s">
        <v>1349</v>
      </c>
      <c r="D78" s="906" t="s">
        <v>1350</v>
      </c>
      <c r="E78" s="906" t="s">
        <v>1351</v>
      </c>
      <c r="F78" s="906" t="s">
        <v>1352</v>
      </c>
      <c r="G78" s="906" t="s">
        <v>1353</v>
      </c>
      <c r="H78" s="889"/>
      <c r="I78" s="889"/>
      <c r="J78" s="889"/>
      <c r="K78" s="930"/>
      <c r="L78" s="931"/>
      <c r="M78" s="932"/>
      <c r="N78" s="927"/>
      <c r="O78" s="927"/>
      <c r="P78" s="1185"/>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85"/>
      <c r="Q79" s="863"/>
      <c r="R79" s="748"/>
      <c r="S79" s="748"/>
      <c r="T79" s="748"/>
      <c r="U79" s="748"/>
      <c r="V79" s="748"/>
      <c r="W79" s="748"/>
      <c r="X79" s="748"/>
      <c r="Y79" s="748"/>
      <c r="Z79" s="748"/>
      <c r="AA79" s="748"/>
      <c r="AB79" s="748"/>
      <c r="AC79" s="748"/>
    </row>
    <row r="80" spans="1:29" ht="15">
      <c r="A80" s="675"/>
      <c r="B80" s="888" t="s">
        <v>2797</v>
      </c>
      <c r="C80" s="906" t="s">
        <v>1349</v>
      </c>
      <c r="D80" s="906" t="s">
        <v>1350</v>
      </c>
      <c r="E80" s="906" t="s">
        <v>1351</v>
      </c>
      <c r="F80" s="906" t="s">
        <v>1352</v>
      </c>
      <c r="G80" s="906" t="s">
        <v>1353</v>
      </c>
      <c r="H80" s="889"/>
      <c r="I80" s="889"/>
      <c r="J80" s="889"/>
      <c r="K80" s="930"/>
      <c r="L80" s="931"/>
      <c r="M80" s="932"/>
      <c r="N80" s="927"/>
      <c r="O80" s="927"/>
      <c r="P80" s="1185"/>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85"/>
      <c r="Q81" s="863"/>
      <c r="R81" s="748"/>
      <c r="S81" s="748"/>
      <c r="T81" s="748"/>
      <c r="U81" s="748"/>
      <c r="V81" s="748"/>
      <c r="W81" s="748"/>
      <c r="X81" s="748"/>
      <c r="Y81" s="748"/>
      <c r="Z81" s="748"/>
      <c r="AA81" s="748"/>
      <c r="AB81" s="748"/>
      <c r="AC81" s="748"/>
    </row>
    <row r="82" spans="1:29" ht="15">
      <c r="A82" s="675"/>
      <c r="B82" s="892" t="s">
        <v>2798</v>
      </c>
      <c r="C82" s="821" t="s">
        <v>2826</v>
      </c>
      <c r="D82" s="821" t="s">
        <v>2827</v>
      </c>
      <c r="E82" s="821" t="s">
        <v>2828</v>
      </c>
      <c r="F82" s="821" t="s">
        <v>2829</v>
      </c>
      <c r="G82" s="821" t="s">
        <v>2830</v>
      </c>
      <c r="H82" s="889"/>
      <c r="I82" s="889"/>
      <c r="J82" s="889"/>
      <c r="K82" s="889"/>
      <c r="L82" s="889"/>
      <c r="M82" s="1053"/>
      <c r="N82" s="929"/>
      <c r="O82" s="929"/>
      <c r="P82" s="1185"/>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85"/>
      <c r="Q83" s="863"/>
      <c r="R83" s="748"/>
      <c r="S83" s="748"/>
      <c r="T83" s="748"/>
      <c r="U83" s="748"/>
      <c r="V83" s="748"/>
      <c r="W83" s="748"/>
      <c r="X83" s="748"/>
      <c r="Y83" s="748"/>
      <c r="Z83" s="748"/>
      <c r="AA83" s="748"/>
      <c r="AB83" s="748"/>
      <c r="AC83" s="748"/>
    </row>
    <row r="84" spans="1:29" ht="15">
      <c r="A84" s="675"/>
      <c r="B84" s="888" t="s">
        <v>2799</v>
      </c>
      <c r="C84" s="906" t="s">
        <v>1349</v>
      </c>
      <c r="D84" s="906" t="s">
        <v>1350</v>
      </c>
      <c r="E84" s="906" t="s">
        <v>1351</v>
      </c>
      <c r="F84" s="906" t="s">
        <v>1352</v>
      </c>
      <c r="G84" s="906" t="s">
        <v>1353</v>
      </c>
      <c r="H84" s="889"/>
      <c r="I84" s="889"/>
      <c r="J84" s="889"/>
      <c r="K84" s="930"/>
      <c r="L84" s="931"/>
      <c r="M84" s="932"/>
      <c r="N84" s="927"/>
      <c r="O84" s="927"/>
      <c r="P84" s="1185"/>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85"/>
      <c r="Q85" s="863"/>
      <c r="R85" s="748"/>
      <c r="S85" s="748"/>
      <c r="T85" s="748"/>
      <c r="U85" s="748"/>
      <c r="V85" s="748"/>
      <c r="W85" s="748"/>
      <c r="X85" s="748"/>
      <c r="Y85" s="748"/>
      <c r="Z85" s="748"/>
      <c r="AA85" s="748"/>
      <c r="AB85" s="748"/>
      <c r="AC85" s="748"/>
    </row>
    <row r="86" spans="1:29" s="631" customFormat="1" ht="15">
      <c r="A86" s="678"/>
      <c r="B86" s="888" t="s">
        <v>2853</v>
      </c>
      <c r="C86" s="896"/>
      <c r="D86" s="896"/>
      <c r="E86" s="896"/>
      <c r="F86" s="896"/>
      <c r="G86" s="896"/>
      <c r="H86" s="896"/>
      <c r="I86" s="896"/>
      <c r="J86" s="896"/>
      <c r="K86" s="896"/>
      <c r="L86" s="1054"/>
      <c r="M86" s="1055"/>
      <c r="N86" s="922"/>
      <c r="O86" s="922"/>
      <c r="P86" s="1185"/>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85"/>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68"/>
      <c r="G88" s="896"/>
      <c r="H88" s="896"/>
      <c r="I88" s="896"/>
      <c r="J88" s="896"/>
      <c r="K88" s="896"/>
      <c r="L88" s="896"/>
      <c r="M88" s="1055"/>
      <c r="N88" s="922"/>
      <c r="O88" s="922"/>
      <c r="P88" s="1185"/>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85"/>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89"/>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89"/>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85"/>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85"/>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85"/>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85"/>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85"/>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85"/>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85"/>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85"/>
      <c r="Q99" s="863"/>
      <c r="R99" s="748"/>
      <c r="S99" s="748"/>
      <c r="T99" s="748"/>
      <c r="U99" s="748"/>
      <c r="V99" s="748"/>
      <c r="W99" s="748"/>
      <c r="X99" s="748"/>
      <c r="Y99" s="748"/>
      <c r="Z99" s="748"/>
      <c r="AA99" s="748"/>
      <c r="AB99" s="748"/>
      <c r="AC99" s="748"/>
    </row>
    <row r="100" spans="1:29">
      <c r="A100" s="689" t="s">
        <v>2802</v>
      </c>
      <c r="B100" s="885" t="s">
        <v>2857</v>
      </c>
      <c r="C100" s="829"/>
      <c r="D100" s="829"/>
      <c r="E100" s="829"/>
      <c r="F100" s="829"/>
      <c r="G100" s="829"/>
      <c r="H100" s="829"/>
      <c r="I100" s="829"/>
      <c r="J100" s="829"/>
      <c r="K100" s="924"/>
      <c r="L100" s="925"/>
      <c r="M100" s="926"/>
      <c r="N100" s="927"/>
      <c r="O100" s="927"/>
      <c r="P100" s="1185"/>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85"/>
      <c r="Q101" s="863"/>
      <c r="R101" s="748"/>
      <c r="S101" s="748"/>
      <c r="T101" s="748"/>
      <c r="U101" s="748"/>
      <c r="V101" s="748"/>
      <c r="W101" s="748"/>
      <c r="X101" s="748"/>
      <c r="Y101" s="748"/>
      <c r="Z101" s="748"/>
      <c r="AA101" s="748"/>
      <c r="AB101" s="748"/>
      <c r="AC101" s="748"/>
    </row>
    <row r="102" spans="1:29" ht="15">
      <c r="A102" s="675"/>
      <c r="B102" s="888" t="s">
        <v>2805</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85"/>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89"/>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89"/>
      <c r="Q104" s="967"/>
      <c r="R104" s="827"/>
      <c r="S104" s="827"/>
      <c r="T104" s="827"/>
      <c r="U104" s="827"/>
      <c r="V104" s="827"/>
      <c r="W104" s="827"/>
      <c r="X104" s="827"/>
      <c r="Y104" s="827"/>
      <c r="Z104" s="827"/>
      <c r="AA104" s="827"/>
      <c r="AB104" s="827"/>
      <c r="AC104" s="827"/>
    </row>
    <row r="105" spans="1:29">
      <c r="A105" s="724"/>
      <c r="B105" s="888" t="s">
        <v>2806</v>
      </c>
      <c r="C105" s="896"/>
      <c r="D105" s="896"/>
      <c r="E105" s="910"/>
      <c r="F105" s="910"/>
      <c r="G105" s="910"/>
      <c r="H105" s="910"/>
      <c r="I105" s="910"/>
      <c r="J105" s="910"/>
      <c r="K105" s="955"/>
      <c r="L105" s="956"/>
      <c r="M105" s="957"/>
      <c r="N105" s="927"/>
      <c r="O105" s="927"/>
      <c r="P105" s="1185"/>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85"/>
      <c r="Q106" s="863"/>
      <c r="R106" s="748"/>
      <c r="S106" s="748"/>
      <c r="T106" s="748"/>
      <c r="U106" s="748"/>
      <c r="V106" s="748"/>
      <c r="W106" s="748"/>
      <c r="X106" s="748"/>
      <c r="Y106" s="748"/>
      <c r="Z106" s="748"/>
      <c r="AA106" s="748"/>
      <c r="AB106" s="748"/>
      <c r="AC106" s="748"/>
    </row>
    <row r="107" spans="1:29">
      <c r="A107" s="724"/>
      <c r="B107" s="888" t="s">
        <v>2808</v>
      </c>
      <c r="C107" s="896"/>
      <c r="D107" s="896"/>
      <c r="E107" s="896"/>
      <c r="F107" s="910"/>
      <c r="G107" s="910"/>
      <c r="H107" s="910"/>
      <c r="I107" s="910"/>
      <c r="J107" s="910"/>
      <c r="K107" s="955"/>
      <c r="L107" s="956"/>
      <c r="M107" s="957"/>
      <c r="N107" s="927"/>
      <c r="O107" s="927"/>
      <c r="P107" s="1185"/>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85"/>
      <c r="Q108" s="863"/>
      <c r="R108" s="748"/>
      <c r="S108" s="748"/>
      <c r="T108" s="748"/>
      <c r="U108" s="748"/>
      <c r="V108" s="748"/>
      <c r="W108" s="748"/>
      <c r="X108" s="748"/>
      <c r="Y108" s="748"/>
      <c r="Z108" s="748"/>
      <c r="AA108" s="748"/>
      <c r="AB108" s="748"/>
      <c r="AC108" s="748"/>
    </row>
    <row r="109" spans="1:29">
      <c r="A109" s="724"/>
      <c r="B109" s="888" t="s">
        <v>650</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85"/>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85"/>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85"/>
      <c r="Q111" s="863"/>
      <c r="R111" s="748"/>
      <c r="S111" s="748"/>
      <c r="T111" s="748"/>
      <c r="U111" s="748"/>
      <c r="V111" s="748"/>
      <c r="W111" s="748"/>
      <c r="X111" s="748"/>
      <c r="Y111" s="748"/>
      <c r="Z111" s="748"/>
      <c r="AA111" s="748"/>
      <c r="AB111" s="748"/>
      <c r="AC111" s="748"/>
    </row>
    <row r="112" spans="1:29" s="633" customFormat="1">
      <c r="A112" s="729"/>
      <c r="B112" s="888" t="s">
        <v>2810</v>
      </c>
      <c r="C112" s="896"/>
      <c r="D112" s="896"/>
      <c r="E112" s="896"/>
      <c r="F112" s="896"/>
      <c r="G112" s="896"/>
      <c r="H112" s="910"/>
      <c r="I112" s="910"/>
      <c r="J112" s="910"/>
      <c r="K112" s="955"/>
      <c r="L112" s="956"/>
      <c r="M112" s="957"/>
      <c r="N112" s="939"/>
      <c r="O112" s="939"/>
      <c r="P112" s="1189"/>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89"/>
      <c r="Q113" s="967"/>
      <c r="R113" s="827"/>
      <c r="S113" s="827"/>
      <c r="T113" s="827"/>
      <c r="U113" s="827"/>
      <c r="V113" s="827"/>
      <c r="W113" s="827"/>
      <c r="X113" s="827"/>
      <c r="Y113" s="827"/>
      <c r="Z113" s="827"/>
      <c r="AA113" s="827"/>
      <c r="AB113" s="827"/>
      <c r="AC113" s="827"/>
    </row>
    <row r="114" spans="1:29">
      <c r="A114" s="724"/>
      <c r="B114" s="888" t="s">
        <v>2858</v>
      </c>
      <c r="C114" s="896"/>
      <c r="D114" s="896"/>
      <c r="E114" s="910"/>
      <c r="F114" s="910"/>
      <c r="G114" s="910"/>
      <c r="H114" s="910"/>
      <c r="I114" s="910"/>
      <c r="J114" s="910"/>
      <c r="K114" s="955"/>
      <c r="L114" s="956"/>
      <c r="M114" s="957"/>
      <c r="N114" s="927"/>
      <c r="O114" s="927"/>
      <c r="P114" s="1185"/>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85"/>
      <c r="Q115" s="863"/>
      <c r="R115" s="748"/>
      <c r="S115" s="748"/>
      <c r="T115" s="748"/>
      <c r="U115" s="748"/>
      <c r="V115" s="748"/>
      <c r="W115" s="748"/>
      <c r="X115" s="748"/>
      <c r="Y115" s="748"/>
      <c r="Z115" s="748"/>
      <c r="AA115" s="748"/>
      <c r="AB115" s="748"/>
      <c r="AC115" s="748"/>
    </row>
    <row r="116" spans="1:29">
      <c r="A116" s="724"/>
      <c r="B116" s="888" t="s">
        <v>2859</v>
      </c>
      <c r="C116" s="896"/>
      <c r="D116" s="896"/>
      <c r="E116" s="896"/>
      <c r="F116" s="896"/>
      <c r="G116" s="896"/>
      <c r="H116" s="910"/>
      <c r="I116" s="910"/>
      <c r="J116" s="910"/>
      <c r="K116" s="955"/>
      <c r="L116" s="956"/>
      <c r="M116" s="957"/>
      <c r="N116" s="927"/>
      <c r="O116" s="927"/>
      <c r="P116" s="1185"/>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85"/>
      <c r="Q117" s="863"/>
      <c r="R117" s="748"/>
      <c r="S117" s="748"/>
      <c r="T117" s="748"/>
      <c r="U117" s="748"/>
      <c r="V117" s="748"/>
      <c r="W117" s="748"/>
      <c r="X117" s="748"/>
      <c r="Y117" s="748"/>
      <c r="Z117" s="748"/>
      <c r="AA117" s="748"/>
      <c r="AB117" s="748"/>
      <c r="AC117" s="748"/>
    </row>
    <row r="118" spans="1:29">
      <c r="A118" s="724"/>
      <c r="B118" s="888" t="s">
        <v>2860</v>
      </c>
      <c r="C118" s="1188"/>
      <c r="D118" s="1188"/>
      <c r="E118" s="1188"/>
      <c r="F118" s="1188"/>
      <c r="G118" s="1188"/>
      <c r="H118" s="897"/>
      <c r="I118" s="897"/>
      <c r="J118" s="897"/>
      <c r="K118" s="897"/>
      <c r="L118" s="937"/>
      <c r="M118" s="938"/>
      <c r="N118" s="927"/>
      <c r="O118" s="927"/>
      <c r="P118" s="1185"/>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85"/>
      <c r="Q119" s="863"/>
      <c r="R119" s="748"/>
      <c r="S119" s="748"/>
      <c r="T119" s="748"/>
      <c r="U119" s="748"/>
      <c r="V119" s="748"/>
      <c r="W119" s="748"/>
      <c r="X119" s="748"/>
      <c r="Y119" s="748"/>
      <c r="Z119" s="748"/>
      <c r="AA119" s="748"/>
      <c r="AB119" s="748"/>
      <c r="AC119" s="748"/>
    </row>
    <row r="120" spans="1:29" s="633" customFormat="1">
      <c r="A120" s="729"/>
      <c r="B120" s="888" t="s">
        <v>2862</v>
      </c>
      <c r="C120" s="910"/>
      <c r="D120" s="910"/>
      <c r="E120" s="910"/>
      <c r="F120" s="910"/>
      <c r="G120" s="897"/>
      <c r="H120" s="897"/>
      <c r="I120" s="897"/>
      <c r="J120" s="897"/>
      <c r="K120" s="897"/>
      <c r="L120" s="937"/>
      <c r="M120" s="938"/>
      <c r="N120" s="939"/>
      <c r="O120" s="939"/>
      <c r="P120" s="1189"/>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89"/>
      <c r="Q121" s="967"/>
      <c r="R121" s="827"/>
      <c r="S121" s="827"/>
      <c r="T121" s="827"/>
      <c r="U121" s="827"/>
      <c r="V121" s="827"/>
      <c r="W121" s="827"/>
      <c r="X121" s="827"/>
      <c r="Y121" s="827"/>
      <c r="Z121" s="827"/>
      <c r="AA121" s="827"/>
      <c r="AB121" s="827"/>
      <c r="AC121" s="827"/>
    </row>
    <row r="122" spans="1:29">
      <c r="A122" s="724"/>
      <c r="B122" s="888" t="s">
        <v>2813</v>
      </c>
      <c r="C122" s="896"/>
      <c r="D122" s="896"/>
      <c r="E122" s="896"/>
      <c r="F122" s="910"/>
      <c r="G122" s="910"/>
      <c r="H122" s="910"/>
      <c r="I122" s="910"/>
      <c r="J122" s="910"/>
      <c r="K122" s="955"/>
      <c r="L122" s="956"/>
      <c r="M122" s="957"/>
      <c r="N122" s="927"/>
      <c r="O122" s="927"/>
      <c r="P122" s="1185"/>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85"/>
      <c r="Q123" s="863"/>
      <c r="R123" s="748"/>
      <c r="S123" s="748"/>
      <c r="T123" s="748"/>
      <c r="U123" s="748"/>
      <c r="V123" s="748"/>
      <c r="W123" s="748"/>
      <c r="X123" s="748"/>
      <c r="Y123" s="748"/>
      <c r="Z123" s="748"/>
      <c r="AA123" s="748"/>
      <c r="AB123" s="748"/>
      <c r="AC123" s="748"/>
    </row>
    <row r="124" spans="1:29">
      <c r="A124" s="724"/>
      <c r="B124" s="888" t="s">
        <v>2814</v>
      </c>
      <c r="C124" s="906" t="s">
        <v>1349</v>
      </c>
      <c r="D124" s="906" t="s">
        <v>1350</v>
      </c>
      <c r="E124" s="906" t="s">
        <v>1351</v>
      </c>
      <c r="F124" s="906" t="s">
        <v>1352</v>
      </c>
      <c r="G124" s="906" t="s">
        <v>1353</v>
      </c>
      <c r="H124" s="889"/>
      <c r="I124" s="889"/>
      <c r="J124" s="889"/>
      <c r="K124" s="930"/>
      <c r="L124" s="931"/>
      <c r="M124" s="932"/>
      <c r="N124" s="927"/>
      <c r="O124" s="927"/>
      <c r="P124" s="1189"/>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85"/>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89"/>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89"/>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85"/>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85"/>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85"/>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85"/>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2765</v>
      </c>
      <c r="B1" s="1117" t="s">
        <v>2863</v>
      </c>
      <c r="C1" s="1003" t="s">
        <v>2767</v>
      </c>
      <c r="D1" s="1004"/>
      <c r="E1" s="1005"/>
      <c r="F1" s="1006"/>
      <c r="G1" s="1007" t="s">
        <v>2768</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1028</v>
      </c>
      <c r="B2" s="1010" t="b">
        <f>IF(E1="项目模式",IF(C2="——",ROUND(C50*D3/10000,0),ROUND(C50*D3/10000,0)-D2),IF(E1="单套模式",IF(C2="——",ROUND(C50*D3/10000,4),ROUND(C50*D3/10000,4)-D2)))</f>
        <v>0</v>
      </c>
      <c r="C2" s="1011"/>
      <c r="D2" s="1153" t="e">
        <f ca="1">IF(E1="项目模式",SUMIF(INDIRECT("'"&amp;F2&amp;"'"&amp;"!A:A"),"承租人权益价值",INDIRECT("'"&amp;F2&amp;"'"&amp;"!c:c")),SUMIF(INDIRECT("'"&amp;F2&amp;"'"&amp;"!A:A"),"承租人权益价值（单套）",INDIRECT("'"&amp;F2&amp;"'"&amp;"!c:c")))</f>
        <v>#REF!</v>
      </c>
      <c r="E2" s="1012" t="s">
        <v>1029</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1030</v>
      </c>
      <c r="B3" s="648">
        <f>IF(C2="——",C50,ROUND(B2*10000/D3,0))</f>
        <v>0</v>
      </c>
      <c r="C3" s="1014" t="s">
        <v>1187</v>
      </c>
      <c r="D3" s="1015">
        <f>IF(D1="",'数据-汇总表'!E3,SUMIF('数据-汇总表'!$C19:$C33,D1,'数据-汇总表'!$E19:$E33))</f>
        <v>596993.59</v>
      </c>
      <c r="E3" s="1154"/>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2769</v>
      </c>
      <c r="B4" s="651"/>
      <c r="C4" s="3543" t="s">
        <v>2770</v>
      </c>
      <c r="D4" s="3544"/>
      <c r="E4" s="3545" t="s">
        <v>2771</v>
      </c>
      <c r="F4" s="3546"/>
      <c r="G4" s="3543" t="s">
        <v>2772</v>
      </c>
      <c r="H4" s="3544"/>
      <c r="I4" s="3543" t="s">
        <v>2773</v>
      </c>
      <c r="J4" s="3544"/>
      <c r="K4" s="802" t="s">
        <v>2774</v>
      </c>
      <c r="L4" s="803"/>
      <c r="M4" s="748"/>
      <c r="N4" s="748"/>
      <c r="O4" s="748"/>
      <c r="P4" s="3596" t="s">
        <v>2775</v>
      </c>
      <c r="Q4" s="3597"/>
      <c r="R4" s="3600" t="s">
        <v>2771</v>
      </c>
      <c r="S4" s="3601"/>
      <c r="T4" s="3600" t="s">
        <v>2772</v>
      </c>
      <c r="U4" s="3601"/>
      <c r="V4" s="3602" t="s">
        <v>2773</v>
      </c>
      <c r="W4" s="3602"/>
      <c r="X4" s="1163"/>
      <c r="Y4" s="3600" t="s">
        <v>2775</v>
      </c>
      <c r="Z4" s="3601"/>
      <c r="AA4" s="3592" t="s">
        <v>2771</v>
      </c>
      <c r="AB4" s="3592" t="s">
        <v>2772</v>
      </c>
      <c r="AC4" s="3593" t="s">
        <v>2773</v>
      </c>
    </row>
    <row r="5" spans="1:29" ht="15">
      <c r="A5" s="654"/>
      <c r="B5" s="655"/>
      <c r="C5" s="3547" t="s">
        <v>2776</v>
      </c>
      <c r="D5" s="3548"/>
      <c r="E5" s="3549" t="s">
        <v>2777</v>
      </c>
      <c r="F5" s="3550"/>
      <c r="G5" s="3547" t="s">
        <v>2778</v>
      </c>
      <c r="H5" s="3548"/>
      <c r="I5" s="3547" t="s">
        <v>2779</v>
      </c>
      <c r="J5" s="3548"/>
      <c r="K5" s="802"/>
      <c r="L5" s="803"/>
      <c r="M5" s="748"/>
      <c r="N5" s="748"/>
      <c r="O5" s="748"/>
      <c r="P5" s="3598"/>
      <c r="Q5" s="3579"/>
      <c r="R5" s="3584"/>
      <c r="S5" s="3585"/>
      <c r="T5" s="3584"/>
      <c r="U5" s="3585"/>
      <c r="V5" s="3559"/>
      <c r="W5" s="3559"/>
      <c r="X5" s="852"/>
      <c r="Y5" s="3584"/>
      <c r="Z5" s="3585"/>
      <c r="AA5" s="3574"/>
      <c r="AB5" s="3574"/>
      <c r="AC5" s="3594"/>
    </row>
    <row r="6" spans="1:29" ht="15">
      <c r="A6" s="656"/>
      <c r="B6" s="657"/>
      <c r="C6" s="3551" t="s">
        <v>2780</v>
      </c>
      <c r="D6" s="3552"/>
      <c r="E6" s="3553" t="s">
        <v>2780</v>
      </c>
      <c r="F6" s="3554"/>
      <c r="G6" s="3551" t="s">
        <v>2780</v>
      </c>
      <c r="H6" s="3552"/>
      <c r="I6" s="3551" t="s">
        <v>2780</v>
      </c>
      <c r="J6" s="3552"/>
      <c r="K6" s="802" t="s">
        <v>2781</v>
      </c>
      <c r="L6" s="803"/>
      <c r="M6" s="748"/>
      <c r="N6" s="748"/>
      <c r="O6" s="748"/>
      <c r="P6" s="3599"/>
      <c r="Q6" s="3581"/>
      <c r="R6" s="3584"/>
      <c r="S6" s="3585"/>
      <c r="T6" s="3586"/>
      <c r="U6" s="3587"/>
      <c r="V6" s="3559"/>
      <c r="W6" s="3559"/>
      <c r="X6" s="852"/>
      <c r="Y6" s="3586"/>
      <c r="Z6" s="3587"/>
      <c r="AA6" s="3575"/>
      <c r="AB6" s="3575"/>
      <c r="AC6" s="3595"/>
    </row>
    <row r="7" spans="1:29" s="631" customFormat="1" ht="15">
      <c r="A7" s="659" t="s">
        <v>2782</v>
      </c>
      <c r="B7" s="660"/>
      <c r="C7" s="661">
        <f>'数据-取费表'!B2</f>
        <v>45798</v>
      </c>
      <c r="D7" s="662">
        <v>100</v>
      </c>
      <c r="E7" s="663"/>
      <c r="F7" s="664">
        <f>SUMIF(59:59,YEAR(E7)&amp;"-"&amp;MONTH(E7),60:60)</f>
        <v>0</v>
      </c>
      <c r="G7" s="663"/>
      <c r="H7" s="662">
        <f>SUMIF(59:59,YEAR(G7)&amp;"-"&amp;MONTH(G7),60:60)</f>
        <v>0</v>
      </c>
      <c r="I7" s="663"/>
      <c r="J7" s="662">
        <f>SUMIF(59:59,YEAR(I7)&amp;"-"&amp;MONTH(I7),60:60)</f>
        <v>0</v>
      </c>
      <c r="K7" s="807"/>
      <c r="L7" s="808"/>
      <c r="M7" s="809"/>
      <c r="N7" s="809"/>
      <c r="O7" s="809"/>
      <c r="P7" s="3588" t="s">
        <v>2783</v>
      </c>
      <c r="Q7" s="3556"/>
      <c r="R7" s="853" t="s">
        <v>2784</v>
      </c>
      <c r="S7" s="854">
        <f t="shared" ref="S7:S15" si="0">F7</f>
        <v>0</v>
      </c>
      <c r="T7" s="853" t="s">
        <v>2784</v>
      </c>
      <c r="U7" s="854">
        <f t="shared" ref="U7:U15" si="1">H7</f>
        <v>0</v>
      </c>
      <c r="V7" s="853" t="s">
        <v>2784</v>
      </c>
      <c r="W7" s="854">
        <f t="shared" ref="W7:W15" si="2">J7</f>
        <v>0</v>
      </c>
      <c r="X7" s="855"/>
      <c r="Y7" s="3555" t="s">
        <v>2783</v>
      </c>
      <c r="Z7" s="3557"/>
      <c r="AA7" s="866" t="e">
        <f>D7/F7</f>
        <v>#DIV/0!</v>
      </c>
      <c r="AB7" s="866" t="e">
        <f>D7/H7</f>
        <v>#DIV/0!</v>
      </c>
      <c r="AC7" s="1165" t="e">
        <f>D7/J7</f>
        <v>#DIV/0!</v>
      </c>
    </row>
    <row r="8" spans="1:29" s="631" customFormat="1" ht="15">
      <c r="A8" s="659" t="s">
        <v>2785</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588" t="s">
        <v>2786</v>
      </c>
      <c r="Q8" s="3557"/>
      <c r="R8" s="853" t="s">
        <v>2784</v>
      </c>
      <c r="S8" s="854">
        <f t="shared" si="0"/>
        <v>100</v>
      </c>
      <c r="T8" s="853" t="s">
        <v>2784</v>
      </c>
      <c r="U8" s="854">
        <f t="shared" si="1"/>
        <v>100</v>
      </c>
      <c r="V8" s="853" t="s">
        <v>2784</v>
      </c>
      <c r="W8" s="854">
        <f t="shared" si="2"/>
        <v>100</v>
      </c>
      <c r="X8" s="855"/>
      <c r="Y8" s="3555" t="s">
        <v>2786</v>
      </c>
      <c r="Z8" s="3557"/>
      <c r="AA8" s="866">
        <f t="shared" ref="AA8:AA47" si="3">D8/F8</f>
        <v>1</v>
      </c>
      <c r="AB8" s="866">
        <f t="shared" ref="AB8:AB47" si="4">D8/H8</f>
        <v>1</v>
      </c>
      <c r="AC8" s="1165">
        <f t="shared" ref="AC8:AC47" si="5">D8/J8</f>
        <v>1</v>
      </c>
    </row>
    <row r="9" spans="1:29" s="631" customFormat="1">
      <c r="A9" s="667" t="s">
        <v>2787</v>
      </c>
      <c r="B9" s="668" t="s">
        <v>2788</v>
      </c>
      <c r="C9" s="1016"/>
      <c r="D9" s="670">
        <v>100</v>
      </c>
      <c r="E9" s="1017"/>
      <c r="F9" s="670">
        <f>SUMIF(64:64,E9,65:65)-SUMIF(64:64,C9,65:65)+100</f>
        <v>100</v>
      </c>
      <c r="G9" s="1067"/>
      <c r="H9" s="670">
        <f>SUMIF(64:64,G9,65:65)-SUMIF(64:64,C9,65:65)+100</f>
        <v>100</v>
      </c>
      <c r="I9" s="1067"/>
      <c r="J9" s="670">
        <f>SUMIF(64:64,I9,65:65)-SUMIF(64:64,C9,65:65)+100</f>
        <v>100</v>
      </c>
      <c r="K9" s="807"/>
      <c r="L9" s="808"/>
      <c r="M9" s="809"/>
      <c r="N9" s="809"/>
      <c r="O9" s="809"/>
      <c r="P9" s="3560" t="s">
        <v>2789</v>
      </c>
      <c r="Q9" s="857" t="str">
        <f t="shared" ref="Q9:Q15" si="6">B9</f>
        <v>用途</v>
      </c>
      <c r="R9" s="853" t="s">
        <v>2784</v>
      </c>
      <c r="S9" s="854">
        <f t="shared" si="0"/>
        <v>100</v>
      </c>
      <c r="T9" s="853" t="s">
        <v>2784</v>
      </c>
      <c r="U9" s="854">
        <f t="shared" si="1"/>
        <v>100</v>
      </c>
      <c r="V9" s="853" t="s">
        <v>2784</v>
      </c>
      <c r="W9" s="854">
        <f t="shared" si="2"/>
        <v>100</v>
      </c>
      <c r="X9" s="855"/>
      <c r="Y9" s="3465" t="s">
        <v>2790</v>
      </c>
      <c r="Z9" s="866" t="str">
        <f t="shared" ref="Z9:Z15" si="7">Q9</f>
        <v>用途</v>
      </c>
      <c r="AA9" s="866">
        <f t="shared" si="3"/>
        <v>1</v>
      </c>
      <c r="AB9" s="866">
        <f t="shared" si="4"/>
        <v>1</v>
      </c>
      <c r="AC9" s="1165">
        <f t="shared" si="5"/>
        <v>1</v>
      </c>
    </row>
    <row r="10" spans="1:29" s="632" customFormat="1" ht="27">
      <c r="A10" s="671"/>
      <c r="B10" s="672" t="s">
        <v>2791</v>
      </c>
      <c r="C10" s="1018"/>
      <c r="D10" s="674">
        <v>100</v>
      </c>
      <c r="E10" s="1018"/>
      <c r="F10" s="674">
        <f>SUMIF(66:66,E10,67:67)-SUMIF(66:66,C10,67:67)+100</f>
        <v>100</v>
      </c>
      <c r="G10" s="1070"/>
      <c r="H10" s="674">
        <f>SUMIF(66:66,G10,67:67)-SUMIF(66:66,C10,67:67)+100</f>
        <v>100</v>
      </c>
      <c r="I10" s="1018"/>
      <c r="J10" s="674">
        <f>SUMIF(66:66,I10,67:67)-SUMIF(66:66,C10,67:67)+100</f>
        <v>100</v>
      </c>
      <c r="K10" s="807"/>
      <c r="L10" s="813"/>
      <c r="M10" s="814"/>
      <c r="N10" s="814"/>
      <c r="O10" s="814"/>
      <c r="P10" s="3560"/>
      <c r="Q10" s="857" t="str">
        <f t="shared" si="6"/>
        <v>土地使用年限（年）</v>
      </c>
      <c r="R10" s="853" t="s">
        <v>2784</v>
      </c>
      <c r="S10" s="854">
        <f t="shared" si="0"/>
        <v>100</v>
      </c>
      <c r="T10" s="853" t="s">
        <v>2784</v>
      </c>
      <c r="U10" s="854">
        <f t="shared" si="1"/>
        <v>100</v>
      </c>
      <c r="V10" s="853" t="s">
        <v>2784</v>
      </c>
      <c r="W10" s="854">
        <f t="shared" si="2"/>
        <v>100</v>
      </c>
      <c r="X10" s="855"/>
      <c r="Y10" s="3465"/>
      <c r="Z10" s="866" t="str">
        <f t="shared" si="7"/>
        <v>土地使用年限（年）</v>
      </c>
      <c r="AA10" s="866">
        <f t="shared" si="3"/>
        <v>1</v>
      </c>
      <c r="AB10" s="866">
        <f t="shared" si="4"/>
        <v>1</v>
      </c>
      <c r="AC10" s="1165">
        <f t="shared" si="5"/>
        <v>1</v>
      </c>
    </row>
    <row r="11" spans="1:29" ht="15">
      <c r="A11" s="675"/>
      <c r="B11" s="672" t="s">
        <v>2792</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560"/>
      <c r="Q11" s="857" t="str">
        <f t="shared" si="6"/>
        <v>容积率</v>
      </c>
      <c r="R11" s="853" t="s">
        <v>2784</v>
      </c>
      <c r="S11" s="854">
        <f t="shared" si="0"/>
        <v>100</v>
      </c>
      <c r="T11" s="853" t="s">
        <v>2784</v>
      </c>
      <c r="U11" s="854">
        <f t="shared" si="1"/>
        <v>100</v>
      </c>
      <c r="V11" s="853" t="s">
        <v>2784</v>
      </c>
      <c r="W11" s="854">
        <f t="shared" si="2"/>
        <v>100</v>
      </c>
      <c r="X11" s="855"/>
      <c r="Y11" s="3465"/>
      <c r="Z11" s="866" t="str">
        <f t="shared" si="7"/>
        <v>容积率</v>
      </c>
      <c r="AA11" s="866">
        <f t="shared" si="3"/>
        <v>1</v>
      </c>
      <c r="AB11" s="866">
        <f t="shared" si="4"/>
        <v>1</v>
      </c>
      <c r="AC11" s="1165">
        <f t="shared" si="5"/>
        <v>1</v>
      </c>
    </row>
    <row r="12" spans="1:29" s="631" customFormat="1" ht="15">
      <c r="A12" s="678"/>
      <c r="B12" s="679">
        <v>111</v>
      </c>
      <c r="C12" s="673"/>
      <c r="D12" s="680">
        <v>100</v>
      </c>
      <c r="E12" s="673"/>
      <c r="F12" s="674">
        <f>SUMIF(71:71,E12,72:72)-SUMIF(71:71,C12,72:72)+100</f>
        <v>100</v>
      </c>
      <c r="G12" s="1155"/>
      <c r="H12" s="674">
        <f>SUMIF(71:71,G12,72:72)-SUMIF(71:71,C12,72:72)+100</f>
        <v>100</v>
      </c>
      <c r="I12" s="673"/>
      <c r="J12" s="674">
        <f>SUMIF(71:71,I12,72:72)-SUMIF(71:71,C12,72:72)+100</f>
        <v>100</v>
      </c>
      <c r="K12" s="825"/>
      <c r="L12" s="808"/>
      <c r="M12" s="809"/>
      <c r="N12" s="809"/>
      <c r="O12" s="809"/>
      <c r="P12" s="3560"/>
      <c r="Q12" s="857">
        <f t="shared" si="6"/>
        <v>111</v>
      </c>
      <c r="R12" s="853" t="s">
        <v>2784</v>
      </c>
      <c r="S12" s="854">
        <f t="shared" si="0"/>
        <v>100</v>
      </c>
      <c r="T12" s="853" t="s">
        <v>2784</v>
      </c>
      <c r="U12" s="854">
        <f t="shared" si="1"/>
        <v>100</v>
      </c>
      <c r="V12" s="853" t="s">
        <v>2784</v>
      </c>
      <c r="W12" s="854">
        <f t="shared" si="2"/>
        <v>100</v>
      </c>
      <c r="X12" s="855"/>
      <c r="Y12" s="3465"/>
      <c r="Z12" s="866">
        <f t="shared" si="7"/>
        <v>111</v>
      </c>
      <c r="AA12" s="866">
        <f t="shared" si="3"/>
        <v>1</v>
      </c>
      <c r="AB12" s="866">
        <f t="shared" si="4"/>
        <v>1</v>
      </c>
      <c r="AC12" s="1165">
        <f t="shared" si="5"/>
        <v>1</v>
      </c>
    </row>
    <row r="13" spans="1:29" ht="15">
      <c r="A13" s="675"/>
      <c r="B13" s="679">
        <v>111</v>
      </c>
      <c r="C13" s="683"/>
      <c r="D13" s="684">
        <v>100</v>
      </c>
      <c r="E13" s="673"/>
      <c r="F13" s="674">
        <f>SUMIF(73:73,E13,74:74)-SUMIF(73:73,C13,74:74)+100</f>
        <v>100</v>
      </c>
      <c r="G13" s="1155"/>
      <c r="H13" s="684">
        <f>SUMIF(73:73,G13,74:74)-SUMIF(73:73,C13,74:74)+100</f>
        <v>100</v>
      </c>
      <c r="I13" s="673"/>
      <c r="J13" s="684">
        <f>SUMIF(73:73,I13,74:74)-SUMIF(73:73,C13,74:74)+100</f>
        <v>100</v>
      </c>
      <c r="K13" s="825"/>
      <c r="L13" s="819"/>
      <c r="M13" s="748"/>
      <c r="N13" s="748"/>
      <c r="O13" s="748"/>
      <c r="P13" s="3560"/>
      <c r="Q13" s="857">
        <f t="shared" si="6"/>
        <v>111</v>
      </c>
      <c r="R13" s="853" t="s">
        <v>2784</v>
      </c>
      <c r="S13" s="854">
        <f t="shared" si="0"/>
        <v>100</v>
      </c>
      <c r="T13" s="853" t="s">
        <v>2784</v>
      </c>
      <c r="U13" s="854">
        <f t="shared" si="1"/>
        <v>100</v>
      </c>
      <c r="V13" s="853" t="s">
        <v>2784</v>
      </c>
      <c r="W13" s="854">
        <f t="shared" si="2"/>
        <v>100</v>
      </c>
      <c r="X13" s="855"/>
      <c r="Y13" s="3465"/>
      <c r="Z13" s="866">
        <f t="shared" si="7"/>
        <v>111</v>
      </c>
      <c r="AA13" s="866">
        <f t="shared" si="3"/>
        <v>1</v>
      </c>
      <c r="AB13" s="866">
        <f t="shared" si="4"/>
        <v>1</v>
      </c>
      <c r="AC13" s="1165">
        <f t="shared" si="5"/>
        <v>1</v>
      </c>
    </row>
    <row r="14" spans="1:29" ht="15">
      <c r="A14" s="685"/>
      <c r="B14" s="686">
        <v>111</v>
      </c>
      <c r="C14" s="687"/>
      <c r="D14" s="688">
        <v>100</v>
      </c>
      <c r="E14" s="1078"/>
      <c r="F14" s="688">
        <f>SUMIF(75:75,E14,76:76)-SUMIF(75:75,C14,76:76)+100</f>
        <v>100</v>
      </c>
      <c r="G14" s="1155"/>
      <c r="H14" s="688">
        <f>SUMIF(75:75,G14,76:76)-SUMIF(75:75,C14,76:76)+100</f>
        <v>100</v>
      </c>
      <c r="I14" s="673"/>
      <c r="J14" s="688">
        <f>SUMIF(75:75,I14,76:76)-SUMIF(75:75,C14,76:76)+100</f>
        <v>100</v>
      </c>
      <c r="K14" s="825"/>
      <c r="L14" s="819"/>
      <c r="M14" s="748"/>
      <c r="N14" s="748"/>
      <c r="O14" s="748"/>
      <c r="P14" s="3560"/>
      <c r="Q14" s="857">
        <f t="shared" si="6"/>
        <v>111</v>
      </c>
      <c r="R14" s="853" t="s">
        <v>2784</v>
      </c>
      <c r="S14" s="854">
        <f t="shared" si="0"/>
        <v>100</v>
      </c>
      <c r="T14" s="853" t="s">
        <v>2784</v>
      </c>
      <c r="U14" s="854">
        <f t="shared" si="1"/>
        <v>100</v>
      </c>
      <c r="V14" s="853" t="s">
        <v>2784</v>
      </c>
      <c r="W14" s="854">
        <f t="shared" si="2"/>
        <v>100</v>
      </c>
      <c r="X14" s="855"/>
      <c r="Y14" s="3465"/>
      <c r="Z14" s="866">
        <f t="shared" si="7"/>
        <v>111</v>
      </c>
      <c r="AA14" s="866">
        <f t="shared" si="3"/>
        <v>1</v>
      </c>
      <c r="AB14" s="866">
        <f t="shared" si="4"/>
        <v>1</v>
      </c>
      <c r="AC14" s="1165">
        <f t="shared" si="5"/>
        <v>1</v>
      </c>
    </row>
    <row r="15" spans="1:29" ht="71.25">
      <c r="A15" s="689" t="s">
        <v>2793</v>
      </c>
      <c r="B15" s="690" t="s">
        <v>2864</v>
      </c>
      <c r="C15" s="1156"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c r="L15" s="819"/>
      <c r="M15" s="748"/>
      <c r="N15" s="748"/>
      <c r="O15" s="748"/>
      <c r="P15" s="3561" t="s">
        <v>2795</v>
      </c>
      <c r="Q15" s="771" t="str">
        <f t="shared" si="6"/>
        <v>办公集聚程度</v>
      </c>
      <c r="R15" s="858" t="s">
        <v>2784</v>
      </c>
      <c r="S15" s="859">
        <f t="shared" si="0"/>
        <v>100</v>
      </c>
      <c r="T15" s="858" t="s">
        <v>2784</v>
      </c>
      <c r="U15" s="859">
        <f t="shared" si="1"/>
        <v>100</v>
      </c>
      <c r="V15" s="858" t="s">
        <v>2784</v>
      </c>
      <c r="W15" s="859">
        <f t="shared" si="2"/>
        <v>100</v>
      </c>
      <c r="X15" s="852"/>
      <c r="Y15" s="3566" t="s">
        <v>2795</v>
      </c>
      <c r="Z15" s="840" t="str">
        <f t="shared" si="7"/>
        <v>办公集聚程度</v>
      </c>
      <c r="AA15" s="840">
        <f t="shared" si="3"/>
        <v>1</v>
      </c>
      <c r="AB15" s="840">
        <f t="shared" si="4"/>
        <v>1</v>
      </c>
      <c r="AC15" s="1166">
        <f t="shared" si="5"/>
        <v>1</v>
      </c>
    </row>
    <row r="16" spans="1:29" ht="15">
      <c r="A16" s="675"/>
      <c r="B16" s="694"/>
      <c r="C16" s="697"/>
      <c r="D16" s="696"/>
      <c r="E16" s="695"/>
      <c r="F16" s="696"/>
      <c r="G16" s="697"/>
      <c r="H16" s="698"/>
      <c r="I16" s="695"/>
      <c r="J16" s="696"/>
      <c r="K16" s="1047"/>
      <c r="L16" s="819"/>
      <c r="M16" s="748"/>
      <c r="N16" s="748"/>
      <c r="O16" s="748"/>
      <c r="P16" s="3562"/>
      <c r="Q16" s="771"/>
      <c r="R16" s="858"/>
      <c r="S16" s="859"/>
      <c r="T16" s="858"/>
      <c r="U16" s="859"/>
      <c r="V16" s="858"/>
      <c r="W16" s="859"/>
      <c r="X16" s="852"/>
      <c r="Y16" s="3567"/>
      <c r="Z16" s="840"/>
      <c r="AA16" s="840">
        <v>1</v>
      </c>
      <c r="AB16" s="840">
        <v>1</v>
      </c>
      <c r="AC16" s="1166">
        <v>1</v>
      </c>
    </row>
    <row r="17" spans="1:29" ht="71.25">
      <c r="A17" s="675"/>
      <c r="B17" s="699" t="s">
        <v>2796</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c r="L17" s="819"/>
      <c r="M17" s="748"/>
      <c r="N17" s="748"/>
      <c r="O17" s="748"/>
      <c r="P17" s="3562"/>
      <c r="Q17" s="771" t="str">
        <f>B17</f>
        <v>交通便捷度</v>
      </c>
      <c r="R17" s="858" t="s">
        <v>2784</v>
      </c>
      <c r="S17" s="859">
        <f>F17</f>
        <v>100</v>
      </c>
      <c r="T17" s="858" t="s">
        <v>2784</v>
      </c>
      <c r="U17" s="859">
        <f>H17</f>
        <v>100</v>
      </c>
      <c r="V17" s="858" t="s">
        <v>2784</v>
      </c>
      <c r="W17" s="859">
        <f>J17</f>
        <v>100</v>
      </c>
      <c r="X17" s="852"/>
      <c r="Y17" s="3567"/>
      <c r="Z17" s="840" t="str">
        <f>Q17</f>
        <v>交通便捷度</v>
      </c>
      <c r="AA17" s="840">
        <f t="shared" si="3"/>
        <v>1</v>
      </c>
      <c r="AB17" s="840">
        <f t="shared" si="4"/>
        <v>1</v>
      </c>
      <c r="AC17" s="1166">
        <f t="shared" si="5"/>
        <v>1</v>
      </c>
    </row>
    <row r="18" spans="1:29" ht="15">
      <c r="A18" s="675"/>
      <c r="B18" s="703"/>
      <c r="C18" s="1157"/>
      <c r="D18" s="698"/>
      <c r="E18" s="984"/>
      <c r="F18" s="698"/>
      <c r="G18" s="977"/>
      <c r="H18" s="696"/>
      <c r="I18" s="977"/>
      <c r="J18" s="696"/>
      <c r="K18" s="1047"/>
      <c r="L18" s="819"/>
      <c r="M18" s="748"/>
      <c r="N18" s="748"/>
      <c r="O18" s="748"/>
      <c r="P18" s="3562"/>
      <c r="Q18" s="771"/>
      <c r="R18" s="858"/>
      <c r="S18" s="859"/>
      <c r="T18" s="858"/>
      <c r="U18" s="859"/>
      <c r="V18" s="858"/>
      <c r="W18" s="859"/>
      <c r="X18" s="852"/>
      <c r="Y18" s="3567"/>
      <c r="Z18" s="840"/>
      <c r="AA18" s="840">
        <v>1</v>
      </c>
      <c r="AB18" s="840">
        <v>1</v>
      </c>
      <c r="AC18" s="1166">
        <v>1</v>
      </c>
    </row>
    <row r="19" spans="1:29" ht="42.75">
      <c r="A19" s="675"/>
      <c r="B19" s="699" t="s">
        <v>2797</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c r="L19" s="819"/>
      <c r="M19" s="748"/>
      <c r="N19" s="748"/>
      <c r="O19" s="748"/>
      <c r="P19" s="3562"/>
      <c r="Q19" s="771" t="str">
        <f>B19</f>
        <v>公共配套设施</v>
      </c>
      <c r="R19" s="858" t="s">
        <v>2784</v>
      </c>
      <c r="S19" s="859">
        <f>F19</f>
        <v>100</v>
      </c>
      <c r="T19" s="858" t="s">
        <v>2784</v>
      </c>
      <c r="U19" s="859">
        <f>H19</f>
        <v>100</v>
      </c>
      <c r="V19" s="858" t="s">
        <v>2784</v>
      </c>
      <c r="W19" s="859">
        <f>J19</f>
        <v>100</v>
      </c>
      <c r="X19" s="852"/>
      <c r="Y19" s="3567"/>
      <c r="Z19" s="840" t="str">
        <f>Q19</f>
        <v>公共配套设施</v>
      </c>
      <c r="AA19" s="840">
        <f t="shared" si="3"/>
        <v>1</v>
      </c>
      <c r="AB19" s="840">
        <f t="shared" si="4"/>
        <v>1</v>
      </c>
      <c r="AC19" s="1166">
        <f t="shared" si="5"/>
        <v>1</v>
      </c>
    </row>
    <row r="20" spans="1:29" ht="15">
      <c r="A20" s="675"/>
      <c r="B20" s="703"/>
      <c r="C20" s="697"/>
      <c r="D20" s="696"/>
      <c r="E20" s="823"/>
      <c r="F20" s="696"/>
      <c r="G20" s="704"/>
      <c r="H20" s="696"/>
      <c r="I20" s="704"/>
      <c r="J20" s="696"/>
      <c r="K20" s="1047"/>
      <c r="L20" s="819"/>
      <c r="M20" s="748"/>
      <c r="N20" s="748"/>
      <c r="O20" s="748"/>
      <c r="P20" s="3562"/>
      <c r="Q20" s="771"/>
      <c r="R20" s="858"/>
      <c r="S20" s="859"/>
      <c r="T20" s="858"/>
      <c r="U20" s="859"/>
      <c r="V20" s="858"/>
      <c r="W20" s="859"/>
      <c r="X20" s="852"/>
      <c r="Y20" s="3567"/>
      <c r="Z20" s="840"/>
      <c r="AA20" s="840">
        <v>1</v>
      </c>
      <c r="AB20" s="840">
        <v>1</v>
      </c>
      <c r="AC20" s="1166">
        <v>1</v>
      </c>
    </row>
    <row r="21" spans="1:29" ht="28.5">
      <c r="A21" s="675"/>
      <c r="B21" s="706" t="s">
        <v>2798</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c r="L21" s="819"/>
      <c r="M21" s="748"/>
      <c r="N21" s="748"/>
      <c r="O21" s="748"/>
      <c r="P21" s="3562"/>
      <c r="Q21" s="771" t="str">
        <f>B21</f>
        <v>基础设施水平</v>
      </c>
      <c r="R21" s="858" t="s">
        <v>2784</v>
      </c>
      <c r="S21" s="859">
        <f>F21</f>
        <v>100</v>
      </c>
      <c r="T21" s="858" t="s">
        <v>2784</v>
      </c>
      <c r="U21" s="859">
        <f>H21</f>
        <v>100</v>
      </c>
      <c r="V21" s="858" t="s">
        <v>2784</v>
      </c>
      <c r="W21" s="859">
        <f>J21</f>
        <v>100</v>
      </c>
      <c r="X21" s="852"/>
      <c r="Y21" s="3567"/>
      <c r="Z21" s="840" t="str">
        <f>Q21</f>
        <v>基础设施水平</v>
      </c>
      <c r="AA21" s="840">
        <f t="shared" ref="AA21" si="8">D21/F21</f>
        <v>1</v>
      </c>
      <c r="AB21" s="840">
        <f t="shared" ref="AB21" si="9">D21/H21</f>
        <v>1</v>
      </c>
      <c r="AC21" s="1166">
        <f t="shared" ref="AC21" si="10">D21/J21</f>
        <v>1</v>
      </c>
    </row>
    <row r="22" spans="1:29" ht="15">
      <c r="A22" s="675"/>
      <c r="B22" s="706"/>
      <c r="C22" s="1157"/>
      <c r="D22" s="696"/>
      <c r="E22" s="695"/>
      <c r="F22" s="696"/>
      <c r="G22" s="697"/>
      <c r="H22" s="696"/>
      <c r="I22" s="697"/>
      <c r="J22" s="696"/>
      <c r="K22" s="1048"/>
      <c r="L22" s="819"/>
      <c r="M22" s="748"/>
      <c r="N22" s="748"/>
      <c r="O22" s="748"/>
      <c r="P22" s="3562"/>
      <c r="Q22" s="771"/>
      <c r="R22" s="858"/>
      <c r="S22" s="859"/>
      <c r="T22" s="858"/>
      <c r="U22" s="859"/>
      <c r="V22" s="858"/>
      <c r="W22" s="859"/>
      <c r="X22" s="852"/>
      <c r="Y22" s="3567"/>
      <c r="Z22" s="840"/>
      <c r="AA22" s="840">
        <v>1</v>
      </c>
      <c r="AB22" s="840">
        <v>1</v>
      </c>
      <c r="AC22" s="1166">
        <v>1</v>
      </c>
    </row>
    <row r="23" spans="1:29" ht="42.75">
      <c r="A23" s="675"/>
      <c r="B23" s="699" t="s">
        <v>2865</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46"/>
      <c r="L23" s="819"/>
      <c r="M23" s="748"/>
      <c r="N23" s="748"/>
      <c r="O23" s="748"/>
      <c r="P23" s="3562"/>
      <c r="Q23" s="771" t="str">
        <f>B23</f>
        <v>环境质量</v>
      </c>
      <c r="R23" s="858" t="s">
        <v>2784</v>
      </c>
      <c r="S23" s="859">
        <f>F23</f>
        <v>100</v>
      </c>
      <c r="T23" s="858" t="s">
        <v>2784</v>
      </c>
      <c r="U23" s="859">
        <f>H23</f>
        <v>100</v>
      </c>
      <c r="V23" s="858" t="s">
        <v>2784</v>
      </c>
      <c r="W23" s="859">
        <f>J23</f>
        <v>100</v>
      </c>
      <c r="X23" s="852"/>
      <c r="Y23" s="3567"/>
      <c r="Z23" s="840" t="str">
        <f>Q23</f>
        <v>环境质量</v>
      </c>
      <c r="AA23" s="840">
        <f t="shared" si="3"/>
        <v>1</v>
      </c>
      <c r="AB23" s="840">
        <f t="shared" si="4"/>
        <v>1</v>
      </c>
      <c r="AC23" s="1166">
        <f t="shared" si="5"/>
        <v>1</v>
      </c>
    </row>
    <row r="24" spans="1:29" ht="15">
      <c r="A24" s="675"/>
      <c r="B24" s="706"/>
      <c r="C24" s="697"/>
      <c r="D24" s="696"/>
      <c r="E24" s="823"/>
      <c r="F24" s="696"/>
      <c r="G24" s="704"/>
      <c r="H24" s="696"/>
      <c r="I24" s="704"/>
      <c r="J24" s="696"/>
      <c r="K24" s="1047"/>
      <c r="L24" s="819"/>
      <c r="M24" s="748"/>
      <c r="N24" s="748"/>
      <c r="O24" s="748"/>
      <c r="P24" s="3562"/>
      <c r="Q24" s="771"/>
      <c r="R24" s="858"/>
      <c r="S24" s="859"/>
      <c r="T24" s="858"/>
      <c r="U24" s="859"/>
      <c r="V24" s="858"/>
      <c r="W24" s="859"/>
      <c r="X24" s="852"/>
      <c r="Y24" s="3567"/>
      <c r="Z24" s="840"/>
      <c r="AA24" s="840">
        <v>1</v>
      </c>
      <c r="AB24" s="840">
        <v>1</v>
      </c>
      <c r="AC24" s="1166">
        <v>1</v>
      </c>
    </row>
    <row r="25" spans="1:29" ht="27">
      <c r="A25" s="654"/>
      <c r="B25" s="699" t="s">
        <v>2866</v>
      </c>
      <c r="C25" s="1158"/>
      <c r="D25" s="684">
        <v>100</v>
      </c>
      <c r="E25" s="683"/>
      <c r="F25" s="684">
        <f>SUMIF(87:87,E26,88:88)-SUMIF(87:87,C26,88:88)+100</f>
        <v>100</v>
      </c>
      <c r="G25" s="1158"/>
      <c r="H25" s="684">
        <f>SUMIF(87:87,G26,88:88)-SUMIF(87:87,C26,88:88)+100</f>
        <v>100</v>
      </c>
      <c r="I25" s="683"/>
      <c r="J25" s="684">
        <f>SUMIF(87:87,I26,88:88)-SUMIF(87:87,C26,88:88)+100</f>
        <v>100</v>
      </c>
      <c r="K25" s="1046"/>
      <c r="L25" s="819"/>
      <c r="M25" s="748"/>
      <c r="N25" s="748"/>
      <c r="O25" s="748"/>
      <c r="P25" s="3562"/>
      <c r="Q25" s="771" t="str">
        <f>B25</f>
        <v>毗邻道路的类型与等级</v>
      </c>
      <c r="R25" s="858" t="s">
        <v>2784</v>
      </c>
      <c r="S25" s="859">
        <f>F25</f>
        <v>100</v>
      </c>
      <c r="T25" s="858" t="s">
        <v>2784</v>
      </c>
      <c r="U25" s="859">
        <f>H25</f>
        <v>100</v>
      </c>
      <c r="V25" s="858" t="s">
        <v>2784</v>
      </c>
      <c r="W25" s="859">
        <f>J25</f>
        <v>100</v>
      </c>
      <c r="X25" s="852"/>
      <c r="Y25" s="3567"/>
      <c r="Z25" s="840" t="str">
        <f>Q25</f>
        <v>毗邻道路的类型与等级</v>
      </c>
      <c r="AA25" s="840">
        <f t="shared" si="3"/>
        <v>1</v>
      </c>
      <c r="AB25" s="840">
        <f t="shared" si="4"/>
        <v>1</v>
      </c>
      <c r="AC25" s="1166">
        <f t="shared" si="5"/>
        <v>1</v>
      </c>
    </row>
    <row r="26" spans="1:29" ht="15">
      <c r="A26" s="654"/>
      <c r="B26" s="703"/>
      <c r="C26" s="710"/>
      <c r="D26" s="684"/>
      <c r="E26" s="709"/>
      <c r="F26" s="684"/>
      <c r="G26" s="710"/>
      <c r="H26" s="684"/>
      <c r="I26" s="709"/>
      <c r="J26" s="684"/>
      <c r="K26" s="1047"/>
      <c r="L26" s="819"/>
      <c r="M26" s="748"/>
      <c r="N26" s="748"/>
      <c r="O26" s="748"/>
      <c r="P26" s="3562"/>
      <c r="Q26" s="771"/>
      <c r="R26" s="858"/>
      <c r="S26" s="859"/>
      <c r="T26" s="858"/>
      <c r="U26" s="859"/>
      <c r="V26" s="858"/>
      <c r="W26" s="859"/>
      <c r="X26" s="852"/>
      <c r="Y26" s="3567"/>
      <c r="Z26" s="840"/>
      <c r="AA26" s="840">
        <v>1</v>
      </c>
      <c r="AB26" s="840">
        <v>1</v>
      </c>
      <c r="AC26" s="1166">
        <v>1</v>
      </c>
    </row>
    <row r="27" spans="1:29" ht="15">
      <c r="A27" s="675"/>
      <c r="B27" s="703" t="s">
        <v>2856</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562"/>
      <c r="Q27" s="771" t="str">
        <f t="shared" ref="Q27:Q47" si="11">B27</f>
        <v>楼层</v>
      </c>
      <c r="R27" s="858" t="s">
        <v>2784</v>
      </c>
      <c r="S27" s="859">
        <f>F27</f>
        <v>100</v>
      </c>
      <c r="T27" s="858" t="s">
        <v>2784</v>
      </c>
      <c r="U27" s="859">
        <f>H27</f>
        <v>100</v>
      </c>
      <c r="V27" s="858" t="s">
        <v>2784</v>
      </c>
      <c r="W27" s="859">
        <f>J27</f>
        <v>100</v>
      </c>
      <c r="X27" s="852"/>
      <c r="Y27" s="3567"/>
      <c r="Z27" s="840" t="str">
        <f>Q27</f>
        <v>楼层</v>
      </c>
      <c r="AA27" s="840">
        <f t="shared" si="3"/>
        <v>1</v>
      </c>
      <c r="AB27" s="840">
        <f t="shared" si="4"/>
        <v>1</v>
      </c>
      <c r="AC27" s="1166">
        <f t="shared" si="5"/>
        <v>1</v>
      </c>
    </row>
    <row r="28" spans="1:29" s="631" customFormat="1" ht="15">
      <c r="A28" s="678"/>
      <c r="B28" s="699" t="s">
        <v>2801</v>
      </c>
      <c r="C28" s="1159"/>
      <c r="D28" s="703">
        <v>100</v>
      </c>
      <c r="E28" s="1160"/>
      <c r="F28" s="703">
        <f>SUMIF(91:91,E28,92:92)-SUMIF(91:91,C28,92:92)+100</f>
        <v>100</v>
      </c>
      <c r="G28" s="1159"/>
      <c r="H28" s="703">
        <f>SUMIF(91:91,G28,92:92)-SUMIF(91:91,C28,92:92)+100</f>
        <v>100</v>
      </c>
      <c r="I28" s="1160"/>
      <c r="J28" s="703">
        <f>SUMIF(91:91,I28,92:92)-SUMIF(91:91,C28,92:92)+100</f>
        <v>100</v>
      </c>
      <c r="K28" s="826"/>
      <c r="L28" s="808"/>
      <c r="M28" s="809"/>
      <c r="N28" s="809"/>
      <c r="O28" s="809"/>
      <c r="P28" s="3562"/>
      <c r="Q28" s="857" t="str">
        <f t="shared" si="11"/>
        <v>朝向</v>
      </c>
      <c r="R28" s="853" t="s">
        <v>2784</v>
      </c>
      <c r="S28" s="854">
        <f>F28</f>
        <v>100</v>
      </c>
      <c r="T28" s="853" t="s">
        <v>2784</v>
      </c>
      <c r="U28" s="854">
        <f>H28</f>
        <v>100</v>
      </c>
      <c r="V28" s="853" t="s">
        <v>2784</v>
      </c>
      <c r="W28" s="854">
        <f>J28</f>
        <v>100</v>
      </c>
      <c r="X28" s="855"/>
      <c r="Y28" s="3567"/>
      <c r="Z28" s="866" t="str">
        <f>Q28</f>
        <v>朝向</v>
      </c>
      <c r="AA28" s="840">
        <f t="shared" si="3"/>
        <v>1</v>
      </c>
      <c r="AB28" s="840">
        <f t="shared" si="4"/>
        <v>1</v>
      </c>
      <c r="AC28" s="1166">
        <f t="shared" si="5"/>
        <v>1</v>
      </c>
    </row>
    <row r="29" spans="1:29" ht="15">
      <c r="A29" s="675"/>
      <c r="B29" s="713">
        <v>111</v>
      </c>
      <c r="C29" s="1158"/>
      <c r="D29" s="684">
        <v>100</v>
      </c>
      <c r="E29" s="673"/>
      <c r="F29" s="684">
        <f>SUMIF(93:93,E29,94:94)-SUMIF(93:93,C29,94:94)+100</f>
        <v>100</v>
      </c>
      <c r="G29" s="1155"/>
      <c r="H29" s="684">
        <f>SUMIF(93:93,G29,94:94)-SUMIF(93:93,C29,94:94)+100</f>
        <v>100</v>
      </c>
      <c r="I29" s="673"/>
      <c r="J29" s="684">
        <f>SUMIF(93:93,I29,94:94)-SUMIF(93:93,C29,94:94)+100</f>
        <v>100</v>
      </c>
      <c r="K29" s="825"/>
      <c r="L29" s="819"/>
      <c r="M29" s="748"/>
      <c r="N29" s="748"/>
      <c r="O29" s="748"/>
      <c r="P29" s="3562"/>
      <c r="Q29" s="771">
        <f t="shared" si="11"/>
        <v>111</v>
      </c>
      <c r="R29" s="858" t="s">
        <v>2784</v>
      </c>
      <c r="S29" s="859">
        <f t="shared" ref="S29:S47" si="12">F29</f>
        <v>100</v>
      </c>
      <c r="T29" s="858" t="s">
        <v>2784</v>
      </c>
      <c r="U29" s="859">
        <f t="shared" ref="U29:U47" si="13">H29</f>
        <v>100</v>
      </c>
      <c r="V29" s="858" t="s">
        <v>2784</v>
      </c>
      <c r="W29" s="859">
        <f t="shared" ref="W29:W47" si="14">J29</f>
        <v>100</v>
      </c>
      <c r="X29" s="852"/>
      <c r="Y29" s="3567"/>
      <c r="Z29" s="840">
        <f t="shared" ref="Z29:Z47" si="15">Q29</f>
        <v>111</v>
      </c>
      <c r="AA29" s="840">
        <f t="shared" si="3"/>
        <v>1</v>
      </c>
      <c r="AB29" s="840">
        <f t="shared" si="4"/>
        <v>1</v>
      </c>
      <c r="AC29" s="1166">
        <f t="shared" si="5"/>
        <v>1</v>
      </c>
    </row>
    <row r="30" spans="1:29" ht="15">
      <c r="A30" s="675"/>
      <c r="B30" s="713">
        <v>111</v>
      </c>
      <c r="C30" s="1158"/>
      <c r="D30" s="684">
        <v>100</v>
      </c>
      <c r="E30" s="673"/>
      <c r="F30" s="684">
        <f>SUMIF(95:95,E30,96:96)-SUMIF(95:95,C30,96:96)+100</f>
        <v>100</v>
      </c>
      <c r="G30" s="1155"/>
      <c r="H30" s="684">
        <f>SUMIF(95:95,G30,96:96)-SUMIF(95:95,C30,96:96)+100</f>
        <v>100</v>
      </c>
      <c r="I30" s="673"/>
      <c r="J30" s="684">
        <f>SUMIF(95:95,I30,96:96)-SUMIF(95:95,C30,96:96)+100</f>
        <v>100</v>
      </c>
      <c r="K30" s="825"/>
      <c r="L30" s="819"/>
      <c r="M30" s="748"/>
      <c r="N30" s="748"/>
      <c r="O30" s="748"/>
      <c r="P30" s="3562"/>
      <c r="Q30" s="771">
        <f t="shared" si="11"/>
        <v>111</v>
      </c>
      <c r="R30" s="858" t="s">
        <v>2784</v>
      </c>
      <c r="S30" s="859">
        <f t="shared" si="12"/>
        <v>100</v>
      </c>
      <c r="T30" s="858" t="s">
        <v>2784</v>
      </c>
      <c r="U30" s="859">
        <f t="shared" si="13"/>
        <v>100</v>
      </c>
      <c r="V30" s="858" t="s">
        <v>2784</v>
      </c>
      <c r="W30" s="859">
        <f t="shared" si="14"/>
        <v>100</v>
      </c>
      <c r="X30" s="852"/>
      <c r="Y30" s="3567"/>
      <c r="Z30" s="840">
        <f t="shared" si="15"/>
        <v>111</v>
      </c>
      <c r="AA30" s="840">
        <f t="shared" si="3"/>
        <v>1</v>
      </c>
      <c r="AB30" s="840">
        <f t="shared" si="4"/>
        <v>1</v>
      </c>
      <c r="AC30" s="1166">
        <f t="shared" si="5"/>
        <v>1</v>
      </c>
    </row>
    <row r="31" spans="1:29" ht="15">
      <c r="A31" s="675"/>
      <c r="B31" s="713">
        <v>111</v>
      </c>
      <c r="C31" s="1158"/>
      <c r="D31" s="684">
        <v>100</v>
      </c>
      <c r="E31" s="673"/>
      <c r="F31" s="684">
        <f>SUMIF(97:97,E31,98:98)-SUMIF(97:97,C31,98:98)+100</f>
        <v>100</v>
      </c>
      <c r="G31" s="1155"/>
      <c r="H31" s="684">
        <f>SUMIF(97:97,G31,98:98)-SUMIF(97:97,C31,98:98)+100</f>
        <v>100</v>
      </c>
      <c r="I31" s="673"/>
      <c r="J31" s="684">
        <f>SUMIF(97:97,I31,98:98)-SUMIF(97:97,C31,98:98)+100</f>
        <v>100</v>
      </c>
      <c r="K31" s="825"/>
      <c r="L31" s="819"/>
      <c r="M31" s="748"/>
      <c r="N31" s="748"/>
      <c r="O31" s="748"/>
      <c r="P31" s="3562"/>
      <c r="Q31" s="771">
        <f t="shared" si="11"/>
        <v>111</v>
      </c>
      <c r="R31" s="858" t="s">
        <v>2784</v>
      </c>
      <c r="S31" s="859">
        <f t="shared" si="12"/>
        <v>100</v>
      </c>
      <c r="T31" s="858" t="s">
        <v>2784</v>
      </c>
      <c r="U31" s="859">
        <f t="shared" si="13"/>
        <v>100</v>
      </c>
      <c r="V31" s="858" t="s">
        <v>2784</v>
      </c>
      <c r="W31" s="859">
        <f t="shared" si="14"/>
        <v>100</v>
      </c>
      <c r="X31" s="852"/>
      <c r="Y31" s="3567"/>
      <c r="Z31" s="840">
        <f t="shared" si="15"/>
        <v>111</v>
      </c>
      <c r="AA31" s="840">
        <f t="shared" si="3"/>
        <v>1</v>
      </c>
      <c r="AB31" s="840">
        <f t="shared" si="4"/>
        <v>1</v>
      </c>
      <c r="AC31" s="1166">
        <f t="shared" si="5"/>
        <v>1</v>
      </c>
    </row>
    <row r="32" spans="1:29" ht="15">
      <c r="A32" s="685"/>
      <c r="B32" s="1076">
        <v>111</v>
      </c>
      <c r="C32" s="1161"/>
      <c r="D32" s="688">
        <v>100</v>
      </c>
      <c r="E32" s="1078"/>
      <c r="F32" s="688">
        <f>SUMIF(99:99,E32,100:100)-SUMIF(99:99,C32,100:100)+100</f>
        <v>100</v>
      </c>
      <c r="G32" s="1155"/>
      <c r="H32" s="688">
        <f>SUMIF(99:99,G32,100:100)-SUMIF(99:99,C32,100:100)+100</f>
        <v>100</v>
      </c>
      <c r="I32" s="673"/>
      <c r="J32" s="688">
        <f>SUMIF(99:99,I32,100:100)-SUMIF(99:99,C32,100:100)+100</f>
        <v>100</v>
      </c>
      <c r="K32" s="825"/>
      <c r="L32" s="819"/>
      <c r="M32" s="748"/>
      <c r="N32" s="748"/>
      <c r="O32" s="748"/>
      <c r="P32" s="3562"/>
      <c r="Q32" s="771">
        <f t="shared" si="11"/>
        <v>111</v>
      </c>
      <c r="R32" s="858" t="s">
        <v>2784</v>
      </c>
      <c r="S32" s="859">
        <f t="shared" si="12"/>
        <v>100</v>
      </c>
      <c r="T32" s="858" t="s">
        <v>2784</v>
      </c>
      <c r="U32" s="859">
        <f t="shared" si="13"/>
        <v>100</v>
      </c>
      <c r="V32" s="858" t="s">
        <v>2784</v>
      </c>
      <c r="W32" s="859">
        <f t="shared" si="14"/>
        <v>100</v>
      </c>
      <c r="X32" s="852"/>
      <c r="Y32" s="3567"/>
      <c r="Z32" s="840">
        <f t="shared" si="15"/>
        <v>111</v>
      </c>
      <c r="AA32" s="840">
        <f t="shared" si="3"/>
        <v>1</v>
      </c>
      <c r="AB32" s="840">
        <f t="shared" si="4"/>
        <v>1</v>
      </c>
      <c r="AC32" s="1166">
        <f t="shared" si="5"/>
        <v>1</v>
      </c>
    </row>
    <row r="33" spans="1:29" ht="15">
      <c r="A33" s="689" t="s">
        <v>2802</v>
      </c>
      <c r="B33" s="668" t="s">
        <v>2803</v>
      </c>
      <c r="C33" s="1024"/>
      <c r="D33" s="652">
        <v>100</v>
      </c>
      <c r="E33" s="1024"/>
      <c r="F33" s="835">
        <f>SUMIF(101:101,E33,102:102)-SUMIF(101:101,C33,102:102)+100</f>
        <v>100</v>
      </c>
      <c r="G33" s="1024"/>
      <c r="H33" s="684">
        <f>SUMIF(101:101,G33,102:102)-SUMIF(101:101,C33,102:102)+100</f>
        <v>100</v>
      </c>
      <c r="I33" s="1024"/>
      <c r="J33" s="652">
        <f>SUMIF(101:101,I33,102:102)-SUMIF(101:101,C33,102:102)+100</f>
        <v>100</v>
      </c>
      <c r="K33" s="826"/>
      <c r="L33" s="819"/>
      <c r="M33" s="748"/>
      <c r="N33" s="748"/>
      <c r="O33" s="748"/>
      <c r="P33" s="3563" t="s">
        <v>2804</v>
      </c>
      <c r="Q33" s="771" t="str">
        <f t="shared" si="11"/>
        <v>建筑类型</v>
      </c>
      <c r="R33" s="858" t="s">
        <v>2784</v>
      </c>
      <c r="S33" s="859">
        <f t="shared" si="12"/>
        <v>100</v>
      </c>
      <c r="T33" s="858" t="s">
        <v>2784</v>
      </c>
      <c r="U33" s="859">
        <f t="shared" si="13"/>
        <v>100</v>
      </c>
      <c r="V33" s="858" t="s">
        <v>2784</v>
      </c>
      <c r="W33" s="859">
        <f t="shared" si="14"/>
        <v>100</v>
      </c>
      <c r="X33" s="852"/>
      <c r="Y33" s="3568" t="s">
        <v>2804</v>
      </c>
      <c r="Z33" s="840" t="str">
        <f t="shared" si="15"/>
        <v>建筑类型</v>
      </c>
      <c r="AA33" s="840">
        <f t="shared" si="3"/>
        <v>1</v>
      </c>
      <c r="AB33" s="840">
        <f t="shared" si="4"/>
        <v>1</v>
      </c>
      <c r="AC33" s="1166">
        <f t="shared" si="5"/>
        <v>1</v>
      </c>
    </row>
    <row r="34" spans="1:29" s="633" customFormat="1" ht="15">
      <c r="A34" s="729"/>
      <c r="B34" s="672" t="s">
        <v>2805</v>
      </c>
      <c r="C34" s="1019"/>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564"/>
      <c r="Q34" s="1049" t="str">
        <f t="shared" si="11"/>
        <v>项目建筑规模</v>
      </c>
      <c r="R34" s="860" t="s">
        <v>2784</v>
      </c>
      <c r="S34" s="861" t="e">
        <f t="shared" si="12"/>
        <v>#N/A</v>
      </c>
      <c r="T34" s="860" t="s">
        <v>2784</v>
      </c>
      <c r="U34" s="861" t="e">
        <f t="shared" si="13"/>
        <v>#N/A</v>
      </c>
      <c r="V34" s="860" t="s">
        <v>2784</v>
      </c>
      <c r="W34" s="861" t="e">
        <f t="shared" si="14"/>
        <v>#N/A</v>
      </c>
      <c r="X34" s="862"/>
      <c r="Y34" s="3568"/>
      <c r="Z34" s="867" t="str">
        <f t="shared" si="15"/>
        <v>项目建筑规模</v>
      </c>
      <c r="AA34" s="840" t="e">
        <f t="shared" si="3"/>
        <v>#N/A</v>
      </c>
      <c r="AB34" s="840" t="e">
        <f t="shared" si="4"/>
        <v>#N/A</v>
      </c>
      <c r="AC34" s="1166" t="e">
        <f t="shared" si="5"/>
        <v>#N/A</v>
      </c>
    </row>
    <row r="35" spans="1:29" ht="15">
      <c r="A35" s="724"/>
      <c r="B35" s="672" t="s">
        <v>2806</v>
      </c>
      <c r="C35" s="1028"/>
      <c r="D35" s="684">
        <v>100</v>
      </c>
      <c r="E35" s="1028"/>
      <c r="F35" s="835">
        <f>SUMIF(106:106,E35,107:107)-SUMIF(106:106,C35,107:107)+100</f>
        <v>100</v>
      </c>
      <c r="G35" s="1028"/>
      <c r="H35" s="684">
        <f>SUMIF(106:106,G35,107:107)-SUMIF(106:106,C35,107:107)+100</f>
        <v>100</v>
      </c>
      <c r="I35" s="1028"/>
      <c r="J35" s="684">
        <f>SUMIF(106:106,I35,107:107)-SUMIF(106:106,C35,107:107)+100</f>
        <v>100</v>
      </c>
      <c r="K35" s="826"/>
      <c r="L35" s="819"/>
      <c r="M35" s="748"/>
      <c r="N35" s="748"/>
      <c r="O35" s="748"/>
      <c r="P35" s="3564"/>
      <c r="Q35" s="771" t="str">
        <f t="shared" si="11"/>
        <v>建筑结构</v>
      </c>
      <c r="R35" s="858" t="s">
        <v>2784</v>
      </c>
      <c r="S35" s="859">
        <f t="shared" si="12"/>
        <v>100</v>
      </c>
      <c r="T35" s="858" t="s">
        <v>2784</v>
      </c>
      <c r="U35" s="859">
        <f t="shared" si="13"/>
        <v>100</v>
      </c>
      <c r="V35" s="858" t="s">
        <v>2784</v>
      </c>
      <c r="W35" s="859">
        <f t="shared" si="14"/>
        <v>100</v>
      </c>
      <c r="X35" s="852"/>
      <c r="Y35" s="3568"/>
      <c r="Z35" s="840" t="str">
        <f t="shared" si="15"/>
        <v>建筑结构</v>
      </c>
      <c r="AA35" s="840">
        <f t="shared" si="3"/>
        <v>1</v>
      </c>
      <c r="AB35" s="840">
        <f t="shared" si="4"/>
        <v>1</v>
      </c>
      <c r="AC35" s="1166">
        <f t="shared" si="5"/>
        <v>1</v>
      </c>
    </row>
    <row r="36" spans="1:29" ht="15">
      <c r="A36" s="724"/>
      <c r="B36" s="672" t="s">
        <v>2808</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c r="L36" s="819"/>
      <c r="M36" s="748"/>
      <c r="N36" s="748"/>
      <c r="O36" s="748"/>
      <c r="P36" s="3564"/>
      <c r="Q36" s="771" t="str">
        <f t="shared" si="11"/>
        <v>公共部分装修</v>
      </c>
      <c r="R36" s="858" t="s">
        <v>2784</v>
      </c>
      <c r="S36" s="859">
        <f t="shared" si="12"/>
        <v>100</v>
      </c>
      <c r="T36" s="858" t="s">
        <v>2784</v>
      </c>
      <c r="U36" s="859">
        <f t="shared" si="13"/>
        <v>100</v>
      </c>
      <c r="V36" s="858" t="s">
        <v>2784</v>
      </c>
      <c r="W36" s="859">
        <f t="shared" si="14"/>
        <v>100</v>
      </c>
      <c r="X36" s="852"/>
      <c r="Y36" s="3568"/>
      <c r="Z36" s="840" t="str">
        <f t="shared" si="15"/>
        <v>公共部分装修</v>
      </c>
      <c r="AA36" s="840">
        <f t="shared" si="3"/>
        <v>1</v>
      </c>
      <c r="AB36" s="840">
        <f t="shared" si="4"/>
        <v>1</v>
      </c>
      <c r="AC36" s="1166">
        <f t="shared" si="5"/>
        <v>1</v>
      </c>
    </row>
    <row r="37" spans="1:29" ht="15">
      <c r="A37" s="724"/>
      <c r="B37" s="672" t="s">
        <v>650</v>
      </c>
      <c r="C37" s="1025"/>
      <c r="D37" s="684">
        <v>100</v>
      </c>
      <c r="E37" s="1025"/>
      <c r="F37" s="835" t="e">
        <f>LOOKUP(E37,111:111,112:112)-LOOKUP(C37,111:111,112:112)+100</f>
        <v>#N/A</v>
      </c>
      <c r="G37" s="1025"/>
      <c r="H37" s="835" t="e">
        <f>LOOKUP(G37,111:111,112:112)-LOOKUP(C37,111:111,112:112)+100</f>
        <v>#N/A</v>
      </c>
      <c r="I37" s="1025"/>
      <c r="J37" s="684" t="e">
        <f>LOOKUP(I37,111:111,112:112)-LOOKUP(C37,111:111,112:112)+100</f>
        <v>#N/A</v>
      </c>
      <c r="K37" s="826"/>
      <c r="L37" s="819"/>
      <c r="M37" s="748"/>
      <c r="N37" s="748"/>
      <c r="O37" s="748"/>
      <c r="P37" s="3564"/>
      <c r="Q37" s="771" t="str">
        <f t="shared" si="11"/>
        <v>成新度</v>
      </c>
      <c r="R37" s="858" t="s">
        <v>2784</v>
      </c>
      <c r="S37" s="859" t="e">
        <f t="shared" si="12"/>
        <v>#N/A</v>
      </c>
      <c r="T37" s="858" t="s">
        <v>2784</v>
      </c>
      <c r="U37" s="859" t="e">
        <f t="shared" si="13"/>
        <v>#N/A</v>
      </c>
      <c r="V37" s="858" t="s">
        <v>2784</v>
      </c>
      <c r="W37" s="859" t="e">
        <f t="shared" si="14"/>
        <v>#N/A</v>
      </c>
      <c r="X37" s="852"/>
      <c r="Y37" s="3568"/>
      <c r="Z37" s="840" t="str">
        <f t="shared" si="15"/>
        <v>成新度</v>
      </c>
      <c r="AA37" s="840" t="e">
        <f t="shared" si="3"/>
        <v>#N/A</v>
      </c>
      <c r="AB37" s="840" t="e">
        <f t="shared" si="4"/>
        <v>#N/A</v>
      </c>
      <c r="AC37" s="1166" t="e">
        <f t="shared" si="5"/>
        <v>#N/A</v>
      </c>
    </row>
    <row r="38" spans="1:29" s="631" customFormat="1" ht="15">
      <c r="A38" s="726"/>
      <c r="B38" s="672" t="s">
        <v>2867</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564"/>
      <c r="Q38" s="857" t="str">
        <f t="shared" si="11"/>
        <v>写字楼等级</v>
      </c>
      <c r="R38" s="853" t="s">
        <v>2784</v>
      </c>
      <c r="S38" s="854">
        <f t="shared" si="12"/>
        <v>100</v>
      </c>
      <c r="T38" s="853" t="s">
        <v>2784</v>
      </c>
      <c r="U38" s="854">
        <f t="shared" si="13"/>
        <v>100</v>
      </c>
      <c r="V38" s="853" t="s">
        <v>2784</v>
      </c>
      <c r="W38" s="854">
        <f t="shared" si="14"/>
        <v>100</v>
      </c>
      <c r="X38" s="855"/>
      <c r="Y38" s="3568"/>
      <c r="Z38" s="866" t="str">
        <f t="shared" si="15"/>
        <v>写字楼等级</v>
      </c>
      <c r="AA38" s="866">
        <f t="shared" si="3"/>
        <v>1</v>
      </c>
      <c r="AB38" s="866">
        <f t="shared" si="4"/>
        <v>1</v>
      </c>
      <c r="AC38" s="1165">
        <f t="shared" si="5"/>
        <v>1</v>
      </c>
    </row>
    <row r="39" spans="1:29" ht="15">
      <c r="A39" s="724"/>
      <c r="B39" s="672" t="s">
        <v>2809</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c r="L39" s="819"/>
      <c r="M39" s="748"/>
      <c r="N39" s="748"/>
      <c r="O39" s="748"/>
      <c r="P39" s="3564" t="s">
        <v>2804</v>
      </c>
      <c r="Q39" s="771" t="str">
        <f t="shared" si="11"/>
        <v>物业管理</v>
      </c>
      <c r="R39" s="858" t="s">
        <v>2784</v>
      </c>
      <c r="S39" s="859">
        <f t="shared" si="12"/>
        <v>100</v>
      </c>
      <c r="T39" s="858" t="s">
        <v>2784</v>
      </c>
      <c r="U39" s="859">
        <f t="shared" si="13"/>
        <v>100</v>
      </c>
      <c r="V39" s="858" t="s">
        <v>2784</v>
      </c>
      <c r="W39" s="859">
        <f t="shared" si="14"/>
        <v>100</v>
      </c>
      <c r="X39" s="852"/>
      <c r="Y39" s="3568" t="s">
        <v>2804</v>
      </c>
      <c r="Z39" s="840" t="str">
        <f t="shared" si="15"/>
        <v>物业管理</v>
      </c>
      <c r="AA39" s="840">
        <f t="shared" si="3"/>
        <v>1</v>
      </c>
      <c r="AB39" s="840">
        <f t="shared" si="4"/>
        <v>1</v>
      </c>
      <c r="AC39" s="1166">
        <f t="shared" si="5"/>
        <v>1</v>
      </c>
    </row>
    <row r="40" spans="1:29" ht="15">
      <c r="A40" s="724"/>
      <c r="B40" s="672" t="s">
        <v>2810</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564"/>
      <c r="Q40" s="771" t="str">
        <f t="shared" si="11"/>
        <v>市政基础设施</v>
      </c>
      <c r="R40" s="858" t="s">
        <v>2784</v>
      </c>
      <c r="S40" s="859">
        <f t="shared" si="12"/>
        <v>100</v>
      </c>
      <c r="T40" s="858" t="s">
        <v>2784</v>
      </c>
      <c r="U40" s="859">
        <f t="shared" si="13"/>
        <v>100</v>
      </c>
      <c r="V40" s="858" t="s">
        <v>2784</v>
      </c>
      <c r="W40" s="859">
        <f t="shared" si="14"/>
        <v>100</v>
      </c>
      <c r="X40" s="852"/>
      <c r="Y40" s="3568"/>
      <c r="Z40" s="840" t="str">
        <f t="shared" si="15"/>
        <v>市政基础设施</v>
      </c>
      <c r="AA40" s="840">
        <f t="shared" si="3"/>
        <v>1</v>
      </c>
      <c r="AB40" s="840">
        <f t="shared" si="4"/>
        <v>1</v>
      </c>
      <c r="AC40" s="1166">
        <f t="shared" si="5"/>
        <v>1</v>
      </c>
    </row>
    <row r="41" spans="1:29" ht="15">
      <c r="A41" s="724"/>
      <c r="B41" s="672" t="s">
        <v>2859</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564"/>
      <c r="Q41" s="771" t="str">
        <f t="shared" si="11"/>
        <v>层高</v>
      </c>
      <c r="R41" s="858" t="s">
        <v>2784</v>
      </c>
      <c r="S41" s="859">
        <f t="shared" si="12"/>
        <v>100</v>
      </c>
      <c r="T41" s="858" t="s">
        <v>2784</v>
      </c>
      <c r="U41" s="859">
        <f t="shared" si="13"/>
        <v>100</v>
      </c>
      <c r="V41" s="858" t="s">
        <v>2784</v>
      </c>
      <c r="W41" s="859">
        <f t="shared" si="14"/>
        <v>100</v>
      </c>
      <c r="X41" s="852"/>
      <c r="Y41" s="3568"/>
      <c r="Z41" s="840" t="str">
        <f t="shared" si="15"/>
        <v>层高</v>
      </c>
      <c r="AA41" s="840">
        <f t="shared" si="3"/>
        <v>1</v>
      </c>
      <c r="AB41" s="840">
        <f t="shared" si="4"/>
        <v>1</v>
      </c>
      <c r="AC41" s="1166">
        <f t="shared" si="5"/>
        <v>1</v>
      </c>
    </row>
    <row r="42" spans="1:29" s="633" customFormat="1" ht="15">
      <c r="A42" s="729"/>
      <c r="B42" s="835" t="s">
        <v>2868</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564"/>
      <c r="Q42" s="1049" t="str">
        <f t="shared" si="11"/>
        <v>单套建筑面积</v>
      </c>
      <c r="R42" s="860" t="s">
        <v>2784</v>
      </c>
      <c r="S42" s="861">
        <f t="shared" si="12"/>
        <v>100</v>
      </c>
      <c r="T42" s="860" t="s">
        <v>2784</v>
      </c>
      <c r="U42" s="861">
        <f t="shared" si="13"/>
        <v>100</v>
      </c>
      <c r="V42" s="860" t="s">
        <v>2784</v>
      </c>
      <c r="W42" s="861">
        <f t="shared" si="14"/>
        <v>100</v>
      </c>
      <c r="X42" s="862"/>
      <c r="Y42" s="3568"/>
      <c r="Z42" s="867" t="str">
        <f t="shared" si="15"/>
        <v>单套建筑面积</v>
      </c>
      <c r="AA42" s="840">
        <f t="shared" si="3"/>
        <v>1</v>
      </c>
      <c r="AB42" s="840">
        <f t="shared" si="4"/>
        <v>1</v>
      </c>
      <c r="AC42" s="1166">
        <f t="shared" si="5"/>
        <v>1</v>
      </c>
    </row>
    <row r="43" spans="1:29" ht="15">
      <c r="A43" s="724"/>
      <c r="B43" s="672" t="s">
        <v>2813</v>
      </c>
      <c r="C43" s="1028"/>
      <c r="D43" s="684">
        <v>100</v>
      </c>
      <c r="E43" s="1028"/>
      <c r="F43" s="835">
        <f>SUMIF(123:123,E43,124:124)-SUMIF(123:123,C43,124:124)+100</f>
        <v>100</v>
      </c>
      <c r="G43" s="1028"/>
      <c r="H43" s="684">
        <f>SUMIF(123:123,G43,124:124)-SUMIF(123:123,C43,124:124)+100</f>
        <v>100</v>
      </c>
      <c r="I43" s="1028"/>
      <c r="J43" s="684">
        <f>SUMIF(123:123,I43,124:124)-SUMIF(123:123,C43,124:124)+100</f>
        <v>100</v>
      </c>
      <c r="K43" s="826"/>
      <c r="L43" s="819"/>
      <c r="M43" s="748"/>
      <c r="N43" s="748"/>
      <c r="O43" s="748"/>
      <c r="P43" s="3564"/>
      <c r="Q43" s="771" t="str">
        <f t="shared" si="11"/>
        <v>内部装修</v>
      </c>
      <c r="R43" s="858" t="s">
        <v>2784</v>
      </c>
      <c r="S43" s="859">
        <f t="shared" si="12"/>
        <v>100</v>
      </c>
      <c r="T43" s="858" t="s">
        <v>2784</v>
      </c>
      <c r="U43" s="859">
        <f t="shared" si="13"/>
        <v>100</v>
      </c>
      <c r="V43" s="858" t="s">
        <v>2784</v>
      </c>
      <c r="W43" s="859">
        <f t="shared" si="14"/>
        <v>100</v>
      </c>
      <c r="X43" s="852"/>
      <c r="Y43" s="3568"/>
      <c r="Z43" s="840" t="str">
        <f t="shared" si="15"/>
        <v>内部装修</v>
      </c>
      <c r="AA43" s="840">
        <f t="shared" si="3"/>
        <v>1</v>
      </c>
      <c r="AB43" s="840">
        <f t="shared" si="4"/>
        <v>1</v>
      </c>
      <c r="AC43" s="1166">
        <f t="shared" si="5"/>
        <v>1</v>
      </c>
    </row>
    <row r="44" spans="1:29" ht="15">
      <c r="A44" s="724"/>
      <c r="B44" s="672" t="s">
        <v>2814</v>
      </c>
      <c r="C44" s="1028"/>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564"/>
      <c r="Q44" s="771" t="str">
        <f t="shared" si="11"/>
        <v>内部装修维护情况</v>
      </c>
      <c r="R44" s="858" t="s">
        <v>2784</v>
      </c>
      <c r="S44" s="859">
        <f t="shared" si="12"/>
        <v>100</v>
      </c>
      <c r="T44" s="858" t="s">
        <v>2784</v>
      </c>
      <c r="U44" s="859">
        <f t="shared" si="13"/>
        <v>100</v>
      </c>
      <c r="V44" s="858" t="s">
        <v>2784</v>
      </c>
      <c r="W44" s="859">
        <f t="shared" si="14"/>
        <v>100</v>
      </c>
      <c r="X44" s="852"/>
      <c r="Y44" s="3568"/>
      <c r="Z44" s="840" t="str">
        <f t="shared" si="15"/>
        <v>内部装修维护情况</v>
      </c>
      <c r="AA44" s="840">
        <f t="shared" si="3"/>
        <v>1</v>
      </c>
      <c r="AB44" s="840">
        <f t="shared" si="4"/>
        <v>1</v>
      </c>
      <c r="AC44" s="1166">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564"/>
      <c r="Q45" s="857">
        <f t="shared" si="11"/>
        <v>111</v>
      </c>
      <c r="R45" s="853" t="s">
        <v>2784</v>
      </c>
      <c r="S45" s="854">
        <f t="shared" si="12"/>
        <v>100</v>
      </c>
      <c r="T45" s="853" t="s">
        <v>2784</v>
      </c>
      <c r="U45" s="854">
        <f t="shared" si="13"/>
        <v>100</v>
      </c>
      <c r="V45" s="853" t="s">
        <v>2784</v>
      </c>
      <c r="W45" s="854">
        <f t="shared" si="14"/>
        <v>100</v>
      </c>
      <c r="X45" s="855"/>
      <c r="Y45" s="3568"/>
      <c r="Z45" s="866">
        <f t="shared" si="15"/>
        <v>111</v>
      </c>
      <c r="AA45" s="866">
        <f t="shared" si="3"/>
        <v>1</v>
      </c>
      <c r="AB45" s="866">
        <f t="shared" si="4"/>
        <v>1</v>
      </c>
      <c r="AC45" s="116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564"/>
      <c r="Q46" s="771">
        <f t="shared" si="11"/>
        <v>111</v>
      </c>
      <c r="R46" s="858" t="s">
        <v>2784</v>
      </c>
      <c r="S46" s="859">
        <f t="shared" si="12"/>
        <v>100</v>
      </c>
      <c r="T46" s="858" t="s">
        <v>2784</v>
      </c>
      <c r="U46" s="859">
        <f t="shared" si="13"/>
        <v>100</v>
      </c>
      <c r="V46" s="858" t="s">
        <v>2784</v>
      </c>
      <c r="W46" s="859">
        <f t="shared" si="14"/>
        <v>100</v>
      </c>
      <c r="X46" s="852"/>
      <c r="Y46" s="3568"/>
      <c r="Z46" s="840">
        <f t="shared" si="15"/>
        <v>111</v>
      </c>
      <c r="AA46" s="840">
        <f t="shared" si="3"/>
        <v>1</v>
      </c>
      <c r="AB46" s="840">
        <f t="shared" si="4"/>
        <v>1</v>
      </c>
      <c r="AC46" s="116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565"/>
      <c r="Q47" s="771">
        <f t="shared" si="11"/>
        <v>111</v>
      </c>
      <c r="R47" s="858" t="s">
        <v>2784</v>
      </c>
      <c r="S47" s="859">
        <f t="shared" si="12"/>
        <v>100</v>
      </c>
      <c r="T47" s="858" t="s">
        <v>2784</v>
      </c>
      <c r="U47" s="859">
        <f t="shared" si="13"/>
        <v>100</v>
      </c>
      <c r="V47" s="858" t="s">
        <v>2784</v>
      </c>
      <c r="W47" s="859">
        <f t="shared" si="14"/>
        <v>100</v>
      </c>
      <c r="X47" s="852"/>
      <c r="Y47" s="3569"/>
      <c r="Z47" s="840">
        <f t="shared" si="15"/>
        <v>111</v>
      </c>
      <c r="AA47" s="840">
        <f t="shared" si="3"/>
        <v>1</v>
      </c>
      <c r="AB47" s="840">
        <f t="shared" si="4"/>
        <v>1</v>
      </c>
      <c r="AC47" s="1166">
        <f t="shared" si="5"/>
        <v>1</v>
      </c>
    </row>
    <row r="48" spans="1:29" ht="15">
      <c r="A48" s="731" t="s">
        <v>2815</v>
      </c>
      <c r="B48" s="1032"/>
      <c r="C48" s="1033" t="s">
        <v>124</v>
      </c>
      <c r="D48" s="734"/>
      <c r="E48" s="735"/>
      <c r="F48" s="736"/>
      <c r="G48" s="737"/>
      <c r="H48" s="738"/>
      <c r="I48" s="735"/>
      <c r="J48" s="738"/>
      <c r="K48" s="831"/>
      <c r="L48" s="832"/>
      <c r="M48" s="748"/>
      <c r="N48" s="748"/>
      <c r="O48" s="748"/>
      <c r="P48" s="3560" t="str">
        <f>A48</f>
        <v>成交单价（元/平方米）</v>
      </c>
      <c r="Q48" s="3558"/>
      <c r="R48" s="3559">
        <f>E48</f>
        <v>0</v>
      </c>
      <c r="S48" s="3559"/>
      <c r="T48" s="3559">
        <f>G48</f>
        <v>0</v>
      </c>
      <c r="U48" s="3559"/>
      <c r="V48" s="3559">
        <f>I48</f>
        <v>0</v>
      </c>
      <c r="W48" s="3559"/>
      <c r="X48" s="793"/>
      <c r="Y48" s="868"/>
      <c r="Z48" s="793"/>
      <c r="AA48" s="793"/>
      <c r="AB48" s="793"/>
      <c r="AC48" s="694"/>
    </row>
    <row r="49" spans="1:29" ht="15">
      <c r="A49" s="739" t="s">
        <v>2816</v>
      </c>
      <c r="B49" s="1034"/>
      <c r="C49" s="1035" t="e">
        <f>R50</f>
        <v>#DIV/0!</v>
      </c>
      <c r="D49" s="742" t="s">
        <v>2817</v>
      </c>
      <c r="E49" s="1036" t="e">
        <f>R49</f>
        <v>#DIV/0!</v>
      </c>
      <c r="F49" s="743"/>
      <c r="G49" s="1035" t="e">
        <f>T49</f>
        <v>#DIV/0!</v>
      </c>
      <c r="H49" s="743"/>
      <c r="I49" s="1036" t="e">
        <f>V49</f>
        <v>#DIV/0!</v>
      </c>
      <c r="J49" s="743"/>
      <c r="K49" s="833">
        <f>F49+H49+J49</f>
        <v>0</v>
      </c>
      <c r="L49" s="832"/>
      <c r="M49" s="748"/>
      <c r="N49" s="748"/>
      <c r="O49" s="748"/>
      <c r="P49" s="3560" t="str">
        <f>A49</f>
        <v>比较价值（元/平方米）</v>
      </c>
      <c r="Q49" s="3558"/>
      <c r="R49" s="3559" t="e">
        <f>IF(F1="售价",ROUND(PRODUCT(R48,AA7:AA47),0),ROUND(PRODUCT(R48,AA7:AA47),1))</f>
        <v>#DIV/0!</v>
      </c>
      <c r="S49" s="3559"/>
      <c r="T49" s="3559" t="e">
        <f>IF(F1="售价",ROUND(PRODUCT(T48,AB7:AB47),0),ROUND(PRODUCT(T48,AB7:AB47),1))</f>
        <v>#DIV/0!</v>
      </c>
      <c r="U49" s="3559"/>
      <c r="V49" s="3559" t="e">
        <f>IF(F1="售价",ROUND(PRODUCT(V48,AC7:AC47),0),ROUND(PRODUCT(V48,AC7:AC47),1))</f>
        <v>#DIV/0!</v>
      </c>
      <c r="W49" s="3559"/>
      <c r="X49" s="793"/>
      <c r="Y49" s="793"/>
      <c r="Z49" s="793"/>
      <c r="AA49" s="793"/>
      <c r="AB49" s="793"/>
      <c r="AC49" s="694"/>
    </row>
    <row r="50" spans="1:29" ht="15">
      <c r="A50" s="745" t="s">
        <v>2818</v>
      </c>
      <c r="B50" s="746"/>
      <c r="C50" s="657" t="e">
        <f>R50</f>
        <v>#DIV/0!</v>
      </c>
      <c r="D50" s="657"/>
      <c r="E50" s="657"/>
      <c r="F50" s="657"/>
      <c r="G50" s="657"/>
      <c r="H50" s="657"/>
      <c r="I50" s="657"/>
      <c r="J50" s="747"/>
      <c r="K50" s="834"/>
      <c r="L50" s="832"/>
      <c r="M50" s="748"/>
      <c r="N50" s="748"/>
      <c r="O50" s="748"/>
      <c r="P50" s="3589" t="str">
        <f>A50</f>
        <v>估价对象XX用房的比较价值（楼面单价，元/平方米）</v>
      </c>
      <c r="Q50" s="3590"/>
      <c r="R50" s="3591" t="e">
        <f>IF(F1="售价",ROUND(IF(D49="简单平均",AVERAGE(R49:V49),R49*F49+T49*H49+V49*J49),0),ROUND(IF(D49="简单平均",AVERAGE(R49:V49),R49*F49+T49*H49+V49*J49),1))</f>
        <v>#DIV/0!</v>
      </c>
      <c r="S50" s="3591"/>
      <c r="T50" s="3591"/>
      <c r="U50" s="3591"/>
      <c r="V50" s="3591"/>
      <c r="W50" s="3591"/>
      <c r="X50" s="1164"/>
      <c r="Y50" s="1164"/>
      <c r="Z50" s="1164"/>
      <c r="AA50" s="1164"/>
      <c r="AB50" s="1164"/>
      <c r="AC50" s="1167"/>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2819</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2820</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2821</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2822</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2782</v>
      </c>
      <c r="B59" s="1039"/>
      <c r="C59" s="1040" t="str">
        <f>YEAR(C7)&amp;"-"&amp;MONTH(C7)</f>
        <v>2025-5</v>
      </c>
      <c r="D59" s="1041">
        <f>EDATE(C59,-1)</f>
        <v>45748</v>
      </c>
      <c r="E59" s="1041">
        <f>EDATE(D59,-1)</f>
        <v>45717</v>
      </c>
      <c r="F59" s="1041">
        <f t="shared" ref="F59:O59" si="16">EDATE(E59,-1)</f>
        <v>45689</v>
      </c>
      <c r="G59" s="1041">
        <f t="shared" si="16"/>
        <v>45658</v>
      </c>
      <c r="H59" s="1041">
        <f t="shared" si="16"/>
        <v>45627</v>
      </c>
      <c r="I59" s="1041">
        <f t="shared" si="16"/>
        <v>45597</v>
      </c>
      <c r="J59" s="1041">
        <f t="shared" si="16"/>
        <v>45566</v>
      </c>
      <c r="K59" s="1041">
        <f t="shared" si="16"/>
        <v>45536</v>
      </c>
      <c r="L59" s="1041">
        <f t="shared" si="16"/>
        <v>45505</v>
      </c>
      <c r="M59" s="1041">
        <f t="shared" si="16"/>
        <v>45474</v>
      </c>
      <c r="N59" s="1041">
        <f t="shared" si="16"/>
        <v>45444</v>
      </c>
      <c r="O59" s="1041">
        <f t="shared" si="16"/>
        <v>45413</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2823</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2785</v>
      </c>
      <c r="B62" s="880"/>
      <c r="C62" s="881" t="s">
        <v>2824</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2">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2825</v>
      </c>
      <c r="B64" s="885" t="s">
        <v>2788</v>
      </c>
      <c r="C64" s="765">
        <f>C9</f>
        <v>0</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2791</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2792</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69"/>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2793</v>
      </c>
      <c r="B77" s="885" t="s">
        <v>2864</v>
      </c>
      <c r="C77" s="905" t="s">
        <v>1349</v>
      </c>
      <c r="D77" s="905" t="s">
        <v>1350</v>
      </c>
      <c r="E77" s="905" t="s">
        <v>1351</v>
      </c>
      <c r="F77" s="905" t="s">
        <v>1352</v>
      </c>
      <c r="G77" s="905" t="s">
        <v>1353</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2796</v>
      </c>
      <c r="C79" s="906" t="s">
        <v>1349</v>
      </c>
      <c r="D79" s="906" t="s">
        <v>1350</v>
      </c>
      <c r="E79" s="906" t="s">
        <v>1351</v>
      </c>
      <c r="F79" s="906" t="s">
        <v>1352</v>
      </c>
      <c r="G79" s="906" t="s">
        <v>1353</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2797</v>
      </c>
      <c r="C81" s="906" t="s">
        <v>1349</v>
      </c>
      <c r="D81" s="906" t="s">
        <v>1350</v>
      </c>
      <c r="E81" s="906" t="s">
        <v>1351</v>
      </c>
      <c r="F81" s="906" t="s">
        <v>1352</v>
      </c>
      <c r="G81" s="906" t="s">
        <v>1353</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2798</v>
      </c>
      <c r="C83" s="821" t="s">
        <v>2826</v>
      </c>
      <c r="D83" s="821" t="s">
        <v>2827</v>
      </c>
      <c r="E83" s="821" t="s">
        <v>2828</v>
      </c>
      <c r="F83" s="821" t="s">
        <v>2829</v>
      </c>
      <c r="G83" s="821" t="s">
        <v>2830</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2865</v>
      </c>
      <c r="C85" s="906" t="s">
        <v>1349</v>
      </c>
      <c r="D85" s="906" t="s">
        <v>1350</v>
      </c>
      <c r="E85" s="906" t="s">
        <v>1351</v>
      </c>
      <c r="F85" s="906" t="s">
        <v>1352</v>
      </c>
      <c r="G85" s="906" t="s">
        <v>1353</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2866</v>
      </c>
      <c r="C87" s="896"/>
      <c r="D87" s="896"/>
      <c r="E87" s="896"/>
      <c r="F87" s="896"/>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68"/>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2802</v>
      </c>
      <c r="B101" s="885" t="s">
        <v>2803</v>
      </c>
      <c r="C101" s="829"/>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04"/>
      <c r="Q102" s="863"/>
      <c r="R102" s="748"/>
      <c r="S102" s="748"/>
      <c r="T102" s="748"/>
      <c r="U102" s="748"/>
      <c r="V102" s="748"/>
      <c r="W102" s="748"/>
      <c r="X102" s="748"/>
      <c r="Y102" s="748"/>
      <c r="Z102" s="748"/>
      <c r="AA102" s="748"/>
      <c r="AB102" s="748"/>
      <c r="AC102" s="748"/>
    </row>
    <row r="103" spans="1:29" ht="15">
      <c r="A103" s="675"/>
      <c r="B103" s="888" t="s">
        <v>2805</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2806</v>
      </c>
      <c r="C106" s="896"/>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04"/>
      <c r="Q107" s="863"/>
      <c r="R107" s="748"/>
      <c r="S107" s="748"/>
      <c r="T107" s="748"/>
      <c r="U107" s="748"/>
      <c r="V107" s="748"/>
      <c r="W107" s="748"/>
      <c r="X107" s="748"/>
      <c r="Y107" s="748"/>
      <c r="Z107" s="748"/>
      <c r="AA107" s="748"/>
      <c r="AB107" s="748"/>
      <c r="AC107" s="748"/>
    </row>
    <row r="108" spans="1:29">
      <c r="A108" s="724"/>
      <c r="B108" s="888" t="s">
        <v>2808</v>
      </c>
      <c r="C108" s="896"/>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04"/>
      <c r="Q109" s="863"/>
      <c r="R109" s="748"/>
      <c r="S109" s="748"/>
      <c r="T109" s="748"/>
      <c r="U109" s="748"/>
      <c r="V109" s="748"/>
      <c r="W109" s="748"/>
      <c r="X109" s="748"/>
      <c r="Y109" s="748"/>
      <c r="Z109" s="748"/>
      <c r="AA109" s="748"/>
      <c r="AB109" s="748"/>
      <c r="AC109" s="748"/>
    </row>
    <row r="110" spans="1:29">
      <c r="A110" s="724"/>
      <c r="B110" s="888" t="s">
        <v>650</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2867</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2809</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04"/>
      <c r="Q116" s="863"/>
      <c r="R116" s="748"/>
      <c r="S116" s="748"/>
      <c r="T116" s="748"/>
      <c r="U116" s="748"/>
      <c r="V116" s="748"/>
      <c r="W116" s="748"/>
      <c r="X116" s="748"/>
      <c r="Y116" s="748"/>
      <c r="Z116" s="748"/>
      <c r="AA116" s="748"/>
      <c r="AB116" s="748"/>
      <c r="AC116" s="748"/>
    </row>
    <row r="117" spans="1:29">
      <c r="A117" s="724"/>
      <c r="B117" s="888" t="s">
        <v>2810</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2869</v>
      </c>
      <c r="C119" s="910"/>
      <c r="D119" s="910"/>
      <c r="E119" s="910"/>
      <c r="F119" s="910"/>
      <c r="G119" s="910"/>
      <c r="H119" s="910"/>
      <c r="I119" s="910"/>
      <c r="J119" s="910"/>
      <c r="K119" s="910"/>
      <c r="L119" s="1170"/>
      <c r="M119" s="1171"/>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2860</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2813</v>
      </c>
      <c r="C123" s="896"/>
      <c r="D123" s="896"/>
      <c r="E123" s="896"/>
      <c r="F123" s="910"/>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04"/>
      <c r="Q124" s="863"/>
      <c r="R124" s="748"/>
      <c r="S124" s="748"/>
      <c r="T124" s="748"/>
      <c r="U124" s="748"/>
      <c r="V124" s="748"/>
      <c r="W124" s="748"/>
      <c r="X124" s="748"/>
      <c r="Y124" s="748"/>
      <c r="Z124" s="748"/>
      <c r="AA124" s="748"/>
      <c r="AB124" s="748"/>
      <c r="AC124" s="748"/>
    </row>
    <row r="125" spans="1:29">
      <c r="A125" s="724"/>
      <c r="B125" s="888" t="s">
        <v>2814</v>
      </c>
      <c r="C125" s="906" t="s">
        <v>1349</v>
      </c>
      <c r="D125" s="906" t="s">
        <v>1350</v>
      </c>
      <c r="E125" s="906" t="s">
        <v>1351</v>
      </c>
      <c r="F125" s="906" t="s">
        <v>1352</v>
      </c>
      <c r="G125" s="906" t="s">
        <v>1353</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2765</v>
      </c>
      <c r="B1" s="1117" t="s">
        <v>2870</v>
      </c>
      <c r="C1" s="1003" t="s">
        <v>2767</v>
      </c>
      <c r="D1" s="1004"/>
      <c r="E1" s="1005"/>
      <c r="F1" s="1006"/>
      <c r="G1" s="1007" t="s">
        <v>2768</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1028</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1029</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1030</v>
      </c>
      <c r="B3" s="648">
        <f>IF(C2="——",C43,ROUND(B2*10000/D3,0))</f>
        <v>0</v>
      </c>
      <c r="C3" s="1014" t="s">
        <v>1187</v>
      </c>
      <c r="D3" s="1015">
        <f>IF(D1="",'数据-汇总表'!E3,SUMIF('数据-汇总表'!$C19:$C33,D1,'数据-汇总表'!$E19:$E33))</f>
        <v>596993.59</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2769</v>
      </c>
      <c r="B4" s="651"/>
      <c r="C4" s="3543" t="s">
        <v>2770</v>
      </c>
      <c r="D4" s="3544"/>
      <c r="E4" s="3545" t="s">
        <v>2771</v>
      </c>
      <c r="F4" s="3546"/>
      <c r="G4" s="3543" t="s">
        <v>2772</v>
      </c>
      <c r="H4" s="3544"/>
      <c r="I4" s="3543" t="s">
        <v>2773</v>
      </c>
      <c r="J4" s="3544"/>
      <c r="K4" s="802" t="s">
        <v>2774</v>
      </c>
      <c r="L4" s="1121"/>
      <c r="M4" s="788"/>
      <c r="N4" s="788"/>
      <c r="O4" s="788"/>
      <c r="P4" s="3576" t="s">
        <v>2775</v>
      </c>
      <c r="Q4" s="3577"/>
      <c r="R4" s="3582" t="s">
        <v>2771</v>
      </c>
      <c r="S4" s="3583"/>
      <c r="T4" s="3582" t="s">
        <v>2772</v>
      </c>
      <c r="U4" s="3583"/>
      <c r="V4" s="3559" t="s">
        <v>2773</v>
      </c>
      <c r="W4" s="3559"/>
      <c r="X4" s="852"/>
      <c r="Y4" s="3582" t="s">
        <v>2775</v>
      </c>
      <c r="Z4" s="3583"/>
      <c r="AA4" s="3573" t="s">
        <v>2771</v>
      </c>
      <c r="AB4" s="3574" t="s">
        <v>2772</v>
      </c>
      <c r="AC4" s="3573" t="s">
        <v>2773</v>
      </c>
    </row>
    <row r="5" spans="1:29" ht="15">
      <c r="A5" s="654"/>
      <c r="B5" s="655"/>
      <c r="C5" s="3547" t="s">
        <v>2776</v>
      </c>
      <c r="D5" s="3548"/>
      <c r="E5" s="3549" t="s">
        <v>2777</v>
      </c>
      <c r="F5" s="3550"/>
      <c r="G5" s="3547" t="s">
        <v>2778</v>
      </c>
      <c r="H5" s="3548"/>
      <c r="I5" s="3547" t="s">
        <v>2779</v>
      </c>
      <c r="J5" s="3548"/>
      <c r="K5" s="802"/>
      <c r="L5" s="1121"/>
      <c r="M5" s="788"/>
      <c r="N5" s="788"/>
      <c r="O5" s="788"/>
      <c r="P5" s="3578"/>
      <c r="Q5" s="3579"/>
      <c r="R5" s="3584"/>
      <c r="S5" s="3585"/>
      <c r="T5" s="3584"/>
      <c r="U5" s="3585"/>
      <c r="V5" s="3559"/>
      <c r="W5" s="3559"/>
      <c r="X5" s="852"/>
      <c r="Y5" s="3584"/>
      <c r="Z5" s="3585"/>
      <c r="AA5" s="3574"/>
      <c r="AB5" s="3574"/>
      <c r="AC5" s="3574"/>
    </row>
    <row r="6" spans="1:29" ht="15">
      <c r="A6" s="656"/>
      <c r="B6" s="657"/>
      <c r="C6" s="3551" t="s">
        <v>2780</v>
      </c>
      <c r="D6" s="3552"/>
      <c r="E6" s="3553" t="s">
        <v>2780</v>
      </c>
      <c r="F6" s="3554"/>
      <c r="G6" s="3551" t="s">
        <v>2780</v>
      </c>
      <c r="H6" s="3552"/>
      <c r="I6" s="3551" t="s">
        <v>2780</v>
      </c>
      <c r="J6" s="3552"/>
      <c r="K6" s="802" t="s">
        <v>2781</v>
      </c>
      <c r="L6" s="1121"/>
      <c r="M6" s="788"/>
      <c r="N6" s="788"/>
      <c r="O6" s="788"/>
      <c r="P6" s="3580"/>
      <c r="Q6" s="3581"/>
      <c r="R6" s="3584"/>
      <c r="S6" s="3585"/>
      <c r="T6" s="3586"/>
      <c r="U6" s="3587"/>
      <c r="V6" s="3559"/>
      <c r="W6" s="3559"/>
      <c r="X6" s="852"/>
      <c r="Y6" s="3586"/>
      <c r="Z6" s="3587"/>
      <c r="AA6" s="3575"/>
      <c r="AB6" s="3575"/>
      <c r="AC6" s="3575"/>
    </row>
    <row r="7" spans="1:29" s="631" customFormat="1" ht="15">
      <c r="A7" s="659" t="s">
        <v>2782</v>
      </c>
      <c r="B7" s="660"/>
      <c r="C7" s="661">
        <f>'数据-取费表'!B2</f>
        <v>45798</v>
      </c>
      <c r="D7" s="662">
        <v>100</v>
      </c>
      <c r="E7" s="663"/>
      <c r="F7" s="664">
        <f>SUMIF(52:52,YEAR(E7)&amp;"-"&amp;MONTH(E7),53:53)</f>
        <v>0</v>
      </c>
      <c r="G7" s="663"/>
      <c r="H7" s="662">
        <f>SUMIF(52:52,YEAR(G7)&amp;"-"&amp;MONTH(G7),53:53)</f>
        <v>0</v>
      </c>
      <c r="I7" s="663"/>
      <c r="J7" s="662">
        <f>SUMIF(52:52,YEAR(I7)&amp;"-"&amp;MONTH(I7),53:53)</f>
        <v>0</v>
      </c>
      <c r="K7" s="807"/>
      <c r="L7" s="1122"/>
      <c r="M7" s="1123"/>
      <c r="N7" s="1123"/>
      <c r="O7" s="1123"/>
      <c r="P7" s="3555" t="s">
        <v>2783</v>
      </c>
      <c r="Q7" s="3556"/>
      <c r="R7" s="853" t="s">
        <v>2784</v>
      </c>
      <c r="S7" s="854">
        <f t="shared" ref="S7:S15" si="0">F7</f>
        <v>0</v>
      </c>
      <c r="T7" s="853" t="s">
        <v>2784</v>
      </c>
      <c r="U7" s="854">
        <f t="shared" ref="U7:U15" si="1">H7</f>
        <v>0</v>
      </c>
      <c r="V7" s="853" t="s">
        <v>2784</v>
      </c>
      <c r="W7" s="854">
        <f t="shared" ref="W7:W15" si="2">J7</f>
        <v>0</v>
      </c>
      <c r="X7" s="855"/>
      <c r="Y7" s="3555" t="s">
        <v>2783</v>
      </c>
      <c r="Z7" s="3557"/>
      <c r="AA7" s="866" t="e">
        <f>D7/F7</f>
        <v>#DIV/0!</v>
      </c>
      <c r="AB7" s="866" t="e">
        <f>D7/H7</f>
        <v>#DIV/0!</v>
      </c>
      <c r="AC7" s="866" t="e">
        <f>D7/J7</f>
        <v>#DIV/0!</v>
      </c>
    </row>
    <row r="8" spans="1:29" s="631" customFormat="1" ht="15">
      <c r="A8" s="659" t="s">
        <v>2785</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555" t="s">
        <v>2786</v>
      </c>
      <c r="Q8" s="3557"/>
      <c r="R8" s="853" t="s">
        <v>2784</v>
      </c>
      <c r="S8" s="854">
        <f t="shared" si="0"/>
        <v>100</v>
      </c>
      <c r="T8" s="853" t="s">
        <v>2784</v>
      </c>
      <c r="U8" s="854">
        <f t="shared" si="1"/>
        <v>100</v>
      </c>
      <c r="V8" s="853" t="s">
        <v>2784</v>
      </c>
      <c r="W8" s="854">
        <f t="shared" si="2"/>
        <v>100</v>
      </c>
      <c r="X8" s="855"/>
      <c r="Y8" s="3555" t="s">
        <v>2786</v>
      </c>
      <c r="Z8" s="3557"/>
      <c r="AA8" s="866">
        <f t="shared" ref="AA8:AA40" si="3">D8/F8</f>
        <v>1</v>
      </c>
      <c r="AB8" s="866">
        <f t="shared" ref="AB8:AB40" si="4">D8/H8</f>
        <v>1</v>
      </c>
      <c r="AC8" s="866">
        <f t="shared" ref="AC8:AC40" si="5">D8/J8</f>
        <v>1</v>
      </c>
    </row>
    <row r="9" spans="1:29" s="631" customFormat="1">
      <c r="A9" s="667" t="s">
        <v>2787</v>
      </c>
      <c r="B9" s="668" t="s">
        <v>2788</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558" t="s">
        <v>2789</v>
      </c>
      <c r="Q9" s="857" t="str">
        <f t="shared" ref="Q9:Q15" si="6">B9</f>
        <v>用途</v>
      </c>
      <c r="R9" s="853" t="s">
        <v>2784</v>
      </c>
      <c r="S9" s="854">
        <f t="shared" si="0"/>
        <v>100</v>
      </c>
      <c r="T9" s="853" t="s">
        <v>2784</v>
      </c>
      <c r="U9" s="854">
        <f t="shared" si="1"/>
        <v>100</v>
      </c>
      <c r="V9" s="853" t="s">
        <v>2784</v>
      </c>
      <c r="W9" s="854">
        <f t="shared" si="2"/>
        <v>100</v>
      </c>
      <c r="X9" s="855"/>
      <c r="Y9" s="3465" t="s">
        <v>2790</v>
      </c>
      <c r="Z9" s="866" t="str">
        <f t="shared" ref="Z9:Z15" si="7">Q9</f>
        <v>用途</v>
      </c>
      <c r="AA9" s="866">
        <f t="shared" si="3"/>
        <v>1</v>
      </c>
      <c r="AB9" s="866">
        <f t="shared" si="4"/>
        <v>1</v>
      </c>
      <c r="AC9" s="866">
        <f t="shared" si="5"/>
        <v>1</v>
      </c>
    </row>
    <row r="10" spans="1:29" s="632" customFormat="1" ht="27">
      <c r="A10" s="671"/>
      <c r="B10" s="672" t="s">
        <v>2791</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558"/>
      <c r="Q10" s="857" t="str">
        <f t="shared" si="6"/>
        <v>土地使用年限（年）</v>
      </c>
      <c r="R10" s="853" t="s">
        <v>2784</v>
      </c>
      <c r="S10" s="854">
        <f t="shared" si="0"/>
        <v>100</v>
      </c>
      <c r="T10" s="853" t="s">
        <v>2784</v>
      </c>
      <c r="U10" s="854">
        <f t="shared" si="1"/>
        <v>100</v>
      </c>
      <c r="V10" s="853" t="s">
        <v>2784</v>
      </c>
      <c r="W10" s="854">
        <f t="shared" si="2"/>
        <v>100</v>
      </c>
      <c r="X10" s="855"/>
      <c r="Y10" s="3465"/>
      <c r="Z10" s="866" t="str">
        <f t="shared" si="7"/>
        <v>土地使用年限（年）</v>
      </c>
      <c r="AA10" s="866">
        <f t="shared" si="3"/>
        <v>1</v>
      </c>
      <c r="AB10" s="866">
        <f t="shared" si="4"/>
        <v>1</v>
      </c>
      <c r="AC10" s="866">
        <f t="shared" si="5"/>
        <v>1</v>
      </c>
    </row>
    <row r="11" spans="1:29" ht="15">
      <c r="A11" s="675"/>
      <c r="B11" s="672" t="s">
        <v>2792</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558"/>
      <c r="Q11" s="857" t="str">
        <f t="shared" si="6"/>
        <v>容积率</v>
      </c>
      <c r="R11" s="853" t="s">
        <v>2784</v>
      </c>
      <c r="S11" s="854">
        <f t="shared" si="0"/>
        <v>100</v>
      </c>
      <c r="T11" s="853" t="s">
        <v>2784</v>
      </c>
      <c r="U11" s="854">
        <f t="shared" si="1"/>
        <v>100</v>
      </c>
      <c r="V11" s="853" t="s">
        <v>2784</v>
      </c>
      <c r="W11" s="854">
        <f t="shared" si="2"/>
        <v>100</v>
      </c>
      <c r="X11" s="855"/>
      <c r="Y11" s="3465"/>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558"/>
      <c r="Q12" s="857">
        <f t="shared" si="6"/>
        <v>111</v>
      </c>
      <c r="R12" s="853" t="s">
        <v>2784</v>
      </c>
      <c r="S12" s="854">
        <f t="shared" si="0"/>
        <v>100</v>
      </c>
      <c r="T12" s="853" t="s">
        <v>2784</v>
      </c>
      <c r="U12" s="854">
        <f t="shared" si="1"/>
        <v>100</v>
      </c>
      <c r="V12" s="853" t="s">
        <v>2784</v>
      </c>
      <c r="W12" s="854">
        <f t="shared" si="2"/>
        <v>100</v>
      </c>
      <c r="X12" s="855"/>
      <c r="Y12" s="3465"/>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558"/>
      <c r="Q13" s="857">
        <f t="shared" si="6"/>
        <v>111</v>
      </c>
      <c r="R13" s="853" t="s">
        <v>2784</v>
      </c>
      <c r="S13" s="854">
        <f t="shared" si="0"/>
        <v>100</v>
      </c>
      <c r="T13" s="853" t="s">
        <v>2784</v>
      </c>
      <c r="U13" s="854">
        <f t="shared" si="1"/>
        <v>100</v>
      </c>
      <c r="V13" s="853" t="s">
        <v>2784</v>
      </c>
      <c r="W13" s="854">
        <f t="shared" si="2"/>
        <v>100</v>
      </c>
      <c r="X13" s="855"/>
      <c r="Y13" s="3465"/>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558"/>
      <c r="Q14" s="857">
        <f t="shared" si="6"/>
        <v>111</v>
      </c>
      <c r="R14" s="853" t="s">
        <v>2784</v>
      </c>
      <c r="S14" s="854">
        <f t="shared" si="0"/>
        <v>100</v>
      </c>
      <c r="T14" s="853" t="s">
        <v>2784</v>
      </c>
      <c r="U14" s="854">
        <f t="shared" si="1"/>
        <v>100</v>
      </c>
      <c r="V14" s="853" t="s">
        <v>2784</v>
      </c>
      <c r="W14" s="854">
        <f t="shared" si="2"/>
        <v>100</v>
      </c>
      <c r="X14" s="855"/>
      <c r="Y14" s="3465"/>
      <c r="Z14" s="866">
        <f t="shared" si="7"/>
        <v>111</v>
      </c>
      <c r="AA14" s="866">
        <f t="shared" si="3"/>
        <v>1</v>
      </c>
      <c r="AB14" s="866">
        <f t="shared" si="4"/>
        <v>1</v>
      </c>
      <c r="AC14" s="866">
        <f t="shared" si="5"/>
        <v>1</v>
      </c>
    </row>
    <row r="15" spans="1:29" ht="57">
      <c r="A15" s="689" t="s">
        <v>2793</v>
      </c>
      <c r="B15" s="972" t="s">
        <v>2871</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566" t="s">
        <v>2795</v>
      </c>
      <c r="Q15" s="771" t="str">
        <f t="shared" si="6"/>
        <v>产业集聚程度</v>
      </c>
      <c r="R15" s="858" t="s">
        <v>2784</v>
      </c>
      <c r="S15" s="859">
        <f t="shared" si="0"/>
        <v>100</v>
      </c>
      <c r="T15" s="858" t="s">
        <v>2784</v>
      </c>
      <c r="U15" s="859">
        <f t="shared" si="1"/>
        <v>100</v>
      </c>
      <c r="V15" s="858" t="s">
        <v>2784</v>
      </c>
      <c r="W15" s="859">
        <f t="shared" si="2"/>
        <v>100</v>
      </c>
      <c r="X15" s="852"/>
      <c r="Y15" s="3566" t="s">
        <v>2795</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567"/>
      <c r="Q16" s="771"/>
      <c r="R16" s="858"/>
      <c r="S16" s="859"/>
      <c r="T16" s="858"/>
      <c r="U16" s="859"/>
      <c r="V16" s="858"/>
      <c r="W16" s="859"/>
      <c r="X16" s="852"/>
      <c r="Y16" s="3567"/>
      <c r="Z16" s="840"/>
      <c r="AA16" s="840">
        <v>1</v>
      </c>
      <c r="AB16" s="840">
        <v>1</v>
      </c>
      <c r="AC16" s="840">
        <v>1</v>
      </c>
    </row>
    <row r="17" spans="1:29" ht="85.5">
      <c r="A17" s="675"/>
      <c r="B17" s="974" t="s">
        <v>2796</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567"/>
      <c r="Q17" s="771" t="str">
        <f>B17</f>
        <v>交通便捷度</v>
      </c>
      <c r="R17" s="858" t="s">
        <v>2784</v>
      </c>
      <c r="S17" s="859">
        <f>F17</f>
        <v>100</v>
      </c>
      <c r="T17" s="858" t="s">
        <v>2784</v>
      </c>
      <c r="U17" s="859">
        <f>H17</f>
        <v>100</v>
      </c>
      <c r="V17" s="858" t="s">
        <v>2784</v>
      </c>
      <c r="W17" s="859">
        <f>J17</f>
        <v>100</v>
      </c>
      <c r="X17" s="852"/>
      <c r="Y17" s="3567"/>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567"/>
      <c r="Q18" s="771"/>
      <c r="R18" s="858"/>
      <c r="S18" s="859"/>
      <c r="T18" s="858"/>
      <c r="U18" s="859"/>
      <c r="V18" s="858"/>
      <c r="W18" s="859"/>
      <c r="X18" s="852"/>
      <c r="Y18" s="3567"/>
      <c r="Z18" s="840"/>
      <c r="AA18" s="840">
        <v>1</v>
      </c>
      <c r="AB18" s="840">
        <v>1</v>
      </c>
      <c r="AC18" s="840">
        <v>1</v>
      </c>
    </row>
    <row r="19" spans="1:29" ht="42.75">
      <c r="A19" s="675"/>
      <c r="B19" s="974" t="s">
        <v>2797</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567"/>
      <c r="Q19" s="771" t="str">
        <f>B19</f>
        <v>公共配套设施</v>
      </c>
      <c r="R19" s="858" t="s">
        <v>2784</v>
      </c>
      <c r="S19" s="859">
        <f>F19</f>
        <v>100</v>
      </c>
      <c r="T19" s="858" t="s">
        <v>2784</v>
      </c>
      <c r="U19" s="859">
        <f>H19</f>
        <v>100</v>
      </c>
      <c r="V19" s="858" t="s">
        <v>2784</v>
      </c>
      <c r="W19" s="859">
        <f>J19</f>
        <v>100</v>
      </c>
      <c r="X19" s="852"/>
      <c r="Y19" s="3567"/>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567"/>
      <c r="Q20" s="771"/>
      <c r="R20" s="858"/>
      <c r="S20" s="859"/>
      <c r="T20" s="858"/>
      <c r="U20" s="859"/>
      <c r="V20" s="858"/>
      <c r="W20" s="859"/>
      <c r="X20" s="852"/>
      <c r="Y20" s="3567"/>
      <c r="Z20" s="840"/>
      <c r="AA20" s="840">
        <v>1</v>
      </c>
      <c r="AB20" s="840">
        <v>1</v>
      </c>
      <c r="AC20" s="840">
        <v>1</v>
      </c>
    </row>
    <row r="21" spans="1:29" ht="28.5">
      <c r="A21" s="675"/>
      <c r="B21" s="979" t="s">
        <v>2798</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567"/>
      <c r="Q21" s="771" t="str">
        <f>B21</f>
        <v>基础设施水平</v>
      </c>
      <c r="R21" s="858" t="s">
        <v>2784</v>
      </c>
      <c r="S21" s="859">
        <f>F21</f>
        <v>100</v>
      </c>
      <c r="T21" s="858" t="s">
        <v>2784</v>
      </c>
      <c r="U21" s="859">
        <f>H21</f>
        <v>100</v>
      </c>
      <c r="V21" s="858" t="s">
        <v>2784</v>
      </c>
      <c r="W21" s="859">
        <f>J21</f>
        <v>100</v>
      </c>
      <c r="X21" s="852"/>
      <c r="Y21" s="3567"/>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567"/>
      <c r="Q22" s="771"/>
      <c r="R22" s="858"/>
      <c r="S22" s="859"/>
      <c r="T22" s="858"/>
      <c r="U22" s="859"/>
      <c r="V22" s="858"/>
      <c r="W22" s="859"/>
      <c r="X22" s="852"/>
      <c r="Y22" s="3567"/>
      <c r="Z22" s="840"/>
      <c r="AA22" s="840">
        <v>1</v>
      </c>
      <c r="AB22" s="840">
        <v>1</v>
      </c>
      <c r="AC22" s="840">
        <v>1</v>
      </c>
    </row>
    <row r="23" spans="1:29" ht="71.25">
      <c r="A23" s="675"/>
      <c r="B23" s="974" t="s">
        <v>2865</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567"/>
      <c r="Q23" s="771" t="str">
        <f>B23</f>
        <v>环境质量</v>
      </c>
      <c r="R23" s="858" t="s">
        <v>2784</v>
      </c>
      <c r="S23" s="859">
        <f>F23</f>
        <v>100</v>
      </c>
      <c r="T23" s="858" t="s">
        <v>2784</v>
      </c>
      <c r="U23" s="859">
        <f>H23</f>
        <v>100</v>
      </c>
      <c r="V23" s="858" t="s">
        <v>2784</v>
      </c>
      <c r="W23" s="859">
        <f>J23</f>
        <v>100</v>
      </c>
      <c r="X23" s="852"/>
      <c r="Y23" s="3567"/>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567"/>
      <c r="Q24" s="771"/>
      <c r="R24" s="858"/>
      <c r="S24" s="859"/>
      <c r="T24" s="858"/>
      <c r="U24" s="859"/>
      <c r="V24" s="858"/>
      <c r="W24" s="859"/>
      <c r="X24" s="852"/>
      <c r="Y24" s="3567"/>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567"/>
      <c r="Q25" s="771">
        <f>B25</f>
        <v>111</v>
      </c>
      <c r="R25" s="858" t="s">
        <v>2784</v>
      </c>
      <c r="S25" s="859">
        <f>F25</f>
        <v>100</v>
      </c>
      <c r="T25" s="858" t="s">
        <v>2784</v>
      </c>
      <c r="U25" s="859">
        <f>H25</f>
        <v>100</v>
      </c>
      <c r="V25" s="858" t="s">
        <v>2784</v>
      </c>
      <c r="W25" s="859">
        <f>J25</f>
        <v>100</v>
      </c>
      <c r="X25" s="852"/>
      <c r="Y25" s="3567"/>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567"/>
      <c r="Q26" s="771">
        <f t="shared" ref="Q26:Q40" si="11">B26</f>
        <v>111</v>
      </c>
      <c r="R26" s="858" t="s">
        <v>2784</v>
      </c>
      <c r="S26" s="859">
        <f>F26</f>
        <v>100</v>
      </c>
      <c r="T26" s="858" t="s">
        <v>2784</v>
      </c>
      <c r="U26" s="859">
        <f>H26</f>
        <v>100</v>
      </c>
      <c r="V26" s="858" t="s">
        <v>2784</v>
      </c>
      <c r="W26" s="859">
        <f>J26</f>
        <v>100</v>
      </c>
      <c r="X26" s="852"/>
      <c r="Y26" s="3567"/>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567"/>
      <c r="Q27" s="857">
        <f t="shared" si="11"/>
        <v>111</v>
      </c>
      <c r="R27" s="853" t="s">
        <v>2784</v>
      </c>
      <c r="S27" s="854">
        <f>F27</f>
        <v>100</v>
      </c>
      <c r="T27" s="853" t="s">
        <v>2784</v>
      </c>
      <c r="U27" s="854">
        <f>H27</f>
        <v>100</v>
      </c>
      <c r="V27" s="853" t="s">
        <v>2784</v>
      </c>
      <c r="W27" s="854">
        <f>J27</f>
        <v>100</v>
      </c>
      <c r="X27" s="855"/>
      <c r="Y27" s="3567"/>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567"/>
      <c r="Q28" s="771">
        <f t="shared" si="11"/>
        <v>111</v>
      </c>
      <c r="R28" s="858" t="s">
        <v>2784</v>
      </c>
      <c r="S28" s="859">
        <f t="shared" ref="S28:S40" si="12">F28</f>
        <v>100</v>
      </c>
      <c r="T28" s="858" t="s">
        <v>2784</v>
      </c>
      <c r="U28" s="859">
        <f t="shared" ref="U28:U40" si="13">H28</f>
        <v>100</v>
      </c>
      <c r="V28" s="858" t="s">
        <v>2784</v>
      </c>
      <c r="W28" s="859">
        <f t="shared" ref="W28:W40" si="14">J28</f>
        <v>100</v>
      </c>
      <c r="X28" s="852"/>
      <c r="Y28" s="3567"/>
      <c r="Z28" s="840">
        <f t="shared" ref="Z28:Z40" si="15">Q28</f>
        <v>111</v>
      </c>
      <c r="AA28" s="840">
        <f t="shared" si="3"/>
        <v>1</v>
      </c>
      <c r="AB28" s="840">
        <f t="shared" si="4"/>
        <v>1</v>
      </c>
      <c r="AC28" s="840">
        <f t="shared" si="5"/>
        <v>1</v>
      </c>
    </row>
    <row r="29" spans="1:29" ht="28.5">
      <c r="A29" s="1023" t="s">
        <v>2802</v>
      </c>
      <c r="B29" s="668" t="s">
        <v>2803</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603" t="s">
        <v>2804</v>
      </c>
      <c r="Q29" s="771" t="str">
        <f t="shared" si="11"/>
        <v>建筑类型</v>
      </c>
      <c r="R29" s="858" t="s">
        <v>2784</v>
      </c>
      <c r="S29" s="859">
        <f t="shared" si="12"/>
        <v>100</v>
      </c>
      <c r="T29" s="858" t="s">
        <v>2784</v>
      </c>
      <c r="U29" s="859">
        <f t="shared" si="13"/>
        <v>100</v>
      </c>
      <c r="V29" s="858" t="s">
        <v>2784</v>
      </c>
      <c r="W29" s="859">
        <f t="shared" si="14"/>
        <v>100</v>
      </c>
      <c r="X29" s="852"/>
      <c r="Y29" s="3568" t="s">
        <v>2804</v>
      </c>
      <c r="Z29" s="840" t="str">
        <f t="shared" si="15"/>
        <v>建筑类型</v>
      </c>
      <c r="AA29" s="840">
        <f t="shared" si="3"/>
        <v>1</v>
      </c>
      <c r="AB29" s="840">
        <f t="shared" si="4"/>
        <v>1</v>
      </c>
      <c r="AC29" s="840">
        <f t="shared" si="5"/>
        <v>1</v>
      </c>
    </row>
    <row r="30" spans="1:29" s="633" customFormat="1" ht="15">
      <c r="A30" s="729"/>
      <c r="B30" s="672" t="s">
        <v>2805</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568"/>
      <c r="Q30" s="1049" t="str">
        <f t="shared" si="11"/>
        <v>项目建筑规模</v>
      </c>
      <c r="R30" s="860" t="s">
        <v>2784</v>
      </c>
      <c r="S30" s="861" t="e">
        <f t="shared" si="12"/>
        <v>#N/A</v>
      </c>
      <c r="T30" s="860" t="s">
        <v>2784</v>
      </c>
      <c r="U30" s="861" t="e">
        <f t="shared" si="13"/>
        <v>#N/A</v>
      </c>
      <c r="V30" s="860" t="s">
        <v>2784</v>
      </c>
      <c r="W30" s="861" t="e">
        <f t="shared" si="14"/>
        <v>#N/A</v>
      </c>
      <c r="X30" s="862"/>
      <c r="Y30" s="3568"/>
      <c r="Z30" s="867" t="str">
        <f t="shared" si="15"/>
        <v>项目建筑规模</v>
      </c>
      <c r="AA30" s="840" t="e">
        <f t="shared" si="3"/>
        <v>#N/A</v>
      </c>
      <c r="AB30" s="840" t="e">
        <f t="shared" si="4"/>
        <v>#N/A</v>
      </c>
      <c r="AC30" s="840" t="e">
        <f t="shared" si="5"/>
        <v>#N/A</v>
      </c>
    </row>
    <row r="31" spans="1:29" ht="15">
      <c r="A31" s="724"/>
      <c r="B31" s="672" t="s">
        <v>2806</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568"/>
      <c r="Q31" s="771" t="str">
        <f t="shared" si="11"/>
        <v>建筑结构</v>
      </c>
      <c r="R31" s="858" t="s">
        <v>2784</v>
      </c>
      <c r="S31" s="859">
        <f t="shared" si="12"/>
        <v>100</v>
      </c>
      <c r="T31" s="858" t="s">
        <v>2784</v>
      </c>
      <c r="U31" s="859">
        <f t="shared" si="13"/>
        <v>100</v>
      </c>
      <c r="V31" s="858" t="s">
        <v>2784</v>
      </c>
      <c r="W31" s="859">
        <f t="shared" si="14"/>
        <v>100</v>
      </c>
      <c r="X31" s="852"/>
      <c r="Y31" s="3568"/>
      <c r="Z31" s="840" t="str">
        <f t="shared" si="15"/>
        <v>建筑结构</v>
      </c>
      <c r="AA31" s="840">
        <f t="shared" si="3"/>
        <v>1</v>
      </c>
      <c r="AB31" s="840">
        <f t="shared" si="4"/>
        <v>1</v>
      </c>
      <c r="AC31" s="840">
        <f t="shared" si="5"/>
        <v>1</v>
      </c>
    </row>
    <row r="32" spans="1:29" ht="15">
      <c r="A32" s="724"/>
      <c r="B32" s="672" t="s">
        <v>2808</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568"/>
      <c r="Q32" s="771" t="str">
        <f t="shared" si="11"/>
        <v>公共部分装修</v>
      </c>
      <c r="R32" s="858" t="s">
        <v>2784</v>
      </c>
      <c r="S32" s="859">
        <f t="shared" si="12"/>
        <v>100</v>
      </c>
      <c r="T32" s="858" t="s">
        <v>2784</v>
      </c>
      <c r="U32" s="859">
        <f t="shared" si="13"/>
        <v>100</v>
      </c>
      <c r="V32" s="858" t="s">
        <v>2784</v>
      </c>
      <c r="W32" s="859">
        <f t="shared" si="14"/>
        <v>100</v>
      </c>
      <c r="X32" s="852"/>
      <c r="Y32" s="3568"/>
      <c r="Z32" s="840" t="str">
        <f t="shared" si="15"/>
        <v>公共部分装修</v>
      </c>
      <c r="AA32" s="840">
        <f t="shared" si="3"/>
        <v>1</v>
      </c>
      <c r="AB32" s="840">
        <f t="shared" si="4"/>
        <v>1</v>
      </c>
      <c r="AC32" s="840">
        <f t="shared" si="5"/>
        <v>1</v>
      </c>
    </row>
    <row r="33" spans="1:29" ht="15">
      <c r="A33" s="724"/>
      <c r="B33" s="672" t="s">
        <v>650</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568"/>
      <c r="Q33" s="771" t="str">
        <f t="shared" si="11"/>
        <v>成新度</v>
      </c>
      <c r="R33" s="858" t="s">
        <v>2784</v>
      </c>
      <c r="S33" s="859" t="e">
        <f t="shared" si="12"/>
        <v>#N/A</v>
      </c>
      <c r="T33" s="858" t="s">
        <v>2784</v>
      </c>
      <c r="U33" s="859" t="e">
        <f t="shared" si="13"/>
        <v>#N/A</v>
      </c>
      <c r="V33" s="858" t="s">
        <v>2784</v>
      </c>
      <c r="W33" s="859" t="e">
        <f t="shared" si="14"/>
        <v>#N/A</v>
      </c>
      <c r="X33" s="852"/>
      <c r="Y33" s="3568"/>
      <c r="Z33" s="840" t="str">
        <f t="shared" si="15"/>
        <v>成新度</v>
      </c>
      <c r="AA33" s="840" t="e">
        <f t="shared" si="3"/>
        <v>#N/A</v>
      </c>
      <c r="AB33" s="840" t="e">
        <f t="shared" si="4"/>
        <v>#N/A</v>
      </c>
      <c r="AC33" s="840" t="e">
        <f t="shared" si="5"/>
        <v>#N/A</v>
      </c>
    </row>
    <row r="34" spans="1:29" s="631" customFormat="1" ht="15">
      <c r="A34" s="726"/>
      <c r="B34" s="672" t="s">
        <v>2809</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568"/>
      <c r="Q34" s="857" t="str">
        <f t="shared" si="11"/>
        <v>物业管理</v>
      </c>
      <c r="R34" s="853" t="s">
        <v>2784</v>
      </c>
      <c r="S34" s="854">
        <f t="shared" si="12"/>
        <v>100</v>
      </c>
      <c r="T34" s="853" t="s">
        <v>2784</v>
      </c>
      <c r="U34" s="854">
        <f t="shared" si="13"/>
        <v>100</v>
      </c>
      <c r="V34" s="853" t="s">
        <v>2784</v>
      </c>
      <c r="W34" s="854">
        <f t="shared" si="14"/>
        <v>100</v>
      </c>
      <c r="X34" s="855"/>
      <c r="Y34" s="3568"/>
      <c r="Z34" s="866" t="str">
        <f t="shared" si="15"/>
        <v>物业管理</v>
      </c>
      <c r="AA34" s="866">
        <f t="shared" si="3"/>
        <v>1</v>
      </c>
      <c r="AB34" s="866">
        <f t="shared" si="4"/>
        <v>1</v>
      </c>
      <c r="AC34" s="866">
        <f t="shared" si="5"/>
        <v>1</v>
      </c>
    </row>
    <row r="35" spans="1:29" ht="15">
      <c r="A35" s="724"/>
      <c r="B35" s="672" t="s">
        <v>2810</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568" t="s">
        <v>2804</v>
      </c>
      <c r="Q35" s="771" t="str">
        <f t="shared" si="11"/>
        <v>市政基础设施</v>
      </c>
      <c r="R35" s="858" t="s">
        <v>2784</v>
      </c>
      <c r="S35" s="859">
        <f t="shared" si="12"/>
        <v>100</v>
      </c>
      <c r="T35" s="858" t="s">
        <v>2784</v>
      </c>
      <c r="U35" s="859">
        <f t="shared" si="13"/>
        <v>100</v>
      </c>
      <c r="V35" s="858" t="s">
        <v>2784</v>
      </c>
      <c r="W35" s="859">
        <f t="shared" si="14"/>
        <v>100</v>
      </c>
      <c r="X35" s="852"/>
      <c r="Y35" s="3568" t="s">
        <v>2804</v>
      </c>
      <c r="Z35" s="840" t="str">
        <f t="shared" si="15"/>
        <v>市政基础设施</v>
      </c>
      <c r="AA35" s="840">
        <f t="shared" si="3"/>
        <v>1</v>
      </c>
      <c r="AB35" s="840">
        <f t="shared" si="4"/>
        <v>1</v>
      </c>
      <c r="AC35" s="840">
        <f t="shared" si="5"/>
        <v>1</v>
      </c>
    </row>
    <row r="36" spans="1:29" ht="15">
      <c r="A36" s="724"/>
      <c r="B36" s="672" t="s">
        <v>2813</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568"/>
      <c r="Q36" s="771" t="str">
        <f t="shared" si="11"/>
        <v>内部装修</v>
      </c>
      <c r="R36" s="858" t="s">
        <v>2784</v>
      </c>
      <c r="S36" s="859">
        <f t="shared" si="12"/>
        <v>100</v>
      </c>
      <c r="T36" s="858" t="s">
        <v>2784</v>
      </c>
      <c r="U36" s="859">
        <f t="shared" si="13"/>
        <v>100</v>
      </c>
      <c r="V36" s="858" t="s">
        <v>2784</v>
      </c>
      <c r="W36" s="859">
        <f t="shared" si="14"/>
        <v>100</v>
      </c>
      <c r="X36" s="852"/>
      <c r="Y36" s="3568"/>
      <c r="Z36" s="840" t="str">
        <f t="shared" si="15"/>
        <v>内部装修</v>
      </c>
      <c r="AA36" s="840">
        <f t="shared" si="3"/>
        <v>1</v>
      </c>
      <c r="AB36" s="840">
        <f t="shared" si="4"/>
        <v>1</v>
      </c>
      <c r="AC36" s="840">
        <f t="shared" si="5"/>
        <v>1</v>
      </c>
    </row>
    <row r="37" spans="1:29" ht="15">
      <c r="A37" s="724"/>
      <c r="B37" s="672" t="s">
        <v>2872</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568"/>
      <c r="Q37" s="771" t="str">
        <f t="shared" si="11"/>
        <v>内部装修状况</v>
      </c>
      <c r="R37" s="858" t="s">
        <v>2784</v>
      </c>
      <c r="S37" s="859">
        <f t="shared" si="12"/>
        <v>100</v>
      </c>
      <c r="T37" s="858" t="s">
        <v>2784</v>
      </c>
      <c r="U37" s="859">
        <f t="shared" si="13"/>
        <v>100</v>
      </c>
      <c r="V37" s="858" t="s">
        <v>2784</v>
      </c>
      <c r="W37" s="859">
        <f t="shared" si="14"/>
        <v>100</v>
      </c>
      <c r="X37" s="852"/>
      <c r="Y37" s="3568"/>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568"/>
      <c r="Q38" s="1049">
        <f t="shared" si="11"/>
        <v>111</v>
      </c>
      <c r="R38" s="860" t="s">
        <v>2784</v>
      </c>
      <c r="S38" s="861">
        <f t="shared" si="12"/>
        <v>100</v>
      </c>
      <c r="T38" s="860" t="s">
        <v>2784</v>
      </c>
      <c r="U38" s="861">
        <f t="shared" si="13"/>
        <v>100</v>
      </c>
      <c r="V38" s="860" t="s">
        <v>2784</v>
      </c>
      <c r="W38" s="861">
        <f t="shared" si="14"/>
        <v>100</v>
      </c>
      <c r="X38" s="862"/>
      <c r="Y38" s="3568"/>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568"/>
      <c r="Q39" s="771">
        <f t="shared" si="11"/>
        <v>111</v>
      </c>
      <c r="R39" s="858" t="s">
        <v>2784</v>
      </c>
      <c r="S39" s="859">
        <f t="shared" si="12"/>
        <v>100</v>
      </c>
      <c r="T39" s="858" t="s">
        <v>2784</v>
      </c>
      <c r="U39" s="859">
        <f t="shared" si="13"/>
        <v>100</v>
      </c>
      <c r="V39" s="858" t="s">
        <v>2784</v>
      </c>
      <c r="W39" s="859">
        <f t="shared" si="14"/>
        <v>100</v>
      </c>
      <c r="X39" s="852"/>
      <c r="Y39" s="3568"/>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569"/>
      <c r="Q40" s="771">
        <f t="shared" si="11"/>
        <v>111</v>
      </c>
      <c r="R40" s="858" t="s">
        <v>2784</v>
      </c>
      <c r="S40" s="859">
        <f t="shared" si="12"/>
        <v>100</v>
      </c>
      <c r="T40" s="858" t="s">
        <v>2784</v>
      </c>
      <c r="U40" s="859">
        <f t="shared" si="13"/>
        <v>100</v>
      </c>
      <c r="V40" s="858" t="s">
        <v>2784</v>
      </c>
      <c r="W40" s="859">
        <f t="shared" si="14"/>
        <v>100</v>
      </c>
      <c r="X40" s="852"/>
      <c r="Y40" s="3569"/>
      <c r="Z40" s="840">
        <f t="shared" si="15"/>
        <v>111</v>
      </c>
      <c r="AA40" s="840">
        <f t="shared" si="3"/>
        <v>1</v>
      </c>
      <c r="AB40" s="840">
        <f t="shared" si="4"/>
        <v>1</v>
      </c>
      <c r="AC40" s="840">
        <f t="shared" si="5"/>
        <v>1</v>
      </c>
    </row>
    <row r="41" spans="1:29" ht="15">
      <c r="A41" s="731" t="s">
        <v>2815</v>
      </c>
      <c r="B41" s="1032"/>
      <c r="C41" s="1033" t="s">
        <v>124</v>
      </c>
      <c r="D41" s="734"/>
      <c r="E41" s="735"/>
      <c r="F41" s="736"/>
      <c r="G41" s="737"/>
      <c r="H41" s="738"/>
      <c r="I41" s="735"/>
      <c r="J41" s="738"/>
      <c r="K41" s="831"/>
      <c r="L41" s="1133"/>
      <c r="M41" s="788"/>
      <c r="N41" s="788"/>
      <c r="O41" s="788"/>
      <c r="P41" s="3558" t="str">
        <f>A41</f>
        <v>成交单价（元/平方米）</v>
      </c>
      <c r="Q41" s="3558"/>
      <c r="R41" s="3559">
        <f>E41</f>
        <v>0</v>
      </c>
      <c r="S41" s="3559"/>
      <c r="T41" s="3559">
        <f>G41</f>
        <v>0</v>
      </c>
      <c r="U41" s="3559"/>
      <c r="V41" s="3559">
        <f>I41</f>
        <v>0</v>
      </c>
      <c r="W41" s="3559"/>
      <c r="X41" s="793"/>
      <c r="Y41" s="868"/>
      <c r="Z41" s="793"/>
      <c r="AA41" s="793"/>
      <c r="AB41" s="793"/>
      <c r="AC41" s="793"/>
    </row>
    <row r="42" spans="1:29" ht="15">
      <c r="A42" s="739" t="s">
        <v>2816</v>
      </c>
      <c r="B42" s="1034"/>
      <c r="C42" s="1035" t="e">
        <f>R43</f>
        <v>#DIV/0!</v>
      </c>
      <c r="D42" s="742" t="s">
        <v>2817</v>
      </c>
      <c r="E42" s="1036" t="e">
        <f>R42</f>
        <v>#DIV/0!</v>
      </c>
      <c r="F42" s="743"/>
      <c r="G42" s="1035" t="e">
        <f>T42</f>
        <v>#DIV/0!</v>
      </c>
      <c r="H42" s="743"/>
      <c r="I42" s="1036" t="e">
        <f>V42</f>
        <v>#DIV/0!</v>
      </c>
      <c r="J42" s="743"/>
      <c r="K42" s="833">
        <f>F42+H42+J42</f>
        <v>0</v>
      </c>
      <c r="L42" s="1133"/>
      <c r="M42" s="788"/>
      <c r="N42" s="788"/>
      <c r="O42" s="788"/>
      <c r="P42" s="3558" t="str">
        <f>A42</f>
        <v>比较价值（元/平方米）</v>
      </c>
      <c r="Q42" s="3558"/>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793"/>
      <c r="Y42" s="793"/>
      <c r="Z42" s="793"/>
      <c r="AA42" s="793"/>
      <c r="AB42" s="793"/>
      <c r="AC42" s="793"/>
    </row>
    <row r="43" spans="1:29" ht="15">
      <c r="A43" s="745" t="s">
        <v>2818</v>
      </c>
      <c r="B43" s="746"/>
      <c r="C43" s="657" t="e">
        <f>R43</f>
        <v>#DIV/0!</v>
      </c>
      <c r="D43" s="657"/>
      <c r="E43" s="657"/>
      <c r="F43" s="657"/>
      <c r="G43" s="657"/>
      <c r="H43" s="657"/>
      <c r="I43" s="657"/>
      <c r="J43" s="657"/>
      <c r="K43" s="834"/>
      <c r="L43" s="1133"/>
      <c r="M43" s="788"/>
      <c r="N43" s="788"/>
      <c r="O43" s="788"/>
      <c r="P43" s="3570" t="str">
        <f>A43</f>
        <v>估价对象XX用房的比较价值（楼面单价，元/平方米）</v>
      </c>
      <c r="Q43" s="3571"/>
      <c r="R43" s="3572" t="e">
        <f>IF(F1="售价",ROUND(IF(D42="简单平均",AVERAGE(R42:V42),R42*F42+T42*H42+V42*J42),0),ROUND(IF(D42="简单平均",AVERAGE(R42:V42),R42*F42+T42*H42+V42*J42),1))</f>
        <v>#DIV/0!</v>
      </c>
      <c r="S43" s="3572"/>
      <c r="T43" s="3572"/>
      <c r="U43" s="3572"/>
      <c r="V43" s="3572"/>
      <c r="W43" s="3572"/>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2819</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2820</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2821</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2822</v>
      </c>
      <c r="B51" s="793"/>
      <c r="C51" s="794"/>
      <c r="D51" s="794"/>
      <c r="E51" s="794"/>
      <c r="F51" s="795"/>
      <c r="G51" s="795"/>
      <c r="H51" s="794"/>
      <c r="I51" s="794"/>
      <c r="J51" s="794"/>
      <c r="K51" s="996"/>
      <c r="L51" s="997"/>
      <c r="M51" s="849"/>
      <c r="N51" s="849"/>
      <c r="O51" s="849"/>
      <c r="P51" s="1136"/>
      <c r="Q51" s="1137"/>
    </row>
    <row r="52" spans="1:17" s="636" customFormat="1" ht="15">
      <c r="A52" s="1038" t="s">
        <v>2782</v>
      </c>
      <c r="B52" s="1039"/>
      <c r="C52" s="1040" t="str">
        <f>YEAR(C7)&amp;"-"&amp;MONTH(C7)</f>
        <v>2025-5</v>
      </c>
      <c r="D52" s="1041">
        <f>EDATE(C52,-1)</f>
        <v>45748</v>
      </c>
      <c r="E52" s="1041">
        <f t="shared" ref="E52:O52" si="16">EDATE(D52,-1)</f>
        <v>45717</v>
      </c>
      <c r="F52" s="1041">
        <f t="shared" si="16"/>
        <v>45689</v>
      </c>
      <c r="G52" s="1041">
        <f t="shared" si="16"/>
        <v>45658</v>
      </c>
      <c r="H52" s="1041">
        <f t="shared" si="16"/>
        <v>45627</v>
      </c>
      <c r="I52" s="1041">
        <f t="shared" si="16"/>
        <v>45597</v>
      </c>
      <c r="J52" s="1041">
        <f t="shared" si="16"/>
        <v>45566</v>
      </c>
      <c r="K52" s="1041">
        <f t="shared" si="16"/>
        <v>45536</v>
      </c>
      <c r="L52" s="1041">
        <f t="shared" si="16"/>
        <v>45505</v>
      </c>
      <c r="M52" s="1041">
        <f t="shared" si="16"/>
        <v>45474</v>
      </c>
      <c r="N52" s="1041">
        <f t="shared" si="16"/>
        <v>45444</v>
      </c>
      <c r="O52" s="1041">
        <f t="shared" si="16"/>
        <v>45413</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2823</v>
      </c>
      <c r="B54" s="876"/>
      <c r="C54" s="877"/>
      <c r="D54" s="878"/>
      <c r="E54" s="878"/>
      <c r="F54" s="878"/>
      <c r="G54" s="878"/>
      <c r="H54" s="878"/>
      <c r="I54" s="878"/>
      <c r="J54" s="878"/>
      <c r="K54" s="878"/>
      <c r="L54" s="878"/>
      <c r="M54" s="918"/>
      <c r="N54" s="1138"/>
      <c r="O54" s="1139"/>
      <c r="P54" s="1137"/>
      <c r="Q54" s="1137"/>
    </row>
    <row r="55" spans="1:17" s="631" customFormat="1" ht="15">
      <c r="A55" s="879" t="s">
        <v>2785</v>
      </c>
      <c r="B55" s="880"/>
      <c r="C55" s="881" t="s">
        <v>2824</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2825</v>
      </c>
      <c r="B57" s="885" t="s">
        <v>2788</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2791</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2792</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2793</v>
      </c>
      <c r="B70" s="885" t="s">
        <v>2871</v>
      </c>
      <c r="C70" s="905" t="s">
        <v>1349</v>
      </c>
      <c r="D70" s="905" t="s">
        <v>1350</v>
      </c>
      <c r="E70" s="905" t="s">
        <v>1351</v>
      </c>
      <c r="F70" s="905" t="s">
        <v>1352</v>
      </c>
      <c r="G70" s="905" t="s">
        <v>1353</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2796</v>
      </c>
      <c r="C72" s="906" t="s">
        <v>1349</v>
      </c>
      <c r="D72" s="906" t="s">
        <v>1350</v>
      </c>
      <c r="E72" s="906" t="s">
        <v>1351</v>
      </c>
      <c r="F72" s="906" t="s">
        <v>1352</v>
      </c>
      <c r="G72" s="906" t="s">
        <v>1353</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2797</v>
      </c>
      <c r="C74" s="906" t="s">
        <v>1349</v>
      </c>
      <c r="D74" s="906" t="s">
        <v>1350</v>
      </c>
      <c r="E74" s="906" t="s">
        <v>1351</v>
      </c>
      <c r="F74" s="906" t="s">
        <v>1352</v>
      </c>
      <c r="G74" s="906" t="s">
        <v>1353</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2798</v>
      </c>
      <c r="C76" s="821" t="s">
        <v>2826</v>
      </c>
      <c r="D76" s="821" t="s">
        <v>2827</v>
      </c>
      <c r="E76" s="821" t="s">
        <v>2828</v>
      </c>
      <c r="F76" s="821" t="s">
        <v>2829</v>
      </c>
      <c r="G76" s="821" t="s">
        <v>2830</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2865</v>
      </c>
      <c r="C78" s="906" t="s">
        <v>1349</v>
      </c>
      <c r="D78" s="906" t="s">
        <v>1350</v>
      </c>
      <c r="E78" s="906" t="s">
        <v>1351</v>
      </c>
      <c r="F78" s="906" t="s">
        <v>1352</v>
      </c>
      <c r="G78" s="906" t="s">
        <v>1353</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2802</v>
      </c>
      <c r="B88" s="885" t="s">
        <v>2803</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2805</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2806</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2808</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650</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2809</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2810</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2813</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2873</v>
      </c>
      <c r="C106" s="906" t="s">
        <v>1349</v>
      </c>
      <c r="D106" s="906" t="s">
        <v>1350</v>
      </c>
      <c r="E106" s="906" t="s">
        <v>1351</v>
      </c>
      <c r="F106" s="906" t="s">
        <v>1352</v>
      </c>
      <c r="G106" s="906" t="s">
        <v>1353</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2874</v>
      </c>
      <c r="B1" s="1002" t="s">
        <v>2875</v>
      </c>
      <c r="C1" s="1003" t="s">
        <v>2767</v>
      </c>
      <c r="D1" s="1004"/>
      <c r="E1" s="1005"/>
      <c r="F1" s="1006"/>
      <c r="G1" s="1063" t="s">
        <v>2768</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1028</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1029</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1030</v>
      </c>
      <c r="B3" s="648" t="e">
        <f>IF(AND(C2="——",B37="元/平方米"),C39,ROUND(B2*10000/D3,0))</f>
        <v>#DIV/0!</v>
      </c>
      <c r="C3" s="1014" t="s">
        <v>1187</v>
      </c>
      <c r="D3" s="1015">
        <f>SUMIF('数据-汇总表'!$C19:$C33,D1,'数据-汇总表'!$E19:$E33)</f>
        <v>0</v>
      </c>
      <c r="E3" s="1014" t="s">
        <v>2876</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2769</v>
      </c>
      <c r="B4" s="651"/>
      <c r="C4" s="3543" t="s">
        <v>2770</v>
      </c>
      <c r="D4" s="3544"/>
      <c r="E4" s="3545" t="s">
        <v>2771</v>
      </c>
      <c r="F4" s="3546"/>
      <c r="G4" s="3543" t="s">
        <v>2772</v>
      </c>
      <c r="H4" s="3544"/>
      <c r="I4" s="3543" t="s">
        <v>2773</v>
      </c>
      <c r="J4" s="3544"/>
      <c r="K4" s="802" t="s">
        <v>2774</v>
      </c>
      <c r="L4" s="803"/>
      <c r="M4" s="748"/>
      <c r="N4" s="748"/>
      <c r="O4" s="748"/>
      <c r="P4" s="3576" t="s">
        <v>2775</v>
      </c>
      <c r="Q4" s="3577"/>
      <c r="R4" s="3582" t="s">
        <v>2771</v>
      </c>
      <c r="S4" s="3583"/>
      <c r="T4" s="3582" t="s">
        <v>2772</v>
      </c>
      <c r="U4" s="3583"/>
      <c r="V4" s="3559" t="s">
        <v>2773</v>
      </c>
      <c r="W4" s="3559"/>
      <c r="X4" s="852"/>
      <c r="Y4" s="3582" t="s">
        <v>2775</v>
      </c>
      <c r="Z4" s="3583"/>
      <c r="AA4" s="3573" t="s">
        <v>2771</v>
      </c>
      <c r="AB4" s="3574" t="s">
        <v>2772</v>
      </c>
      <c r="AC4" s="3573" t="s">
        <v>2773</v>
      </c>
    </row>
    <row r="5" spans="1:29" ht="15">
      <c r="A5" s="654"/>
      <c r="B5" s="655"/>
      <c r="C5" s="3547" t="s">
        <v>2776</v>
      </c>
      <c r="D5" s="3548"/>
      <c r="E5" s="3549" t="s">
        <v>2777</v>
      </c>
      <c r="F5" s="3550"/>
      <c r="G5" s="3547" t="s">
        <v>2778</v>
      </c>
      <c r="H5" s="3548"/>
      <c r="I5" s="3547" t="s">
        <v>2779</v>
      </c>
      <c r="J5" s="3548"/>
      <c r="K5" s="802"/>
      <c r="L5" s="803"/>
      <c r="M5" s="748"/>
      <c r="N5" s="748"/>
      <c r="O5" s="748"/>
      <c r="P5" s="3578"/>
      <c r="Q5" s="3579"/>
      <c r="R5" s="3584"/>
      <c r="S5" s="3585"/>
      <c r="T5" s="3584"/>
      <c r="U5" s="3585"/>
      <c r="V5" s="3559"/>
      <c r="W5" s="3559"/>
      <c r="X5" s="852"/>
      <c r="Y5" s="3584"/>
      <c r="Z5" s="3585"/>
      <c r="AA5" s="3574"/>
      <c r="AB5" s="3574"/>
      <c r="AC5" s="3574"/>
    </row>
    <row r="6" spans="1:29" ht="15">
      <c r="A6" s="656"/>
      <c r="B6" s="657"/>
      <c r="C6" s="3551" t="s">
        <v>2780</v>
      </c>
      <c r="D6" s="3552"/>
      <c r="E6" s="3553" t="s">
        <v>2780</v>
      </c>
      <c r="F6" s="3554"/>
      <c r="G6" s="3551" t="s">
        <v>2780</v>
      </c>
      <c r="H6" s="3552"/>
      <c r="I6" s="3551" t="s">
        <v>2780</v>
      </c>
      <c r="J6" s="3552"/>
      <c r="K6" s="802" t="s">
        <v>2781</v>
      </c>
      <c r="L6" s="803"/>
      <c r="M6" s="748"/>
      <c r="N6" s="748"/>
      <c r="O6" s="748"/>
      <c r="P6" s="3580"/>
      <c r="Q6" s="3581"/>
      <c r="R6" s="3584"/>
      <c r="S6" s="3585"/>
      <c r="T6" s="3586"/>
      <c r="U6" s="3587"/>
      <c r="V6" s="3559"/>
      <c r="W6" s="3559"/>
      <c r="X6" s="852"/>
      <c r="Y6" s="3586"/>
      <c r="Z6" s="3587"/>
      <c r="AA6" s="3575"/>
      <c r="AB6" s="3575"/>
      <c r="AC6" s="3575"/>
    </row>
    <row r="7" spans="1:29" s="631" customFormat="1" ht="15">
      <c r="A7" s="659" t="s">
        <v>2782</v>
      </c>
      <c r="B7" s="660"/>
      <c r="C7" s="661">
        <f>'数据-取费表'!B2</f>
        <v>45798</v>
      </c>
      <c r="D7" s="662">
        <v>100</v>
      </c>
      <c r="E7" s="663"/>
      <c r="F7" s="664">
        <f>SUMIF(48:48,YEAR(E7)&amp;"-"&amp;MONTH(E7),49:49)</f>
        <v>0</v>
      </c>
      <c r="G7" s="663"/>
      <c r="H7" s="662">
        <f>SUMIF(48:48,YEAR(G7)&amp;"-"&amp;MONTH(G7),49:49)</f>
        <v>0</v>
      </c>
      <c r="I7" s="663"/>
      <c r="J7" s="662">
        <f>SUMIF(48:48,YEAR(I7)&amp;"-"&amp;MONTH(I7),49:49)</f>
        <v>0</v>
      </c>
      <c r="K7" s="807"/>
      <c r="L7" s="808"/>
      <c r="M7" s="809"/>
      <c r="N7" s="809"/>
      <c r="O7" s="809"/>
      <c r="P7" s="3555" t="s">
        <v>2783</v>
      </c>
      <c r="Q7" s="3556"/>
      <c r="R7" s="853" t="s">
        <v>2784</v>
      </c>
      <c r="S7" s="854">
        <f t="shared" ref="S7:S14" si="0">F7</f>
        <v>0</v>
      </c>
      <c r="T7" s="853" t="s">
        <v>2784</v>
      </c>
      <c r="U7" s="854">
        <f t="shared" ref="U7:U14" si="1">H7</f>
        <v>0</v>
      </c>
      <c r="V7" s="853" t="s">
        <v>2784</v>
      </c>
      <c r="W7" s="854">
        <f t="shared" ref="W7:W14" si="2">J7</f>
        <v>0</v>
      </c>
      <c r="X7" s="855"/>
      <c r="Y7" s="3555" t="s">
        <v>2783</v>
      </c>
      <c r="Z7" s="3557"/>
      <c r="AA7" s="866" t="e">
        <f>D7/F7</f>
        <v>#DIV/0!</v>
      </c>
      <c r="AB7" s="866" t="e">
        <f>D7/H7</f>
        <v>#DIV/0!</v>
      </c>
      <c r="AC7" s="866" t="e">
        <f>D7/J7</f>
        <v>#DIV/0!</v>
      </c>
    </row>
    <row r="8" spans="1:29" s="631" customFormat="1" ht="15">
      <c r="A8" s="659" t="s">
        <v>2785</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555" t="s">
        <v>2786</v>
      </c>
      <c r="Q8" s="3557"/>
      <c r="R8" s="853" t="s">
        <v>2784</v>
      </c>
      <c r="S8" s="854">
        <f t="shared" si="0"/>
        <v>100</v>
      </c>
      <c r="T8" s="853" t="s">
        <v>2784</v>
      </c>
      <c r="U8" s="854">
        <f t="shared" si="1"/>
        <v>100</v>
      </c>
      <c r="V8" s="853" t="s">
        <v>2784</v>
      </c>
      <c r="W8" s="854">
        <f t="shared" si="2"/>
        <v>100</v>
      </c>
      <c r="X8" s="855"/>
      <c r="Y8" s="3555" t="s">
        <v>2786</v>
      </c>
      <c r="Z8" s="3557"/>
      <c r="AA8" s="866">
        <f t="shared" ref="AA8:AA36" si="3">D8/F8</f>
        <v>1</v>
      </c>
      <c r="AB8" s="866">
        <f t="shared" ref="AB8:AB36" si="4">D8/H8</f>
        <v>1</v>
      </c>
      <c r="AC8" s="866">
        <f t="shared" ref="AC8:AC36" si="5">D8/J8</f>
        <v>1</v>
      </c>
    </row>
    <row r="9" spans="1:29" s="631" customFormat="1">
      <c r="A9" s="1065" t="s">
        <v>2787</v>
      </c>
      <c r="B9" s="1066" t="s">
        <v>2788</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558" t="s">
        <v>2789</v>
      </c>
      <c r="Q9" s="857" t="str">
        <f t="shared" ref="Q9:Q14" si="6">B9</f>
        <v>用途</v>
      </c>
      <c r="R9" s="853" t="s">
        <v>2784</v>
      </c>
      <c r="S9" s="854">
        <f t="shared" si="0"/>
        <v>100</v>
      </c>
      <c r="T9" s="853" t="s">
        <v>2784</v>
      </c>
      <c r="U9" s="854">
        <f t="shared" si="1"/>
        <v>100</v>
      </c>
      <c r="V9" s="853" t="s">
        <v>2784</v>
      </c>
      <c r="W9" s="854">
        <f t="shared" si="2"/>
        <v>100</v>
      </c>
      <c r="X9" s="855"/>
      <c r="Y9" s="3465" t="s">
        <v>2790</v>
      </c>
      <c r="Z9" s="866" t="str">
        <f t="shared" ref="Z9:Z14" si="7">Q9</f>
        <v>用途</v>
      </c>
      <c r="AA9" s="866">
        <f t="shared" si="3"/>
        <v>1</v>
      </c>
      <c r="AB9" s="866">
        <f t="shared" si="4"/>
        <v>1</v>
      </c>
      <c r="AC9" s="866">
        <f t="shared" si="5"/>
        <v>1</v>
      </c>
    </row>
    <row r="10" spans="1:29" s="632" customFormat="1" ht="27">
      <c r="A10" s="1068"/>
      <c r="B10" s="1069" t="s">
        <v>2791</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558"/>
      <c r="Q10" s="857" t="str">
        <f t="shared" si="6"/>
        <v>土地使用年限（年）</v>
      </c>
      <c r="R10" s="853" t="s">
        <v>2784</v>
      </c>
      <c r="S10" s="854">
        <f t="shared" si="0"/>
        <v>100</v>
      </c>
      <c r="T10" s="853" t="s">
        <v>2784</v>
      </c>
      <c r="U10" s="854">
        <f t="shared" si="1"/>
        <v>100</v>
      </c>
      <c r="V10" s="853" t="s">
        <v>2784</v>
      </c>
      <c r="W10" s="854">
        <f t="shared" si="2"/>
        <v>100</v>
      </c>
      <c r="X10" s="855"/>
      <c r="Y10" s="3465"/>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558"/>
      <c r="Q11" s="857">
        <f t="shared" si="6"/>
        <v>111</v>
      </c>
      <c r="R11" s="853" t="s">
        <v>2784</v>
      </c>
      <c r="S11" s="854">
        <f t="shared" si="0"/>
        <v>100</v>
      </c>
      <c r="T11" s="853" t="s">
        <v>2784</v>
      </c>
      <c r="U11" s="854">
        <f t="shared" si="1"/>
        <v>100</v>
      </c>
      <c r="V11" s="853" t="s">
        <v>2784</v>
      </c>
      <c r="W11" s="854">
        <f t="shared" si="2"/>
        <v>100</v>
      </c>
      <c r="X11" s="855"/>
      <c r="Y11" s="3465"/>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558"/>
      <c r="Q12" s="857">
        <f t="shared" si="6"/>
        <v>111</v>
      </c>
      <c r="R12" s="853" t="s">
        <v>2784</v>
      </c>
      <c r="S12" s="854">
        <f t="shared" si="0"/>
        <v>100</v>
      </c>
      <c r="T12" s="853" t="s">
        <v>2784</v>
      </c>
      <c r="U12" s="854">
        <f t="shared" si="1"/>
        <v>100</v>
      </c>
      <c r="V12" s="853" t="s">
        <v>2784</v>
      </c>
      <c r="W12" s="854">
        <f t="shared" si="2"/>
        <v>100</v>
      </c>
      <c r="X12" s="855"/>
      <c r="Y12" s="3465"/>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558"/>
      <c r="Q13" s="857">
        <f t="shared" si="6"/>
        <v>111</v>
      </c>
      <c r="R13" s="853" t="s">
        <v>2784</v>
      </c>
      <c r="S13" s="854">
        <f t="shared" si="0"/>
        <v>100</v>
      </c>
      <c r="T13" s="853" t="s">
        <v>2784</v>
      </c>
      <c r="U13" s="854">
        <f t="shared" si="1"/>
        <v>100</v>
      </c>
      <c r="V13" s="853" t="s">
        <v>2784</v>
      </c>
      <c r="W13" s="854">
        <f t="shared" si="2"/>
        <v>100</v>
      </c>
      <c r="X13" s="855"/>
      <c r="Y13" s="3465"/>
      <c r="Z13" s="866">
        <f t="shared" si="7"/>
        <v>111</v>
      </c>
      <c r="AA13" s="866">
        <f t="shared" si="3"/>
        <v>1</v>
      </c>
      <c r="AB13" s="866">
        <f t="shared" si="4"/>
        <v>1</v>
      </c>
      <c r="AC13" s="866">
        <f t="shared" si="5"/>
        <v>1</v>
      </c>
    </row>
    <row r="14" spans="1:29" ht="85.5">
      <c r="A14" s="650" t="s">
        <v>2793</v>
      </c>
      <c r="B14" s="690" t="s">
        <v>2796</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566" t="s">
        <v>2795</v>
      </c>
      <c r="Q14" s="771" t="str">
        <f t="shared" si="6"/>
        <v>交通便捷度</v>
      </c>
      <c r="R14" s="858" t="s">
        <v>2784</v>
      </c>
      <c r="S14" s="859">
        <f t="shared" si="0"/>
        <v>100</v>
      </c>
      <c r="T14" s="858" t="s">
        <v>2784</v>
      </c>
      <c r="U14" s="859">
        <f t="shared" si="1"/>
        <v>100</v>
      </c>
      <c r="V14" s="858" t="s">
        <v>2784</v>
      </c>
      <c r="W14" s="859">
        <f t="shared" si="2"/>
        <v>100</v>
      </c>
      <c r="X14" s="852"/>
      <c r="Y14" s="3566" t="s">
        <v>2795</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567"/>
      <c r="Q15" s="771"/>
      <c r="R15" s="858"/>
      <c r="S15" s="859"/>
      <c r="T15" s="858"/>
      <c r="U15" s="859"/>
      <c r="V15" s="858"/>
      <c r="W15" s="859"/>
      <c r="X15" s="852"/>
      <c r="Y15" s="3567"/>
      <c r="Z15" s="840"/>
      <c r="AA15" s="840">
        <v>1</v>
      </c>
      <c r="AB15" s="840">
        <v>1</v>
      </c>
      <c r="AC15" s="840">
        <v>1</v>
      </c>
    </row>
    <row r="16" spans="1:29" ht="42.75">
      <c r="A16" s="654"/>
      <c r="B16" s="699" t="s">
        <v>2797</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567"/>
      <c r="Q16" s="771" t="str">
        <f>B16</f>
        <v>公共配套设施</v>
      </c>
      <c r="R16" s="858" t="s">
        <v>2784</v>
      </c>
      <c r="S16" s="859">
        <f>F16</f>
        <v>100</v>
      </c>
      <c r="T16" s="858" t="s">
        <v>2784</v>
      </c>
      <c r="U16" s="859">
        <f>H16</f>
        <v>100</v>
      </c>
      <c r="V16" s="858" t="s">
        <v>2784</v>
      </c>
      <c r="W16" s="859">
        <f>J16</f>
        <v>100</v>
      </c>
      <c r="X16" s="852"/>
      <c r="Y16" s="3567"/>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567"/>
      <c r="Q17" s="771"/>
      <c r="R17" s="858"/>
      <c r="S17" s="859"/>
      <c r="T17" s="858"/>
      <c r="U17" s="859"/>
      <c r="V17" s="858"/>
      <c r="W17" s="859"/>
      <c r="X17" s="852"/>
      <c r="Y17" s="3567"/>
      <c r="Z17" s="840"/>
      <c r="AA17" s="840">
        <v>1</v>
      </c>
      <c r="AB17" s="840">
        <v>1</v>
      </c>
      <c r="AC17" s="840">
        <v>1</v>
      </c>
    </row>
    <row r="18" spans="1:29" ht="28.5">
      <c r="A18" s="654"/>
      <c r="B18" s="706" t="s">
        <v>2798</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567"/>
      <c r="Q18" s="771" t="str">
        <f>B18</f>
        <v>基础设施水平</v>
      </c>
      <c r="R18" s="858" t="s">
        <v>2784</v>
      </c>
      <c r="S18" s="859">
        <f>F18</f>
        <v>100</v>
      </c>
      <c r="T18" s="858" t="s">
        <v>2784</v>
      </c>
      <c r="U18" s="859">
        <f>H18</f>
        <v>100</v>
      </c>
      <c r="V18" s="858" t="s">
        <v>2784</v>
      </c>
      <c r="W18" s="859">
        <f>J18</f>
        <v>100</v>
      </c>
      <c r="X18" s="852"/>
      <c r="Y18" s="3567"/>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567"/>
      <c r="Q19" s="771"/>
      <c r="R19" s="858"/>
      <c r="S19" s="859"/>
      <c r="T19" s="858"/>
      <c r="U19" s="859"/>
      <c r="V19" s="858"/>
      <c r="W19" s="859"/>
      <c r="X19" s="852"/>
      <c r="Y19" s="3567"/>
      <c r="Z19" s="840"/>
      <c r="AA19" s="840">
        <v>1</v>
      </c>
      <c r="AB19" s="840">
        <v>1</v>
      </c>
      <c r="AC19" s="840">
        <v>1</v>
      </c>
    </row>
    <row r="20" spans="1:29" ht="57">
      <c r="A20" s="654"/>
      <c r="B20" s="699" t="s">
        <v>2799</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567"/>
      <c r="Q20" s="771" t="str">
        <f>B20</f>
        <v>自然及人文环境</v>
      </c>
      <c r="R20" s="858" t="s">
        <v>2784</v>
      </c>
      <c r="S20" s="859">
        <f>F20</f>
        <v>100</v>
      </c>
      <c r="T20" s="858" t="s">
        <v>2784</v>
      </c>
      <c r="U20" s="859">
        <f>H20</f>
        <v>100</v>
      </c>
      <c r="V20" s="858" t="s">
        <v>2784</v>
      </c>
      <c r="W20" s="859">
        <f>J20</f>
        <v>100</v>
      </c>
      <c r="X20" s="852"/>
      <c r="Y20" s="3567"/>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567"/>
      <c r="Q21" s="771"/>
      <c r="R21" s="858"/>
      <c r="S21" s="859"/>
      <c r="T21" s="858"/>
      <c r="U21" s="859"/>
      <c r="V21" s="858"/>
      <c r="W21" s="859"/>
      <c r="X21" s="852"/>
      <c r="Y21" s="3567"/>
      <c r="Z21" s="840"/>
      <c r="AA21" s="840">
        <v>1</v>
      </c>
      <c r="AB21" s="840">
        <v>1</v>
      </c>
      <c r="AC21" s="840">
        <v>1</v>
      </c>
    </row>
    <row r="22" spans="1:29" ht="15">
      <c r="A22" s="654"/>
      <c r="B22" s="699" t="s">
        <v>2856</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567"/>
      <c r="Q22" s="771" t="str">
        <f>B22</f>
        <v>楼层</v>
      </c>
      <c r="R22" s="858" t="s">
        <v>2784</v>
      </c>
      <c r="S22" s="859">
        <f>F22</f>
        <v>100</v>
      </c>
      <c r="T22" s="858" t="s">
        <v>2784</v>
      </c>
      <c r="U22" s="859">
        <f>H22</f>
        <v>100</v>
      </c>
      <c r="V22" s="858" t="s">
        <v>2784</v>
      </c>
      <c r="W22" s="859">
        <f>J22</f>
        <v>100</v>
      </c>
      <c r="X22" s="852"/>
      <c r="Y22" s="3567"/>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567"/>
      <c r="Q23" s="771">
        <f>B23</f>
        <v>111</v>
      </c>
      <c r="R23" s="858" t="s">
        <v>2784</v>
      </c>
      <c r="S23" s="859">
        <f>F23</f>
        <v>100</v>
      </c>
      <c r="T23" s="858" t="s">
        <v>2784</v>
      </c>
      <c r="U23" s="859">
        <f>H23</f>
        <v>100</v>
      </c>
      <c r="V23" s="858" t="s">
        <v>2784</v>
      </c>
      <c r="W23" s="859">
        <f>J23</f>
        <v>100</v>
      </c>
      <c r="X23" s="852"/>
      <c r="Y23" s="3567"/>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567"/>
      <c r="Q24" s="771">
        <f t="shared" ref="Q24:Q36" si="11">B24</f>
        <v>111</v>
      </c>
      <c r="R24" s="858" t="s">
        <v>2784</v>
      </c>
      <c r="S24" s="859">
        <f>F24</f>
        <v>100</v>
      </c>
      <c r="T24" s="858" t="s">
        <v>2784</v>
      </c>
      <c r="U24" s="859">
        <f>H24</f>
        <v>100</v>
      </c>
      <c r="V24" s="858" t="s">
        <v>2784</v>
      </c>
      <c r="W24" s="859">
        <f>J24</f>
        <v>100</v>
      </c>
      <c r="X24" s="852"/>
      <c r="Y24" s="3567"/>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567"/>
      <c r="Q25" s="857">
        <f t="shared" si="11"/>
        <v>111</v>
      </c>
      <c r="R25" s="853" t="s">
        <v>2784</v>
      </c>
      <c r="S25" s="854">
        <f>F25</f>
        <v>100</v>
      </c>
      <c r="T25" s="853" t="s">
        <v>2784</v>
      </c>
      <c r="U25" s="854">
        <f>H25</f>
        <v>100</v>
      </c>
      <c r="V25" s="853" t="s">
        <v>2784</v>
      </c>
      <c r="W25" s="854">
        <f>J25</f>
        <v>100</v>
      </c>
      <c r="X25" s="855"/>
      <c r="Y25" s="3567"/>
      <c r="Z25" s="866">
        <f>Q25</f>
        <v>111</v>
      </c>
      <c r="AA25" s="840">
        <f t="shared" si="3"/>
        <v>1</v>
      </c>
      <c r="AB25" s="840">
        <f t="shared" si="4"/>
        <v>1</v>
      </c>
      <c r="AC25" s="840">
        <f t="shared" si="5"/>
        <v>1</v>
      </c>
    </row>
    <row r="26" spans="1:29" ht="28.5">
      <c r="A26" s="1080" t="s">
        <v>2802</v>
      </c>
      <c r="B26" s="670" t="s">
        <v>2877</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603" t="s">
        <v>2804</v>
      </c>
      <c r="Q26" s="771" t="str">
        <f t="shared" si="11"/>
        <v>配套类型</v>
      </c>
      <c r="R26" s="858" t="s">
        <v>2784</v>
      </c>
      <c r="S26" s="859">
        <f t="shared" ref="S26:S36" si="12">F26</f>
        <v>0</v>
      </c>
      <c r="T26" s="858" t="s">
        <v>2784</v>
      </c>
      <c r="U26" s="859">
        <f t="shared" ref="U26:U36" si="13">H26</f>
        <v>0</v>
      </c>
      <c r="V26" s="858" t="s">
        <v>2784</v>
      </c>
      <c r="W26" s="859">
        <f t="shared" ref="W26:W36" si="14">J26</f>
        <v>0</v>
      </c>
      <c r="X26" s="852"/>
      <c r="Y26" s="3568" t="s">
        <v>2804</v>
      </c>
      <c r="Z26" s="840" t="str">
        <f t="shared" ref="Z26:Z36" si="15">Q26</f>
        <v>配套类型</v>
      </c>
      <c r="AA26" s="840" t="e">
        <f t="shared" si="3"/>
        <v>#DIV/0!</v>
      </c>
      <c r="AB26" s="840" t="e">
        <f t="shared" si="4"/>
        <v>#DIV/0!</v>
      </c>
      <c r="AC26" s="840" t="e">
        <f t="shared" si="5"/>
        <v>#DIV/0!</v>
      </c>
    </row>
    <row r="27" spans="1:29" s="633" customFormat="1" ht="15">
      <c r="A27" s="1082"/>
      <c r="B27" s="674" t="s">
        <v>2878</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568"/>
      <c r="Q27" s="1049" t="str">
        <f t="shared" si="11"/>
        <v>项目停车位配比</v>
      </c>
      <c r="R27" s="860" t="s">
        <v>2784</v>
      </c>
      <c r="S27" s="861">
        <f t="shared" si="12"/>
        <v>100</v>
      </c>
      <c r="T27" s="860" t="s">
        <v>2784</v>
      </c>
      <c r="U27" s="861">
        <f t="shared" si="13"/>
        <v>100</v>
      </c>
      <c r="V27" s="860" t="s">
        <v>2784</v>
      </c>
      <c r="W27" s="861">
        <f t="shared" si="14"/>
        <v>100</v>
      </c>
      <c r="X27" s="862"/>
      <c r="Y27" s="3568"/>
      <c r="Z27" s="867" t="str">
        <f t="shared" si="15"/>
        <v>项目停车位配比</v>
      </c>
      <c r="AA27" s="840">
        <f t="shared" si="3"/>
        <v>1</v>
      </c>
      <c r="AB27" s="840">
        <f t="shared" si="4"/>
        <v>1</v>
      </c>
      <c r="AC27" s="840">
        <f t="shared" si="5"/>
        <v>1</v>
      </c>
    </row>
    <row r="28" spans="1:29" ht="15">
      <c r="A28" s="1084"/>
      <c r="B28" s="674" t="s">
        <v>2808</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568"/>
      <c r="Q28" s="771" t="str">
        <f t="shared" si="11"/>
        <v>公共部分装修</v>
      </c>
      <c r="R28" s="858" t="s">
        <v>2784</v>
      </c>
      <c r="S28" s="859">
        <f t="shared" si="12"/>
        <v>100</v>
      </c>
      <c r="T28" s="858" t="s">
        <v>2784</v>
      </c>
      <c r="U28" s="859">
        <f t="shared" si="13"/>
        <v>100</v>
      </c>
      <c r="V28" s="858" t="s">
        <v>2784</v>
      </c>
      <c r="W28" s="859">
        <f t="shared" si="14"/>
        <v>100</v>
      </c>
      <c r="X28" s="852"/>
      <c r="Y28" s="3568"/>
      <c r="Z28" s="840" t="str">
        <f t="shared" si="15"/>
        <v>公共部分装修</v>
      </c>
      <c r="AA28" s="840">
        <f t="shared" si="3"/>
        <v>1</v>
      </c>
      <c r="AB28" s="840">
        <f t="shared" si="4"/>
        <v>1</v>
      </c>
      <c r="AC28" s="840">
        <f t="shared" si="5"/>
        <v>1</v>
      </c>
    </row>
    <row r="29" spans="1:29" ht="15">
      <c r="A29" s="1084"/>
      <c r="B29" s="674" t="s">
        <v>2879</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568"/>
      <c r="Q29" s="771" t="str">
        <f t="shared" si="11"/>
        <v>成新率</v>
      </c>
      <c r="R29" s="858" t="s">
        <v>2784</v>
      </c>
      <c r="S29" s="859" t="e">
        <f t="shared" si="12"/>
        <v>#N/A</v>
      </c>
      <c r="T29" s="858" t="s">
        <v>2784</v>
      </c>
      <c r="U29" s="859" t="e">
        <f t="shared" si="13"/>
        <v>#N/A</v>
      </c>
      <c r="V29" s="858" t="s">
        <v>2784</v>
      </c>
      <c r="W29" s="859" t="e">
        <f t="shared" si="14"/>
        <v>#N/A</v>
      </c>
      <c r="X29" s="852"/>
      <c r="Y29" s="3568"/>
      <c r="Z29" s="840" t="str">
        <f t="shared" si="15"/>
        <v>成新率</v>
      </c>
      <c r="AA29" s="840" t="e">
        <f t="shared" si="3"/>
        <v>#N/A</v>
      </c>
      <c r="AB29" s="840" t="e">
        <f t="shared" si="4"/>
        <v>#N/A</v>
      </c>
      <c r="AC29" s="840" t="e">
        <f t="shared" si="5"/>
        <v>#N/A</v>
      </c>
    </row>
    <row r="30" spans="1:29" ht="15">
      <c r="A30" s="1084"/>
      <c r="B30" s="674" t="s">
        <v>2880</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568"/>
      <c r="Q30" s="771" t="str">
        <f t="shared" si="11"/>
        <v>物业等级</v>
      </c>
      <c r="R30" s="858" t="s">
        <v>2784</v>
      </c>
      <c r="S30" s="859">
        <f t="shared" si="12"/>
        <v>100</v>
      </c>
      <c r="T30" s="858" t="s">
        <v>2784</v>
      </c>
      <c r="U30" s="859">
        <f t="shared" si="13"/>
        <v>100</v>
      </c>
      <c r="V30" s="858" t="s">
        <v>2784</v>
      </c>
      <c r="W30" s="859">
        <f t="shared" si="14"/>
        <v>100</v>
      </c>
      <c r="X30" s="852"/>
      <c r="Y30" s="3568"/>
      <c r="Z30" s="840" t="str">
        <f t="shared" si="15"/>
        <v>物业等级</v>
      </c>
      <c r="AA30" s="840">
        <f t="shared" si="3"/>
        <v>1</v>
      </c>
      <c r="AB30" s="840">
        <f t="shared" si="4"/>
        <v>1</v>
      </c>
      <c r="AC30" s="840">
        <f t="shared" si="5"/>
        <v>1</v>
      </c>
    </row>
    <row r="31" spans="1:29" s="631" customFormat="1" ht="15">
      <c r="A31" s="1085"/>
      <c r="B31" s="674" t="s">
        <v>2881</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568"/>
      <c r="Q31" s="857" t="str">
        <f t="shared" si="11"/>
        <v>停车位面积</v>
      </c>
      <c r="R31" s="853" t="s">
        <v>2784</v>
      </c>
      <c r="S31" s="854" t="e">
        <f t="shared" si="12"/>
        <v>#N/A</v>
      </c>
      <c r="T31" s="853" t="s">
        <v>2784</v>
      </c>
      <c r="U31" s="854" t="e">
        <f t="shared" si="13"/>
        <v>#N/A</v>
      </c>
      <c r="V31" s="853" t="s">
        <v>2784</v>
      </c>
      <c r="W31" s="854" t="e">
        <f t="shared" si="14"/>
        <v>#N/A</v>
      </c>
      <c r="X31" s="855"/>
      <c r="Y31" s="3568"/>
      <c r="Z31" s="866" t="str">
        <f t="shared" si="15"/>
        <v>停车位面积</v>
      </c>
      <c r="AA31" s="866" t="e">
        <f t="shared" si="3"/>
        <v>#N/A</v>
      </c>
      <c r="AB31" s="866" t="e">
        <f t="shared" si="4"/>
        <v>#N/A</v>
      </c>
      <c r="AC31" s="866" t="e">
        <f t="shared" si="5"/>
        <v>#N/A</v>
      </c>
    </row>
    <row r="32" spans="1:29" ht="15">
      <c r="A32" s="1084"/>
      <c r="B32" s="674" t="s">
        <v>2882</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568" t="s">
        <v>2804</v>
      </c>
      <c r="Q32" s="771" t="str">
        <f t="shared" si="11"/>
        <v>车位类型</v>
      </c>
      <c r="R32" s="858" t="s">
        <v>2784</v>
      </c>
      <c r="S32" s="859">
        <f t="shared" si="12"/>
        <v>100</v>
      </c>
      <c r="T32" s="858" t="s">
        <v>2784</v>
      </c>
      <c r="U32" s="859">
        <f t="shared" si="13"/>
        <v>100</v>
      </c>
      <c r="V32" s="858" t="s">
        <v>2784</v>
      </c>
      <c r="W32" s="859">
        <f t="shared" si="14"/>
        <v>100</v>
      </c>
      <c r="X32" s="852"/>
      <c r="Y32" s="3568" t="s">
        <v>2804</v>
      </c>
      <c r="Z32" s="840" t="str">
        <f t="shared" si="15"/>
        <v>车位类型</v>
      </c>
      <c r="AA32" s="840">
        <f t="shared" si="3"/>
        <v>1</v>
      </c>
      <c r="AB32" s="840">
        <f t="shared" si="4"/>
        <v>1</v>
      </c>
      <c r="AC32" s="840">
        <f t="shared" si="5"/>
        <v>1</v>
      </c>
    </row>
    <row r="33" spans="1:29" ht="15">
      <c r="A33" s="1084"/>
      <c r="B33" s="674" t="s">
        <v>2883</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568"/>
      <c r="Q33" s="771" t="str">
        <f t="shared" si="11"/>
        <v>是否直接入户</v>
      </c>
      <c r="R33" s="858" t="s">
        <v>2784</v>
      </c>
      <c r="S33" s="859">
        <f t="shared" si="12"/>
        <v>100</v>
      </c>
      <c r="T33" s="858" t="s">
        <v>2784</v>
      </c>
      <c r="U33" s="859">
        <f t="shared" si="13"/>
        <v>100</v>
      </c>
      <c r="V33" s="858" t="s">
        <v>2784</v>
      </c>
      <c r="W33" s="859">
        <f t="shared" si="14"/>
        <v>100</v>
      </c>
      <c r="X33" s="852"/>
      <c r="Y33" s="3568"/>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568"/>
      <c r="Q34" s="771">
        <f t="shared" si="11"/>
        <v>111</v>
      </c>
      <c r="R34" s="858" t="s">
        <v>2784</v>
      </c>
      <c r="S34" s="859">
        <f t="shared" si="12"/>
        <v>100</v>
      </c>
      <c r="T34" s="858" t="s">
        <v>2784</v>
      </c>
      <c r="U34" s="859">
        <f t="shared" si="13"/>
        <v>100</v>
      </c>
      <c r="V34" s="858" t="s">
        <v>2784</v>
      </c>
      <c r="W34" s="859">
        <f t="shared" si="14"/>
        <v>100</v>
      </c>
      <c r="X34" s="852"/>
      <c r="Y34" s="3568"/>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568"/>
      <c r="Q35" s="1049">
        <f t="shared" si="11"/>
        <v>111</v>
      </c>
      <c r="R35" s="860" t="s">
        <v>2784</v>
      </c>
      <c r="S35" s="861">
        <f t="shared" si="12"/>
        <v>100</v>
      </c>
      <c r="T35" s="860" t="s">
        <v>2784</v>
      </c>
      <c r="U35" s="861">
        <f t="shared" si="13"/>
        <v>100</v>
      </c>
      <c r="V35" s="860" t="s">
        <v>2784</v>
      </c>
      <c r="W35" s="861">
        <f t="shared" si="14"/>
        <v>100</v>
      </c>
      <c r="X35" s="862"/>
      <c r="Y35" s="3568"/>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568"/>
      <c r="Q36" s="771">
        <f t="shared" si="11"/>
        <v>111</v>
      </c>
      <c r="R36" s="858" t="s">
        <v>2784</v>
      </c>
      <c r="S36" s="859">
        <f t="shared" si="12"/>
        <v>100</v>
      </c>
      <c r="T36" s="858" t="s">
        <v>2784</v>
      </c>
      <c r="U36" s="859">
        <f t="shared" si="13"/>
        <v>100</v>
      </c>
      <c r="V36" s="858" t="s">
        <v>2784</v>
      </c>
      <c r="W36" s="859">
        <f t="shared" si="14"/>
        <v>100</v>
      </c>
      <c r="X36" s="852"/>
      <c r="Y36" s="3568"/>
      <c r="Z36" s="840">
        <f t="shared" si="15"/>
        <v>111</v>
      </c>
      <c r="AA36" s="840">
        <f t="shared" si="3"/>
        <v>1</v>
      </c>
      <c r="AB36" s="840">
        <f t="shared" si="4"/>
        <v>1</v>
      </c>
      <c r="AC36" s="840">
        <f t="shared" si="5"/>
        <v>1</v>
      </c>
    </row>
    <row r="37" spans="1:29" ht="15">
      <c r="A37" s="731" t="s">
        <v>2884</v>
      </c>
      <c r="B37" s="1087" t="s">
        <v>2885</v>
      </c>
      <c r="C37" s="1033" t="s">
        <v>124</v>
      </c>
      <c r="D37" s="734"/>
      <c r="E37" s="735"/>
      <c r="F37" s="736"/>
      <c r="G37" s="737"/>
      <c r="H37" s="738"/>
      <c r="I37" s="735"/>
      <c r="J37" s="738"/>
      <c r="K37" s="1096"/>
      <c r="L37" s="832"/>
      <c r="M37" s="748"/>
      <c r="N37" s="748"/>
      <c r="O37" s="748"/>
      <c r="P37" s="3558" t="str">
        <f>A37</f>
        <v>成交单价</v>
      </c>
      <c r="Q37" s="3558"/>
      <c r="R37" s="3559">
        <f>E37</f>
        <v>0</v>
      </c>
      <c r="S37" s="3559"/>
      <c r="T37" s="3559">
        <f>G37</f>
        <v>0</v>
      </c>
      <c r="U37" s="3559"/>
      <c r="V37" s="3559">
        <f>I37</f>
        <v>0</v>
      </c>
      <c r="W37" s="3559"/>
      <c r="X37" s="793"/>
      <c r="Y37" s="868"/>
      <c r="Z37" s="793"/>
      <c r="AA37" s="793"/>
      <c r="AB37" s="793"/>
      <c r="AC37" s="793"/>
    </row>
    <row r="38" spans="1:29" ht="15">
      <c r="A38" s="739" t="s">
        <v>2816</v>
      </c>
      <c r="B38" s="1034" t="str">
        <f>B37</f>
        <v>元/平方米</v>
      </c>
      <c r="C38" s="1035" t="e">
        <f>R39</f>
        <v>#DIV/0!</v>
      </c>
      <c r="D38" s="742" t="s">
        <v>2817</v>
      </c>
      <c r="E38" s="1036" t="e">
        <f>R38</f>
        <v>#DIV/0!</v>
      </c>
      <c r="F38" s="743"/>
      <c r="G38" s="1035" t="e">
        <f>T38</f>
        <v>#DIV/0!</v>
      </c>
      <c r="H38" s="743"/>
      <c r="I38" s="1036" t="e">
        <f>V38</f>
        <v>#DIV/0!</v>
      </c>
      <c r="J38" s="743"/>
      <c r="K38" s="833">
        <f>F38+H38+J38</f>
        <v>0</v>
      </c>
      <c r="L38" s="832"/>
      <c r="M38" s="748"/>
      <c r="N38" s="748"/>
      <c r="O38" s="748"/>
      <c r="P38" s="3558" t="str">
        <f>A38</f>
        <v>比较价值（元/平方米）</v>
      </c>
      <c r="Q38" s="3558"/>
      <c r="R38" s="3559" t="e">
        <f>IF(F1="售价",ROUND(PRODUCT(R37,AA7:AA36),0),ROUND(PRODUCT(R37,AA7:AA36),1))</f>
        <v>#DIV/0!</v>
      </c>
      <c r="S38" s="3559"/>
      <c r="T38" s="3559" t="e">
        <f>IF(F1="售价",ROUND(PRODUCT(T37,AB7:AB36),0),ROUND(PRODUCT(T37,AB7:AB36),1))</f>
        <v>#DIV/0!</v>
      </c>
      <c r="U38" s="3559"/>
      <c r="V38" s="3559" t="e">
        <f>IF(F1="售价",ROUND(PRODUCT(V37,AC7:AC36),0),ROUND(PRODUCT(V37,AC7:AC36),1))</f>
        <v>#DIV/0!</v>
      </c>
      <c r="W38" s="3559"/>
      <c r="X38" s="793"/>
      <c r="Y38" s="793"/>
      <c r="Z38" s="793"/>
      <c r="AA38" s="793"/>
      <c r="AB38" s="793"/>
      <c r="AC38" s="793"/>
    </row>
    <row r="39" spans="1:29" ht="15">
      <c r="A39" s="745" t="s">
        <v>2886</v>
      </c>
      <c r="B39" s="746"/>
      <c r="C39" s="657" t="e">
        <f>R39</f>
        <v>#DIV/0!</v>
      </c>
      <c r="D39" s="657"/>
      <c r="E39" s="657"/>
      <c r="F39" s="657"/>
      <c r="G39" s="657"/>
      <c r="H39" s="657"/>
      <c r="I39" s="657"/>
      <c r="J39" s="657"/>
      <c r="K39" s="1097"/>
      <c r="L39" s="832"/>
      <c r="M39" s="748"/>
      <c r="N39" s="748"/>
      <c r="O39" s="748"/>
      <c r="P39" s="3570" t="str">
        <f>A39</f>
        <v>估价对象XX用房的比较价值（楼面单价，元/平方米）</v>
      </c>
      <c r="Q39" s="3571"/>
      <c r="R39" s="3604" t="e">
        <f>IF(F1="售价",ROUND(IF(D38="简单平均",AVERAGE(R38:W38),R38*F38+T38*H38+V38*J38),0),ROUND(IF(D38="简单平均",AVERAGE(R38:V38),R38*F38+T38*H38+V38*J38),1))</f>
        <v>#DIV/0!</v>
      </c>
      <c r="S39" s="3604"/>
      <c r="T39" s="3604"/>
      <c r="U39" s="3604"/>
      <c r="V39" s="3604"/>
      <c r="W39" s="3604"/>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2819</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2820</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2821</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2822</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2782</v>
      </c>
      <c r="B48" s="1039"/>
      <c r="C48" s="1040" t="str">
        <f>YEAR(C7)&amp;"-"&amp;MONTH(C7)</f>
        <v>2025-5</v>
      </c>
      <c r="D48" s="1041">
        <f>EDATE(C48,-1)</f>
        <v>45748</v>
      </c>
      <c r="E48" s="1041">
        <f t="shared" ref="E48:O48" si="16">EDATE(D48,-1)</f>
        <v>45717</v>
      </c>
      <c r="F48" s="1041">
        <f t="shared" si="16"/>
        <v>45689</v>
      </c>
      <c r="G48" s="1041">
        <f t="shared" si="16"/>
        <v>45658</v>
      </c>
      <c r="H48" s="1041">
        <f t="shared" si="16"/>
        <v>45627</v>
      </c>
      <c r="I48" s="1041">
        <f t="shared" si="16"/>
        <v>45597</v>
      </c>
      <c r="J48" s="1041">
        <f t="shared" si="16"/>
        <v>45566</v>
      </c>
      <c r="K48" s="1041">
        <f t="shared" si="16"/>
        <v>45536</v>
      </c>
      <c r="L48" s="1041">
        <f t="shared" si="16"/>
        <v>45505</v>
      </c>
      <c r="M48" s="1041">
        <f t="shared" si="16"/>
        <v>45474</v>
      </c>
      <c r="N48" s="1041">
        <f t="shared" si="16"/>
        <v>45444</v>
      </c>
      <c r="O48" s="1041">
        <f t="shared" si="16"/>
        <v>45413</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2823</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2785</v>
      </c>
      <c r="B51" s="880"/>
      <c r="C51" s="881" t="s">
        <v>2824</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2825</v>
      </c>
      <c r="B53" s="885" t="s">
        <v>2788</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2791</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2793</v>
      </c>
      <c r="B63" s="885" t="s">
        <v>2796</v>
      </c>
      <c r="C63" s="905" t="s">
        <v>1349</v>
      </c>
      <c r="D63" s="905" t="s">
        <v>1350</v>
      </c>
      <c r="E63" s="905" t="s">
        <v>1351</v>
      </c>
      <c r="F63" s="905" t="s">
        <v>1352</v>
      </c>
      <c r="G63" s="905" t="s">
        <v>1353</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2797</v>
      </c>
      <c r="C65" s="906" t="s">
        <v>1349</v>
      </c>
      <c r="D65" s="906" t="s">
        <v>1350</v>
      </c>
      <c r="E65" s="906" t="s">
        <v>1351</v>
      </c>
      <c r="F65" s="906" t="s">
        <v>1352</v>
      </c>
      <c r="G65" s="906" t="s">
        <v>1353</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2798</v>
      </c>
      <c r="C67" s="821" t="s">
        <v>2826</v>
      </c>
      <c r="D67" s="821" t="s">
        <v>2827</v>
      </c>
      <c r="E67" s="821" t="s">
        <v>2828</v>
      </c>
      <c r="F67" s="821" t="s">
        <v>2829</v>
      </c>
      <c r="G67" s="821" t="s">
        <v>2830</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2799</v>
      </c>
      <c r="C69" s="906" t="s">
        <v>1349</v>
      </c>
      <c r="D69" s="906" t="s">
        <v>1350</v>
      </c>
      <c r="E69" s="906" t="s">
        <v>1351</v>
      </c>
      <c r="F69" s="906" t="s">
        <v>1352</v>
      </c>
      <c r="G69" s="906" t="s">
        <v>1353</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2856</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2802</v>
      </c>
      <c r="B79" s="885" t="s">
        <v>2887</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2878</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2808</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2879</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2880</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2881</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2882</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2883</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2874</v>
      </c>
      <c r="B1" s="1002" t="s">
        <v>2888</v>
      </c>
      <c r="C1" s="1003" t="s">
        <v>2767</v>
      </c>
      <c r="D1" s="1004"/>
      <c r="E1" s="1005"/>
      <c r="F1" s="1006"/>
      <c r="G1" s="1007" t="s">
        <v>2768</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1028</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1029</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1030</v>
      </c>
      <c r="B3" s="648" t="e">
        <f>IF(C2="——",C37,ROUND(B2*10000/D3,0))</f>
        <v>#DIV/0!</v>
      </c>
      <c r="C3" s="1014" t="s">
        <v>1187</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2769</v>
      </c>
      <c r="B4" s="651"/>
      <c r="C4" s="3543" t="s">
        <v>2770</v>
      </c>
      <c r="D4" s="3544"/>
      <c r="E4" s="3545" t="s">
        <v>2771</v>
      </c>
      <c r="F4" s="3546"/>
      <c r="G4" s="3543" t="s">
        <v>2772</v>
      </c>
      <c r="H4" s="3544"/>
      <c r="I4" s="3543" t="s">
        <v>2773</v>
      </c>
      <c r="J4" s="3544"/>
      <c r="K4" s="802" t="s">
        <v>2774</v>
      </c>
      <c r="L4" s="803"/>
      <c r="M4" s="748"/>
      <c r="N4" s="748"/>
      <c r="O4" s="748"/>
      <c r="P4" s="3576" t="s">
        <v>2775</v>
      </c>
      <c r="Q4" s="3577"/>
      <c r="R4" s="3582" t="s">
        <v>2771</v>
      </c>
      <c r="S4" s="3583"/>
      <c r="T4" s="3582" t="s">
        <v>2772</v>
      </c>
      <c r="U4" s="3583"/>
      <c r="V4" s="3559" t="s">
        <v>2773</v>
      </c>
      <c r="W4" s="3559"/>
      <c r="X4" s="852"/>
      <c r="Y4" s="3582" t="s">
        <v>2775</v>
      </c>
      <c r="Z4" s="3583"/>
      <c r="AA4" s="3573" t="s">
        <v>2771</v>
      </c>
      <c r="AB4" s="3574" t="s">
        <v>2772</v>
      </c>
      <c r="AC4" s="3573" t="s">
        <v>2773</v>
      </c>
    </row>
    <row r="5" spans="1:29" ht="15">
      <c r="A5" s="654"/>
      <c r="B5" s="655"/>
      <c r="C5" s="3547" t="s">
        <v>2776</v>
      </c>
      <c r="D5" s="3548"/>
      <c r="E5" s="3549" t="s">
        <v>2777</v>
      </c>
      <c r="F5" s="3550"/>
      <c r="G5" s="3547" t="s">
        <v>2778</v>
      </c>
      <c r="H5" s="3548"/>
      <c r="I5" s="3547" t="s">
        <v>2779</v>
      </c>
      <c r="J5" s="3548"/>
      <c r="K5" s="802"/>
      <c r="L5" s="803"/>
      <c r="M5" s="748"/>
      <c r="N5" s="748"/>
      <c r="O5" s="748"/>
      <c r="P5" s="3578"/>
      <c r="Q5" s="3579"/>
      <c r="R5" s="3584"/>
      <c r="S5" s="3585"/>
      <c r="T5" s="3584"/>
      <c r="U5" s="3585"/>
      <c r="V5" s="3559"/>
      <c r="W5" s="3559"/>
      <c r="X5" s="852"/>
      <c r="Y5" s="3584"/>
      <c r="Z5" s="3585"/>
      <c r="AA5" s="3574"/>
      <c r="AB5" s="3574"/>
      <c r="AC5" s="3574"/>
    </row>
    <row r="6" spans="1:29" ht="15">
      <c r="A6" s="656"/>
      <c r="B6" s="657"/>
      <c r="C6" s="3551" t="s">
        <v>2780</v>
      </c>
      <c r="D6" s="3552"/>
      <c r="E6" s="3553" t="s">
        <v>2780</v>
      </c>
      <c r="F6" s="3554"/>
      <c r="G6" s="3551" t="s">
        <v>2780</v>
      </c>
      <c r="H6" s="3552"/>
      <c r="I6" s="3551" t="s">
        <v>2780</v>
      </c>
      <c r="J6" s="3552"/>
      <c r="K6" s="802" t="s">
        <v>2781</v>
      </c>
      <c r="L6" s="803"/>
      <c r="M6" s="748"/>
      <c r="N6" s="748"/>
      <c r="O6" s="748"/>
      <c r="P6" s="3580"/>
      <c r="Q6" s="3581"/>
      <c r="R6" s="3584"/>
      <c r="S6" s="3585"/>
      <c r="T6" s="3586"/>
      <c r="U6" s="3587"/>
      <c r="V6" s="3559"/>
      <c r="W6" s="3559"/>
      <c r="X6" s="852"/>
      <c r="Y6" s="3586"/>
      <c r="Z6" s="3587"/>
      <c r="AA6" s="3575"/>
      <c r="AB6" s="3575"/>
      <c r="AC6" s="3575"/>
    </row>
    <row r="7" spans="1:29" s="631" customFormat="1" ht="15">
      <c r="A7" s="659" t="s">
        <v>2782</v>
      </c>
      <c r="B7" s="660"/>
      <c r="C7" s="661">
        <f>'数据-取费表'!B2</f>
        <v>45798</v>
      </c>
      <c r="D7" s="662">
        <v>100</v>
      </c>
      <c r="E7" s="663"/>
      <c r="F7" s="664">
        <f>SUMIF(46:46,YEAR(E7)&amp;"-"&amp;MONTH(E7),47:47)</f>
        <v>0</v>
      </c>
      <c r="G7" s="665"/>
      <c r="H7" s="662">
        <f>SUMIF(46:46,YEAR(G7)&amp;"-"&amp;MONTH(G7),47:47)</f>
        <v>0</v>
      </c>
      <c r="I7" s="663"/>
      <c r="J7" s="662">
        <f>SUMIF(46:46,YEAR(I7)&amp;"-"&amp;MONTH(I7),47:47)</f>
        <v>0</v>
      </c>
      <c r="K7" s="807"/>
      <c r="L7" s="808"/>
      <c r="M7" s="809"/>
      <c r="N7" s="809"/>
      <c r="O7" s="809"/>
      <c r="P7" s="3555" t="s">
        <v>2783</v>
      </c>
      <c r="Q7" s="3556"/>
      <c r="R7" s="853" t="s">
        <v>2784</v>
      </c>
      <c r="S7" s="854">
        <f t="shared" ref="S7:S14" si="0">F7</f>
        <v>0</v>
      </c>
      <c r="T7" s="853" t="s">
        <v>2784</v>
      </c>
      <c r="U7" s="854">
        <f t="shared" ref="U7:U14" si="1">H7</f>
        <v>0</v>
      </c>
      <c r="V7" s="853" t="s">
        <v>2784</v>
      </c>
      <c r="W7" s="854">
        <f t="shared" ref="W7:W14" si="2">J7</f>
        <v>0</v>
      </c>
      <c r="X7" s="855"/>
      <c r="Y7" s="3555" t="s">
        <v>2783</v>
      </c>
      <c r="Z7" s="3557"/>
      <c r="AA7" s="866" t="e">
        <f>D7/F7</f>
        <v>#DIV/0!</v>
      </c>
      <c r="AB7" s="866" t="e">
        <f>D7/H7</f>
        <v>#DIV/0!</v>
      </c>
      <c r="AC7" s="866" t="e">
        <f>D7/J7</f>
        <v>#DIV/0!</v>
      </c>
    </row>
    <row r="8" spans="1:29" s="631" customFormat="1" ht="15">
      <c r="A8" s="659" t="s">
        <v>2785</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555" t="s">
        <v>2786</v>
      </c>
      <c r="Q8" s="3557"/>
      <c r="R8" s="853" t="s">
        <v>2784</v>
      </c>
      <c r="S8" s="854">
        <f t="shared" si="0"/>
        <v>100</v>
      </c>
      <c r="T8" s="853" t="s">
        <v>2784</v>
      </c>
      <c r="U8" s="854">
        <f t="shared" si="1"/>
        <v>100</v>
      </c>
      <c r="V8" s="853" t="s">
        <v>2784</v>
      </c>
      <c r="W8" s="854">
        <f t="shared" si="2"/>
        <v>100</v>
      </c>
      <c r="X8" s="855"/>
      <c r="Y8" s="3555" t="s">
        <v>2786</v>
      </c>
      <c r="Z8" s="3557"/>
      <c r="AA8" s="866">
        <f t="shared" ref="AA8:AA34" si="3">D8/F8</f>
        <v>1</v>
      </c>
      <c r="AB8" s="866">
        <f t="shared" ref="AB8:AB34" si="4">D8/H8</f>
        <v>1</v>
      </c>
      <c r="AC8" s="866">
        <f t="shared" ref="AC8:AC34" si="5">D8/J8</f>
        <v>1</v>
      </c>
    </row>
    <row r="9" spans="1:29" s="631" customFormat="1">
      <c r="A9" s="667" t="s">
        <v>2787</v>
      </c>
      <c r="B9" s="668" t="s">
        <v>2788</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558" t="s">
        <v>2789</v>
      </c>
      <c r="Q9" s="857" t="str">
        <f t="shared" ref="Q9:Q14" si="6">B9</f>
        <v>用途</v>
      </c>
      <c r="R9" s="853" t="s">
        <v>2784</v>
      </c>
      <c r="S9" s="854">
        <f t="shared" si="0"/>
        <v>100</v>
      </c>
      <c r="T9" s="853" t="s">
        <v>2784</v>
      </c>
      <c r="U9" s="854">
        <f t="shared" si="1"/>
        <v>100</v>
      </c>
      <c r="V9" s="853" t="s">
        <v>2784</v>
      </c>
      <c r="W9" s="854">
        <f t="shared" si="2"/>
        <v>100</v>
      </c>
      <c r="X9" s="855"/>
      <c r="Y9" s="3465" t="s">
        <v>2790</v>
      </c>
      <c r="Z9" s="866" t="str">
        <f t="shared" ref="Z9:Z14" si="7">Q9</f>
        <v>用途</v>
      </c>
      <c r="AA9" s="866">
        <f t="shared" si="3"/>
        <v>1</v>
      </c>
      <c r="AB9" s="866">
        <f t="shared" si="4"/>
        <v>1</v>
      </c>
      <c r="AC9" s="866">
        <f t="shared" si="5"/>
        <v>1</v>
      </c>
    </row>
    <row r="10" spans="1:29" s="632" customFormat="1" ht="27">
      <c r="A10" s="671"/>
      <c r="B10" s="672" t="s">
        <v>2791</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558"/>
      <c r="Q10" s="857" t="str">
        <f t="shared" si="6"/>
        <v>土地使用年限（年）</v>
      </c>
      <c r="R10" s="853" t="s">
        <v>2784</v>
      </c>
      <c r="S10" s="854">
        <f t="shared" si="0"/>
        <v>100</v>
      </c>
      <c r="T10" s="853" t="s">
        <v>2784</v>
      </c>
      <c r="U10" s="854">
        <f t="shared" si="1"/>
        <v>100</v>
      </c>
      <c r="V10" s="853" t="s">
        <v>2784</v>
      </c>
      <c r="W10" s="854">
        <f t="shared" si="2"/>
        <v>100</v>
      </c>
      <c r="X10" s="855"/>
      <c r="Y10" s="3465"/>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558"/>
      <c r="Q11" s="857">
        <f t="shared" si="6"/>
        <v>111</v>
      </c>
      <c r="R11" s="853" t="s">
        <v>2784</v>
      </c>
      <c r="S11" s="854">
        <f t="shared" si="0"/>
        <v>100</v>
      </c>
      <c r="T11" s="853" t="s">
        <v>2784</v>
      </c>
      <c r="U11" s="854">
        <f t="shared" si="1"/>
        <v>100</v>
      </c>
      <c r="V11" s="853" t="s">
        <v>2784</v>
      </c>
      <c r="W11" s="854">
        <f t="shared" si="2"/>
        <v>100</v>
      </c>
      <c r="X11" s="855"/>
      <c r="Y11" s="3465"/>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558"/>
      <c r="Q12" s="857">
        <f t="shared" si="6"/>
        <v>111</v>
      </c>
      <c r="R12" s="853" t="s">
        <v>2784</v>
      </c>
      <c r="S12" s="854">
        <f t="shared" si="0"/>
        <v>100</v>
      </c>
      <c r="T12" s="853" t="s">
        <v>2784</v>
      </c>
      <c r="U12" s="854">
        <f t="shared" si="1"/>
        <v>100</v>
      </c>
      <c r="V12" s="853" t="s">
        <v>2784</v>
      </c>
      <c r="W12" s="854">
        <f t="shared" si="2"/>
        <v>100</v>
      </c>
      <c r="X12" s="855"/>
      <c r="Y12" s="3465"/>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558"/>
      <c r="Q13" s="857">
        <f t="shared" si="6"/>
        <v>111</v>
      </c>
      <c r="R13" s="853" t="s">
        <v>2784</v>
      </c>
      <c r="S13" s="854">
        <f t="shared" si="0"/>
        <v>100</v>
      </c>
      <c r="T13" s="853" t="s">
        <v>2784</v>
      </c>
      <c r="U13" s="854">
        <f t="shared" si="1"/>
        <v>100</v>
      </c>
      <c r="V13" s="853" t="s">
        <v>2784</v>
      </c>
      <c r="W13" s="854">
        <f t="shared" si="2"/>
        <v>100</v>
      </c>
      <c r="X13" s="855"/>
      <c r="Y13" s="3465"/>
      <c r="Z13" s="866">
        <f t="shared" si="7"/>
        <v>111</v>
      </c>
      <c r="AA13" s="866">
        <f t="shared" si="3"/>
        <v>1</v>
      </c>
      <c r="AB13" s="866">
        <f t="shared" si="4"/>
        <v>1</v>
      </c>
      <c r="AC13" s="866">
        <f t="shared" si="5"/>
        <v>1</v>
      </c>
    </row>
    <row r="14" spans="1:29" ht="85.5">
      <c r="A14" s="689" t="s">
        <v>2793</v>
      </c>
      <c r="B14" s="972" t="s">
        <v>2796</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566" t="s">
        <v>2795</v>
      </c>
      <c r="Q14" s="771" t="str">
        <f t="shared" si="6"/>
        <v>交通便捷度</v>
      </c>
      <c r="R14" s="858" t="s">
        <v>2784</v>
      </c>
      <c r="S14" s="859">
        <f t="shared" si="0"/>
        <v>100</v>
      </c>
      <c r="T14" s="858" t="s">
        <v>2784</v>
      </c>
      <c r="U14" s="859">
        <f t="shared" si="1"/>
        <v>100</v>
      </c>
      <c r="V14" s="858" t="s">
        <v>2784</v>
      </c>
      <c r="W14" s="859">
        <f t="shared" si="2"/>
        <v>100</v>
      </c>
      <c r="X14" s="852"/>
      <c r="Y14" s="3566" t="s">
        <v>2795</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567"/>
      <c r="Q15" s="771"/>
      <c r="R15" s="858"/>
      <c r="S15" s="859"/>
      <c r="T15" s="858"/>
      <c r="U15" s="859"/>
      <c r="V15" s="858"/>
      <c r="W15" s="859"/>
      <c r="X15" s="852"/>
      <c r="Y15" s="3567"/>
      <c r="Z15" s="840"/>
      <c r="AA15" s="840">
        <v>1</v>
      </c>
      <c r="AB15" s="840">
        <v>1</v>
      </c>
      <c r="AC15" s="840">
        <v>1</v>
      </c>
    </row>
    <row r="16" spans="1:29" ht="42.75">
      <c r="A16" s="675"/>
      <c r="B16" s="974" t="s">
        <v>2797</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567"/>
      <c r="Q16" s="771" t="str">
        <f>B16</f>
        <v>公共配套设施</v>
      </c>
      <c r="R16" s="858" t="s">
        <v>2784</v>
      </c>
      <c r="S16" s="859">
        <f>F16</f>
        <v>100</v>
      </c>
      <c r="T16" s="858" t="s">
        <v>2784</v>
      </c>
      <c r="U16" s="859">
        <f>H16</f>
        <v>100</v>
      </c>
      <c r="V16" s="858" t="s">
        <v>2784</v>
      </c>
      <c r="W16" s="859">
        <f>J16</f>
        <v>100</v>
      </c>
      <c r="X16" s="852"/>
      <c r="Y16" s="3567"/>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567"/>
      <c r="Q17" s="771"/>
      <c r="R17" s="858"/>
      <c r="S17" s="859"/>
      <c r="T17" s="858"/>
      <c r="U17" s="859"/>
      <c r="V17" s="858"/>
      <c r="W17" s="859"/>
      <c r="X17" s="852"/>
      <c r="Y17" s="3567"/>
      <c r="Z17" s="840"/>
      <c r="AA17" s="840">
        <v>1</v>
      </c>
      <c r="AB17" s="840">
        <v>1</v>
      </c>
      <c r="AC17" s="840">
        <v>1</v>
      </c>
    </row>
    <row r="18" spans="1:29" ht="28.5">
      <c r="A18" s="675"/>
      <c r="B18" s="979" t="s">
        <v>2798</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567"/>
      <c r="Q18" s="771" t="str">
        <f>B18</f>
        <v>基础设施水平</v>
      </c>
      <c r="R18" s="858" t="s">
        <v>2784</v>
      </c>
      <c r="S18" s="859">
        <f>F18</f>
        <v>100</v>
      </c>
      <c r="T18" s="858" t="s">
        <v>2784</v>
      </c>
      <c r="U18" s="859">
        <f>H18</f>
        <v>100</v>
      </c>
      <c r="V18" s="858" t="s">
        <v>2784</v>
      </c>
      <c r="W18" s="859">
        <f>J18</f>
        <v>100</v>
      </c>
      <c r="X18" s="852"/>
      <c r="Y18" s="3567"/>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567"/>
      <c r="Q19" s="771"/>
      <c r="R19" s="858"/>
      <c r="S19" s="859"/>
      <c r="T19" s="858"/>
      <c r="U19" s="859"/>
      <c r="V19" s="858"/>
      <c r="W19" s="859"/>
      <c r="X19" s="852"/>
      <c r="Y19" s="3567"/>
      <c r="Z19" s="840"/>
      <c r="AA19" s="840">
        <v>1</v>
      </c>
      <c r="AB19" s="840">
        <v>1</v>
      </c>
      <c r="AC19" s="840">
        <v>1</v>
      </c>
    </row>
    <row r="20" spans="1:29" ht="57">
      <c r="A20" s="675"/>
      <c r="B20" s="974" t="s">
        <v>2799</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567"/>
      <c r="Q20" s="771" t="str">
        <f>B20</f>
        <v>自然及人文环境</v>
      </c>
      <c r="R20" s="858" t="s">
        <v>2784</v>
      </c>
      <c r="S20" s="859">
        <f>F20</f>
        <v>100</v>
      </c>
      <c r="T20" s="858" t="s">
        <v>2784</v>
      </c>
      <c r="U20" s="859">
        <f>H20</f>
        <v>100</v>
      </c>
      <c r="V20" s="858" t="s">
        <v>2784</v>
      </c>
      <c r="W20" s="859">
        <f>J20</f>
        <v>100</v>
      </c>
      <c r="X20" s="852"/>
      <c r="Y20" s="3567"/>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567"/>
      <c r="Q21" s="771"/>
      <c r="R21" s="858"/>
      <c r="S21" s="859"/>
      <c r="T21" s="858"/>
      <c r="U21" s="859"/>
      <c r="V21" s="858"/>
      <c r="W21" s="859"/>
      <c r="X21" s="852"/>
      <c r="Y21" s="3567"/>
      <c r="Z21" s="840"/>
      <c r="AA21" s="840">
        <v>1</v>
      </c>
      <c r="AB21" s="840">
        <v>1</v>
      </c>
      <c r="AC21" s="840">
        <v>1</v>
      </c>
    </row>
    <row r="22" spans="1:29" ht="15">
      <c r="A22" s="675"/>
      <c r="B22" s="974" t="s">
        <v>2856</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567"/>
      <c r="Q22" s="771" t="str">
        <f>B22</f>
        <v>楼层</v>
      </c>
      <c r="R22" s="858" t="s">
        <v>2784</v>
      </c>
      <c r="S22" s="859">
        <f>F22</f>
        <v>100</v>
      </c>
      <c r="T22" s="858" t="s">
        <v>2784</v>
      </c>
      <c r="U22" s="859">
        <f>H22</f>
        <v>100</v>
      </c>
      <c r="V22" s="858" t="s">
        <v>2784</v>
      </c>
      <c r="W22" s="859">
        <f>J22</f>
        <v>100</v>
      </c>
      <c r="X22" s="852"/>
      <c r="Y22" s="3567"/>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567"/>
      <c r="Q23" s="771">
        <f>B23</f>
        <v>111</v>
      </c>
      <c r="R23" s="858" t="s">
        <v>2784</v>
      </c>
      <c r="S23" s="859">
        <f>F23</f>
        <v>100</v>
      </c>
      <c r="T23" s="858" t="s">
        <v>2784</v>
      </c>
      <c r="U23" s="859">
        <f>H23</f>
        <v>100</v>
      </c>
      <c r="V23" s="858" t="s">
        <v>2784</v>
      </c>
      <c r="W23" s="859">
        <f>J23</f>
        <v>100</v>
      </c>
      <c r="X23" s="852"/>
      <c r="Y23" s="3567"/>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567"/>
      <c r="Q24" s="771">
        <f t="shared" ref="Q24:Q34" si="11">B24</f>
        <v>111</v>
      </c>
      <c r="R24" s="858" t="s">
        <v>2784</v>
      </c>
      <c r="S24" s="859">
        <f>F24</f>
        <v>100</v>
      </c>
      <c r="T24" s="858" t="s">
        <v>2784</v>
      </c>
      <c r="U24" s="859">
        <f>H24</f>
        <v>100</v>
      </c>
      <c r="V24" s="858" t="s">
        <v>2784</v>
      </c>
      <c r="W24" s="859">
        <f>J24</f>
        <v>100</v>
      </c>
      <c r="X24" s="852"/>
      <c r="Y24" s="3567"/>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567"/>
      <c r="Q25" s="857">
        <f t="shared" si="11"/>
        <v>111</v>
      </c>
      <c r="R25" s="853" t="s">
        <v>2784</v>
      </c>
      <c r="S25" s="854">
        <f>F25</f>
        <v>100</v>
      </c>
      <c r="T25" s="853" t="s">
        <v>2784</v>
      </c>
      <c r="U25" s="854">
        <f>H25</f>
        <v>100</v>
      </c>
      <c r="V25" s="853" t="s">
        <v>2784</v>
      </c>
      <c r="W25" s="854">
        <f>J25</f>
        <v>100</v>
      </c>
      <c r="X25" s="855"/>
      <c r="Y25" s="3567"/>
      <c r="Z25" s="866">
        <f>Q25</f>
        <v>111</v>
      </c>
      <c r="AA25" s="840">
        <f t="shared" si="3"/>
        <v>1</v>
      </c>
      <c r="AB25" s="840">
        <f t="shared" si="4"/>
        <v>1</v>
      </c>
      <c r="AC25" s="840">
        <f t="shared" si="5"/>
        <v>1</v>
      </c>
    </row>
    <row r="26" spans="1:29" ht="28.5">
      <c r="A26" s="1023" t="s">
        <v>2802</v>
      </c>
      <c r="B26" s="668" t="s">
        <v>2808</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603" t="s">
        <v>2804</v>
      </c>
      <c r="Q26" s="771" t="str">
        <f t="shared" si="11"/>
        <v>公共部分装修</v>
      </c>
      <c r="R26" s="858" t="s">
        <v>2784</v>
      </c>
      <c r="S26" s="859">
        <f t="shared" ref="S26:S34" si="12">F26</f>
        <v>100</v>
      </c>
      <c r="T26" s="858" t="s">
        <v>2784</v>
      </c>
      <c r="U26" s="859">
        <f t="shared" ref="U26:U34" si="13">H26</f>
        <v>100</v>
      </c>
      <c r="V26" s="858" t="s">
        <v>2784</v>
      </c>
      <c r="W26" s="859">
        <f t="shared" ref="W26:W34" si="14">J26</f>
        <v>100</v>
      </c>
      <c r="X26" s="852"/>
      <c r="Y26" s="3568" t="s">
        <v>2804</v>
      </c>
      <c r="Z26" s="840" t="str">
        <f t="shared" ref="Z26:Z34" si="15">Q26</f>
        <v>公共部分装修</v>
      </c>
      <c r="AA26" s="840">
        <f t="shared" si="3"/>
        <v>1</v>
      </c>
      <c r="AB26" s="840">
        <f t="shared" si="4"/>
        <v>1</v>
      </c>
      <c r="AC26" s="840">
        <f t="shared" si="5"/>
        <v>1</v>
      </c>
    </row>
    <row r="27" spans="1:29" s="633" customFormat="1" ht="15">
      <c r="A27" s="729"/>
      <c r="B27" s="672" t="s">
        <v>2879</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568"/>
      <c r="Q27" s="1049" t="str">
        <f t="shared" si="11"/>
        <v>成新率</v>
      </c>
      <c r="R27" s="860" t="s">
        <v>2784</v>
      </c>
      <c r="S27" s="861" t="e">
        <f t="shared" si="12"/>
        <v>#N/A</v>
      </c>
      <c r="T27" s="860" t="s">
        <v>2784</v>
      </c>
      <c r="U27" s="861" t="e">
        <f t="shared" si="13"/>
        <v>#N/A</v>
      </c>
      <c r="V27" s="860" t="s">
        <v>2784</v>
      </c>
      <c r="W27" s="861" t="e">
        <f t="shared" si="14"/>
        <v>#N/A</v>
      </c>
      <c r="X27" s="862"/>
      <c r="Y27" s="3568"/>
      <c r="Z27" s="867" t="str">
        <f t="shared" si="15"/>
        <v>成新率</v>
      </c>
      <c r="AA27" s="840" t="e">
        <f t="shared" si="3"/>
        <v>#N/A</v>
      </c>
      <c r="AB27" s="840" t="e">
        <f t="shared" si="4"/>
        <v>#N/A</v>
      </c>
      <c r="AC27" s="840" t="e">
        <f t="shared" si="5"/>
        <v>#N/A</v>
      </c>
    </row>
    <row r="28" spans="1:29" ht="15">
      <c r="A28" s="724"/>
      <c r="B28" s="672" t="s">
        <v>2880</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568"/>
      <c r="Q28" s="771" t="str">
        <f t="shared" si="11"/>
        <v>物业等级</v>
      </c>
      <c r="R28" s="858" t="s">
        <v>2784</v>
      </c>
      <c r="S28" s="859">
        <f t="shared" si="12"/>
        <v>100</v>
      </c>
      <c r="T28" s="858" t="s">
        <v>2784</v>
      </c>
      <c r="U28" s="859">
        <f t="shared" si="13"/>
        <v>100</v>
      </c>
      <c r="V28" s="858" t="s">
        <v>2784</v>
      </c>
      <c r="W28" s="859">
        <f t="shared" si="14"/>
        <v>100</v>
      </c>
      <c r="X28" s="852"/>
      <c r="Y28" s="3568"/>
      <c r="Z28" s="840" t="str">
        <f t="shared" si="15"/>
        <v>物业等级</v>
      </c>
      <c r="AA28" s="840">
        <f t="shared" si="3"/>
        <v>1</v>
      </c>
      <c r="AB28" s="840">
        <f t="shared" si="4"/>
        <v>1</v>
      </c>
      <c r="AC28" s="840">
        <f t="shared" si="5"/>
        <v>1</v>
      </c>
    </row>
    <row r="29" spans="1:29" ht="15">
      <c r="A29" s="724"/>
      <c r="B29" s="672" t="s">
        <v>2889</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568"/>
      <c r="Q29" s="771" t="str">
        <f t="shared" si="11"/>
        <v>有无电梯</v>
      </c>
      <c r="R29" s="858" t="s">
        <v>2784</v>
      </c>
      <c r="S29" s="859">
        <f t="shared" si="12"/>
        <v>100</v>
      </c>
      <c r="T29" s="858" t="s">
        <v>2784</v>
      </c>
      <c r="U29" s="859">
        <f t="shared" si="13"/>
        <v>100</v>
      </c>
      <c r="V29" s="858" t="s">
        <v>2784</v>
      </c>
      <c r="W29" s="859">
        <f t="shared" si="14"/>
        <v>100</v>
      </c>
      <c r="X29" s="852"/>
      <c r="Y29" s="3568"/>
      <c r="Z29" s="840" t="str">
        <f t="shared" si="15"/>
        <v>有无电梯</v>
      </c>
      <c r="AA29" s="840">
        <f t="shared" si="3"/>
        <v>1</v>
      </c>
      <c r="AB29" s="840">
        <f t="shared" si="4"/>
        <v>1</v>
      </c>
      <c r="AC29" s="840">
        <f t="shared" si="5"/>
        <v>1</v>
      </c>
    </row>
    <row r="30" spans="1:29" ht="15">
      <c r="A30" s="724"/>
      <c r="B30" s="672" t="s">
        <v>610</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568"/>
      <c r="Q30" s="771" t="str">
        <f t="shared" si="11"/>
        <v>建筑面积</v>
      </c>
      <c r="R30" s="858" t="s">
        <v>2784</v>
      </c>
      <c r="S30" s="859" t="e">
        <f t="shared" si="12"/>
        <v>#N/A</v>
      </c>
      <c r="T30" s="858" t="s">
        <v>2784</v>
      </c>
      <c r="U30" s="859" t="e">
        <f t="shared" si="13"/>
        <v>#N/A</v>
      </c>
      <c r="V30" s="858" t="s">
        <v>2784</v>
      </c>
      <c r="W30" s="859" t="e">
        <f t="shared" si="14"/>
        <v>#N/A</v>
      </c>
      <c r="X30" s="852"/>
      <c r="Y30" s="3568"/>
      <c r="Z30" s="840" t="str">
        <f t="shared" si="15"/>
        <v>建筑面积</v>
      </c>
      <c r="AA30" s="840" t="e">
        <f t="shared" si="3"/>
        <v>#N/A</v>
      </c>
      <c r="AB30" s="840" t="e">
        <f t="shared" si="4"/>
        <v>#N/A</v>
      </c>
      <c r="AC30" s="840" t="e">
        <f t="shared" si="5"/>
        <v>#N/A</v>
      </c>
    </row>
    <row r="31" spans="1:29" s="631" customFormat="1" ht="15">
      <c r="A31" s="726"/>
      <c r="B31" s="672" t="s">
        <v>2890</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568"/>
      <c r="Q31" s="857" t="str">
        <f t="shared" si="11"/>
        <v>是否封闭</v>
      </c>
      <c r="R31" s="853" t="s">
        <v>2784</v>
      </c>
      <c r="S31" s="854">
        <f t="shared" si="12"/>
        <v>100</v>
      </c>
      <c r="T31" s="853" t="s">
        <v>2784</v>
      </c>
      <c r="U31" s="854">
        <f t="shared" si="13"/>
        <v>100</v>
      </c>
      <c r="V31" s="853" t="s">
        <v>2784</v>
      </c>
      <c r="W31" s="854">
        <f t="shared" si="14"/>
        <v>100</v>
      </c>
      <c r="X31" s="855"/>
      <c r="Y31" s="3568"/>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568" t="s">
        <v>2804</v>
      </c>
      <c r="Q32" s="771">
        <f t="shared" si="11"/>
        <v>111</v>
      </c>
      <c r="R32" s="858" t="s">
        <v>2784</v>
      </c>
      <c r="S32" s="859">
        <f t="shared" si="12"/>
        <v>100</v>
      </c>
      <c r="T32" s="858" t="s">
        <v>2784</v>
      </c>
      <c r="U32" s="859">
        <f t="shared" si="13"/>
        <v>100</v>
      </c>
      <c r="V32" s="858" t="s">
        <v>2784</v>
      </c>
      <c r="W32" s="859">
        <f t="shared" si="14"/>
        <v>100</v>
      </c>
      <c r="X32" s="852"/>
      <c r="Y32" s="3568" t="s">
        <v>2804</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568"/>
      <c r="Q33" s="771">
        <f t="shared" si="11"/>
        <v>111</v>
      </c>
      <c r="R33" s="858" t="s">
        <v>2784</v>
      </c>
      <c r="S33" s="859">
        <f t="shared" si="12"/>
        <v>100</v>
      </c>
      <c r="T33" s="858" t="s">
        <v>2784</v>
      </c>
      <c r="U33" s="859">
        <f t="shared" si="13"/>
        <v>100</v>
      </c>
      <c r="V33" s="858" t="s">
        <v>2784</v>
      </c>
      <c r="W33" s="859">
        <f t="shared" si="14"/>
        <v>100</v>
      </c>
      <c r="X33" s="852"/>
      <c r="Y33" s="3568"/>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568"/>
      <c r="Q34" s="771">
        <f t="shared" si="11"/>
        <v>111</v>
      </c>
      <c r="R34" s="858" t="s">
        <v>2784</v>
      </c>
      <c r="S34" s="859">
        <f t="shared" si="12"/>
        <v>100</v>
      </c>
      <c r="T34" s="858" t="s">
        <v>2784</v>
      </c>
      <c r="U34" s="859">
        <f t="shared" si="13"/>
        <v>100</v>
      </c>
      <c r="V34" s="858" t="s">
        <v>2784</v>
      </c>
      <c r="W34" s="859">
        <f t="shared" si="14"/>
        <v>100</v>
      </c>
      <c r="X34" s="852"/>
      <c r="Y34" s="3568"/>
      <c r="Z34" s="840">
        <f t="shared" si="15"/>
        <v>111</v>
      </c>
      <c r="AA34" s="840">
        <f t="shared" si="3"/>
        <v>1</v>
      </c>
      <c r="AB34" s="840">
        <f t="shared" si="4"/>
        <v>1</v>
      </c>
      <c r="AC34" s="840">
        <f t="shared" si="5"/>
        <v>1</v>
      </c>
    </row>
    <row r="35" spans="1:30" ht="15">
      <c r="A35" s="731" t="s">
        <v>2815</v>
      </c>
      <c r="B35" s="1032"/>
      <c r="C35" s="1033" t="s">
        <v>124</v>
      </c>
      <c r="D35" s="734"/>
      <c r="E35" s="735"/>
      <c r="F35" s="736"/>
      <c r="G35" s="737"/>
      <c r="H35" s="738"/>
      <c r="I35" s="735"/>
      <c r="J35" s="738"/>
      <c r="K35" s="831"/>
      <c r="L35" s="832"/>
      <c r="M35" s="748"/>
      <c r="N35" s="748"/>
      <c r="O35" s="748"/>
      <c r="P35" s="3558" t="str">
        <f>A35</f>
        <v>成交单价（元/平方米）</v>
      </c>
      <c r="Q35" s="3558"/>
      <c r="R35" s="3559">
        <f>E35</f>
        <v>0</v>
      </c>
      <c r="S35" s="3559"/>
      <c r="T35" s="3559">
        <f>G35</f>
        <v>0</v>
      </c>
      <c r="U35" s="3559"/>
      <c r="V35" s="3559">
        <f>I35</f>
        <v>0</v>
      </c>
      <c r="W35" s="3559"/>
      <c r="X35" s="793"/>
      <c r="Y35" s="868"/>
      <c r="Z35" s="793"/>
      <c r="AA35" s="793"/>
      <c r="AB35" s="793"/>
      <c r="AC35" s="793"/>
    </row>
    <row r="36" spans="1:30" ht="15">
      <c r="A36" s="739" t="s">
        <v>2816</v>
      </c>
      <c r="B36" s="1034"/>
      <c r="C36" s="1035" t="e">
        <f>R37</f>
        <v>#DIV/0!</v>
      </c>
      <c r="D36" s="742" t="s">
        <v>2817</v>
      </c>
      <c r="E36" s="1036" t="e">
        <f>R36</f>
        <v>#DIV/0!</v>
      </c>
      <c r="F36" s="743"/>
      <c r="G36" s="1035" t="e">
        <f>T36</f>
        <v>#DIV/0!</v>
      </c>
      <c r="H36" s="743"/>
      <c r="I36" s="1036" t="e">
        <f>V36</f>
        <v>#DIV/0!</v>
      </c>
      <c r="J36" s="743"/>
      <c r="K36" s="833">
        <f>F36+H36+J36</f>
        <v>0</v>
      </c>
      <c r="L36" s="832"/>
      <c r="M36" s="748"/>
      <c r="N36" s="748"/>
      <c r="O36" s="748"/>
      <c r="P36" s="3558" t="str">
        <f>A36</f>
        <v>比较价值（元/平方米）</v>
      </c>
      <c r="Q36" s="3558"/>
      <c r="R36" s="3559" t="e">
        <f>IF(F1="售价",ROUND(PRODUCT(R35,AA7:AA34),0),ROUND(PRODUCT(R35,AA7:AA34),1))</f>
        <v>#DIV/0!</v>
      </c>
      <c r="S36" s="3559"/>
      <c r="T36" s="3559" t="e">
        <f>IF(F1="售价",ROUND(PRODUCT(T35,AB7:AB34),0),ROUND(PRODUCT(T35,AB7:AB34),1))</f>
        <v>#DIV/0!</v>
      </c>
      <c r="U36" s="3559"/>
      <c r="V36" s="3559" t="e">
        <f>IF(F1="售价",ROUND(PRODUCT(V35,AC7:AC34),0),ROUND(PRODUCT(V35,AC7:AC34),1))</f>
        <v>#DIV/0!</v>
      </c>
      <c r="W36" s="3559"/>
      <c r="X36" s="793"/>
      <c r="Y36" s="793"/>
      <c r="Z36" s="793"/>
      <c r="AA36" s="793"/>
      <c r="AB36" s="793"/>
      <c r="AC36" s="793"/>
    </row>
    <row r="37" spans="1:30" ht="15">
      <c r="A37" s="745" t="s">
        <v>2818</v>
      </c>
      <c r="B37" s="746"/>
      <c r="C37" s="657" t="e">
        <f>R37</f>
        <v>#DIV/0!</v>
      </c>
      <c r="D37" s="657"/>
      <c r="E37" s="657"/>
      <c r="F37" s="657"/>
      <c r="G37" s="657"/>
      <c r="H37" s="657"/>
      <c r="I37" s="657"/>
      <c r="J37" s="657"/>
      <c r="K37" s="834"/>
      <c r="L37" s="832"/>
      <c r="M37" s="748"/>
      <c r="N37" s="748"/>
      <c r="O37" s="748"/>
      <c r="P37" s="3570" t="str">
        <f>A37</f>
        <v>估价对象XX用房的比较价值（楼面单价，元/平方米）</v>
      </c>
      <c r="Q37" s="3571"/>
      <c r="R37" s="3604" t="e">
        <f>IF(F1="售价",ROUND(IF(D36="简单平均",AVERAGE(R36:W36),R36*F36+T36*H36+V36*J36),0),ROUND(IF(D36="简单平均",AVERAGE(R36:V36),R36*F36+T36*H36+V36*J36),1))</f>
        <v>#DIV/0!</v>
      </c>
      <c r="S37" s="3604"/>
      <c r="T37" s="3604"/>
      <c r="U37" s="3604"/>
      <c r="V37" s="3604"/>
      <c r="W37" s="3604"/>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2819</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2820</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2821</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2822</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2782</v>
      </c>
      <c r="B46" s="1039"/>
      <c r="C46" s="1040" t="str">
        <f>YEAR(C7)&amp;"-"&amp;MONTH(C7)</f>
        <v>2025-5</v>
      </c>
      <c r="D46" s="1041">
        <f>EDATE(C46,-1)</f>
        <v>45748</v>
      </c>
      <c r="E46" s="1041">
        <f t="shared" ref="E46:O46" si="16">EDATE(D46,-1)</f>
        <v>45717</v>
      </c>
      <c r="F46" s="1041">
        <f t="shared" si="16"/>
        <v>45689</v>
      </c>
      <c r="G46" s="1041">
        <f t="shared" si="16"/>
        <v>45658</v>
      </c>
      <c r="H46" s="1041">
        <f t="shared" si="16"/>
        <v>45627</v>
      </c>
      <c r="I46" s="1041">
        <f t="shared" si="16"/>
        <v>45597</v>
      </c>
      <c r="J46" s="1041">
        <f t="shared" si="16"/>
        <v>45566</v>
      </c>
      <c r="K46" s="1041">
        <f t="shared" si="16"/>
        <v>45536</v>
      </c>
      <c r="L46" s="1041">
        <f t="shared" si="16"/>
        <v>45505</v>
      </c>
      <c r="M46" s="1041">
        <f t="shared" si="16"/>
        <v>45474</v>
      </c>
      <c r="N46" s="1041">
        <f t="shared" si="16"/>
        <v>45444</v>
      </c>
      <c r="O46" s="1041">
        <f t="shared" si="16"/>
        <v>45413</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2823</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2785</v>
      </c>
      <c r="B49" s="880"/>
      <c r="C49" s="881" t="s">
        <v>2824</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2825</v>
      </c>
      <c r="B51" s="885" t="s">
        <v>2788</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2791</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2793</v>
      </c>
      <c r="B61" s="885" t="s">
        <v>2796</v>
      </c>
      <c r="C61" s="905" t="s">
        <v>1349</v>
      </c>
      <c r="D61" s="905" t="s">
        <v>1350</v>
      </c>
      <c r="E61" s="905" t="s">
        <v>1351</v>
      </c>
      <c r="F61" s="905" t="s">
        <v>1352</v>
      </c>
      <c r="G61" s="905" t="s">
        <v>1353</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2891</v>
      </c>
      <c r="C63" s="906" t="s">
        <v>1349</v>
      </c>
      <c r="D63" s="906" t="s">
        <v>1350</v>
      </c>
      <c r="E63" s="906" t="s">
        <v>1351</v>
      </c>
      <c r="F63" s="906" t="s">
        <v>1352</v>
      </c>
      <c r="G63" s="906" t="s">
        <v>1353</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2798</v>
      </c>
      <c r="C65" s="821" t="s">
        <v>2826</v>
      </c>
      <c r="D65" s="821" t="s">
        <v>2827</v>
      </c>
      <c r="E65" s="821" t="s">
        <v>2828</v>
      </c>
      <c r="F65" s="821" t="s">
        <v>2829</v>
      </c>
      <c r="G65" s="821" t="s">
        <v>2830</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2799</v>
      </c>
      <c r="C67" s="906" t="s">
        <v>1349</v>
      </c>
      <c r="D67" s="906" t="s">
        <v>1350</v>
      </c>
      <c r="E67" s="906" t="s">
        <v>1351</v>
      </c>
      <c r="F67" s="906" t="s">
        <v>1352</v>
      </c>
      <c r="G67" s="906" t="s">
        <v>1353</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2856</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2802</v>
      </c>
      <c r="B77" s="885" t="s">
        <v>2808</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2879</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2880</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2889</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610</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2890</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2892</v>
      </c>
      <c r="B1" s="641"/>
      <c r="C1" s="642" t="s">
        <v>2893</v>
      </c>
      <c r="D1" s="643"/>
      <c r="E1" s="643"/>
      <c r="F1" s="644" t="s">
        <v>2768</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1028</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1030</v>
      </c>
      <c r="B3" s="648" t="e">
        <f>ROUND(IF(D3="",B2*10000/'数据-汇总表'!E3,B2*10000/D3),0)</f>
        <v>#DIV/0!</v>
      </c>
      <c r="C3" s="348" t="s">
        <v>1187</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2769</v>
      </c>
      <c r="B4" s="651"/>
      <c r="C4" s="3543" t="s">
        <v>2770</v>
      </c>
      <c r="D4" s="3544"/>
      <c r="E4" s="3545" t="s">
        <v>2771</v>
      </c>
      <c r="F4" s="3546"/>
      <c r="G4" s="3543" t="s">
        <v>2772</v>
      </c>
      <c r="H4" s="3544"/>
      <c r="I4" s="3543" t="s">
        <v>2773</v>
      </c>
      <c r="J4" s="3544"/>
      <c r="K4" s="802" t="s">
        <v>2774</v>
      </c>
      <c r="L4" s="803"/>
      <c r="M4" s="748"/>
      <c r="N4" s="748"/>
      <c r="O4" s="748"/>
      <c r="P4" s="3576" t="s">
        <v>2775</v>
      </c>
      <c r="Q4" s="3577"/>
      <c r="R4" s="3582" t="s">
        <v>2771</v>
      </c>
      <c r="S4" s="3583"/>
      <c r="T4" s="3582" t="s">
        <v>2772</v>
      </c>
      <c r="U4" s="3583"/>
      <c r="V4" s="3559" t="s">
        <v>2773</v>
      </c>
      <c r="W4" s="3559"/>
      <c r="X4" s="852"/>
      <c r="Y4" s="3582" t="s">
        <v>2775</v>
      </c>
      <c r="Z4" s="3583"/>
      <c r="AA4" s="3573" t="s">
        <v>2771</v>
      </c>
      <c r="AB4" s="3574" t="s">
        <v>2772</v>
      </c>
      <c r="AC4" s="3573" t="s">
        <v>2773</v>
      </c>
    </row>
    <row r="5" spans="1:29" ht="15">
      <c r="A5" s="654"/>
      <c r="B5" s="655"/>
      <c r="C5" s="3547" t="s">
        <v>2776</v>
      </c>
      <c r="D5" s="3548"/>
      <c r="E5" s="3549" t="s">
        <v>2777</v>
      </c>
      <c r="F5" s="3550"/>
      <c r="G5" s="3547" t="s">
        <v>2778</v>
      </c>
      <c r="H5" s="3548"/>
      <c r="I5" s="3547" t="s">
        <v>2779</v>
      </c>
      <c r="J5" s="3548"/>
      <c r="K5" s="802"/>
      <c r="L5" s="803"/>
      <c r="M5" s="748"/>
      <c r="N5" s="748"/>
      <c r="O5" s="748"/>
      <c r="P5" s="3578"/>
      <c r="Q5" s="3579"/>
      <c r="R5" s="3584"/>
      <c r="S5" s="3585"/>
      <c r="T5" s="3584"/>
      <c r="U5" s="3585"/>
      <c r="V5" s="3559"/>
      <c r="W5" s="3559"/>
      <c r="X5" s="852"/>
      <c r="Y5" s="3584"/>
      <c r="Z5" s="3585"/>
      <c r="AA5" s="3574"/>
      <c r="AB5" s="3574"/>
      <c r="AC5" s="3574"/>
    </row>
    <row r="6" spans="1:29" ht="15">
      <c r="A6" s="656"/>
      <c r="B6" s="657"/>
      <c r="C6" s="3551" t="s">
        <v>2780</v>
      </c>
      <c r="D6" s="3552"/>
      <c r="E6" s="3553" t="s">
        <v>2780</v>
      </c>
      <c r="F6" s="3554"/>
      <c r="G6" s="3551" t="s">
        <v>2780</v>
      </c>
      <c r="H6" s="3552"/>
      <c r="I6" s="3551" t="s">
        <v>2780</v>
      </c>
      <c r="J6" s="3552"/>
      <c r="K6" s="802" t="s">
        <v>2781</v>
      </c>
      <c r="L6" s="803"/>
      <c r="M6" s="748"/>
      <c r="N6" s="748"/>
      <c r="O6" s="748"/>
      <c r="P6" s="3580"/>
      <c r="Q6" s="3581"/>
      <c r="R6" s="3584"/>
      <c r="S6" s="3585"/>
      <c r="T6" s="3586"/>
      <c r="U6" s="3587"/>
      <c r="V6" s="3559"/>
      <c r="W6" s="3559"/>
      <c r="X6" s="852"/>
      <c r="Y6" s="3586"/>
      <c r="Z6" s="3587"/>
      <c r="AA6" s="3575"/>
      <c r="AB6" s="3575"/>
      <c r="AC6" s="3575"/>
    </row>
    <row r="7" spans="1:29" s="631" customFormat="1" ht="15">
      <c r="A7" s="659" t="s">
        <v>2782</v>
      </c>
      <c r="B7" s="660"/>
      <c r="C7" s="661">
        <f>'数据-取费表'!B2</f>
        <v>45798</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555" t="s">
        <v>2783</v>
      </c>
      <c r="Q7" s="3556"/>
      <c r="R7" s="853" t="s">
        <v>2784</v>
      </c>
      <c r="S7" s="854">
        <f t="shared" ref="S7:S15" si="0">F7</f>
        <v>0</v>
      </c>
      <c r="T7" s="853" t="s">
        <v>2784</v>
      </c>
      <c r="U7" s="854">
        <f t="shared" ref="U7:U15" si="1">H7</f>
        <v>0</v>
      </c>
      <c r="V7" s="853" t="s">
        <v>2784</v>
      </c>
      <c r="W7" s="854">
        <f t="shared" ref="W7:W15" si="2">J7</f>
        <v>0</v>
      </c>
      <c r="X7" s="855"/>
      <c r="Y7" s="3555" t="s">
        <v>2783</v>
      </c>
      <c r="Z7" s="3557"/>
      <c r="AA7" s="866" t="e">
        <f>D7/F7</f>
        <v>#DIV/0!</v>
      </c>
      <c r="AB7" s="866" t="e">
        <f>D7/H7</f>
        <v>#DIV/0!</v>
      </c>
      <c r="AC7" s="866" t="e">
        <f>D7/J7</f>
        <v>#DIV/0!</v>
      </c>
    </row>
    <row r="8" spans="1:29" s="631" customFormat="1" ht="15">
      <c r="A8" s="659" t="s">
        <v>2785</v>
      </c>
      <c r="B8" s="660"/>
      <c r="C8" s="666" t="s">
        <v>2824</v>
      </c>
      <c r="D8" s="662">
        <v>100</v>
      </c>
      <c r="E8" s="666"/>
      <c r="F8" s="664">
        <f>SUMIF(72:72,E8,73:73)-SUMIF(72:72,C8,73:73)+100</f>
        <v>0</v>
      </c>
      <c r="G8" s="666"/>
      <c r="H8" s="662">
        <f>SUMIF(72:72,G8,73:73)-SUMIF(72:72,C8,73:73)+100</f>
        <v>0</v>
      </c>
      <c r="I8" s="666"/>
      <c r="J8" s="662">
        <f>SUMIF(72:72,I8,73:73)-SUMIF(72:72,C8,73:73)+100</f>
        <v>0</v>
      </c>
      <c r="K8" s="807"/>
      <c r="L8" s="808"/>
      <c r="M8" s="809"/>
      <c r="N8" s="809"/>
      <c r="O8" s="809"/>
      <c r="P8" s="3555" t="s">
        <v>2786</v>
      </c>
      <c r="Q8" s="3557"/>
      <c r="R8" s="853" t="s">
        <v>2784</v>
      </c>
      <c r="S8" s="854">
        <f t="shared" si="0"/>
        <v>0</v>
      </c>
      <c r="T8" s="853" t="s">
        <v>2784</v>
      </c>
      <c r="U8" s="854">
        <f t="shared" si="1"/>
        <v>0</v>
      </c>
      <c r="V8" s="853" t="s">
        <v>2784</v>
      </c>
      <c r="W8" s="854">
        <f t="shared" si="2"/>
        <v>0</v>
      </c>
      <c r="X8" s="855"/>
      <c r="Y8" s="3555" t="s">
        <v>2786</v>
      </c>
      <c r="Z8" s="3557"/>
      <c r="AA8" s="866" t="e">
        <f t="shared" ref="AA8:AA45" si="3">D8/F8</f>
        <v>#DIV/0!</v>
      </c>
      <c r="AB8" s="866" t="e">
        <f t="shared" ref="AB8:AB45" si="4">D8/H8</f>
        <v>#DIV/0!</v>
      </c>
      <c r="AC8" s="866" t="e">
        <f t="shared" ref="AC8:AC45" si="5">D8/J8</f>
        <v>#DIV/0!</v>
      </c>
    </row>
    <row r="9" spans="1:29" s="631" customFormat="1">
      <c r="A9" s="667" t="s">
        <v>2787</v>
      </c>
      <c r="B9" s="668" t="s">
        <v>2788</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558" t="s">
        <v>2789</v>
      </c>
      <c r="Q9" s="857" t="str">
        <f t="shared" ref="Q9:Q15" si="6">B9</f>
        <v>用途</v>
      </c>
      <c r="R9" s="853" t="s">
        <v>2784</v>
      </c>
      <c r="S9" s="854">
        <f t="shared" si="0"/>
        <v>100</v>
      </c>
      <c r="T9" s="853" t="s">
        <v>2784</v>
      </c>
      <c r="U9" s="854">
        <f t="shared" si="1"/>
        <v>100</v>
      </c>
      <c r="V9" s="853" t="s">
        <v>2784</v>
      </c>
      <c r="W9" s="854">
        <f t="shared" si="2"/>
        <v>100</v>
      </c>
      <c r="X9" s="855"/>
      <c r="Y9" s="3465" t="s">
        <v>2790</v>
      </c>
      <c r="Z9" s="866" t="str">
        <f t="shared" ref="Z9:Z15" si="7">Q9</f>
        <v>用途</v>
      </c>
      <c r="AA9" s="866">
        <f t="shared" si="3"/>
        <v>1</v>
      </c>
      <c r="AB9" s="866">
        <f t="shared" si="4"/>
        <v>1</v>
      </c>
      <c r="AC9" s="866">
        <f t="shared" si="5"/>
        <v>1</v>
      </c>
    </row>
    <row r="10" spans="1:29" s="632" customFormat="1" ht="27">
      <c r="A10" s="671"/>
      <c r="B10" s="672" t="s">
        <v>2791</v>
      </c>
      <c r="C10" s="673"/>
      <c r="D10" s="674">
        <v>100</v>
      </c>
      <c r="E10" s="970"/>
      <c r="F10" s="674">
        <f>ROUND(100/'数据-取费表'!G16,0)</f>
        <v>123</v>
      </c>
      <c r="G10" s="971"/>
      <c r="H10" s="674">
        <f>ROUND(100/'数据-取费表'!G16,0)</f>
        <v>123</v>
      </c>
      <c r="I10" s="971"/>
      <c r="J10" s="674">
        <f>ROUND(100/'数据-取费表'!G16,0)</f>
        <v>123</v>
      </c>
      <c r="K10" s="812"/>
      <c r="L10" s="813"/>
      <c r="M10" s="814"/>
      <c r="N10" s="814"/>
      <c r="O10" s="815"/>
      <c r="P10" s="3558"/>
      <c r="Q10" s="857" t="str">
        <f t="shared" si="6"/>
        <v>土地使用年限（年）</v>
      </c>
      <c r="R10" s="853" t="s">
        <v>2784</v>
      </c>
      <c r="S10" s="854">
        <f t="shared" si="0"/>
        <v>123</v>
      </c>
      <c r="T10" s="853" t="s">
        <v>2784</v>
      </c>
      <c r="U10" s="854">
        <f t="shared" si="1"/>
        <v>123</v>
      </c>
      <c r="V10" s="853" t="s">
        <v>2784</v>
      </c>
      <c r="W10" s="854">
        <f t="shared" si="2"/>
        <v>123</v>
      </c>
      <c r="X10" s="855"/>
      <c r="Y10" s="3465"/>
      <c r="Z10" s="866" t="str">
        <f t="shared" si="7"/>
        <v>土地使用年限（年）</v>
      </c>
      <c r="AA10" s="866">
        <f t="shared" si="3"/>
        <v>0.81300813008130079</v>
      </c>
      <c r="AB10" s="866">
        <f t="shared" si="4"/>
        <v>0.81300813008130079</v>
      </c>
      <c r="AC10" s="866">
        <f t="shared" si="5"/>
        <v>0.81300813008130079</v>
      </c>
    </row>
    <row r="11" spans="1:29" ht="15">
      <c r="A11" s="675"/>
      <c r="B11" s="672" t="s">
        <v>2792</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558"/>
      <c r="Q11" s="857" t="str">
        <f t="shared" si="6"/>
        <v>容积率</v>
      </c>
      <c r="R11" s="853" t="s">
        <v>2784</v>
      </c>
      <c r="S11" s="854" t="e">
        <f t="shared" si="0"/>
        <v>#N/A</v>
      </c>
      <c r="T11" s="853" t="s">
        <v>2784</v>
      </c>
      <c r="U11" s="854" t="e">
        <f t="shared" si="1"/>
        <v>#N/A</v>
      </c>
      <c r="V11" s="853" t="s">
        <v>2784</v>
      </c>
      <c r="W11" s="854" t="e">
        <f t="shared" si="2"/>
        <v>#N/A</v>
      </c>
      <c r="X11" s="855"/>
      <c r="Y11" s="3465"/>
      <c r="Z11" s="866" t="str">
        <f t="shared" si="7"/>
        <v>容积率</v>
      </c>
      <c r="AA11" s="866" t="e">
        <f t="shared" si="3"/>
        <v>#N/A</v>
      </c>
      <c r="AB11" s="866" t="e">
        <f t="shared" si="4"/>
        <v>#N/A</v>
      </c>
      <c r="AC11" s="866" t="e">
        <f t="shared" si="5"/>
        <v>#N/A</v>
      </c>
    </row>
    <row r="12" spans="1:29" s="631" customFormat="1" ht="15">
      <c r="A12" s="678"/>
      <c r="B12" s="679" t="s">
        <v>2894</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558"/>
      <c r="Q12" s="857" t="str">
        <f t="shared" si="6"/>
        <v>配建</v>
      </c>
      <c r="R12" s="853" t="s">
        <v>2784</v>
      </c>
      <c r="S12" s="854">
        <f t="shared" si="0"/>
        <v>100</v>
      </c>
      <c r="T12" s="853" t="s">
        <v>2784</v>
      </c>
      <c r="U12" s="854">
        <f t="shared" si="1"/>
        <v>100</v>
      </c>
      <c r="V12" s="853" t="s">
        <v>2784</v>
      </c>
      <c r="W12" s="854">
        <f t="shared" si="2"/>
        <v>100</v>
      </c>
      <c r="X12" s="855"/>
      <c r="Y12" s="3465"/>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558"/>
      <c r="Q13" s="857">
        <f t="shared" si="6"/>
        <v>111</v>
      </c>
      <c r="R13" s="853" t="s">
        <v>2784</v>
      </c>
      <c r="S13" s="854">
        <f t="shared" si="0"/>
        <v>100</v>
      </c>
      <c r="T13" s="853" t="s">
        <v>2784</v>
      </c>
      <c r="U13" s="854">
        <f t="shared" si="1"/>
        <v>100</v>
      </c>
      <c r="V13" s="853" t="s">
        <v>2784</v>
      </c>
      <c r="W13" s="854">
        <f t="shared" si="2"/>
        <v>100</v>
      </c>
      <c r="X13" s="855"/>
      <c r="Y13" s="3465"/>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558"/>
      <c r="Q14" s="857">
        <f t="shared" si="6"/>
        <v>111</v>
      </c>
      <c r="R14" s="853" t="s">
        <v>2784</v>
      </c>
      <c r="S14" s="854">
        <f t="shared" si="0"/>
        <v>100</v>
      </c>
      <c r="T14" s="853" t="s">
        <v>2784</v>
      </c>
      <c r="U14" s="854">
        <f t="shared" si="1"/>
        <v>100</v>
      </c>
      <c r="V14" s="853" t="s">
        <v>2784</v>
      </c>
      <c r="W14" s="854">
        <f t="shared" si="2"/>
        <v>100</v>
      </c>
      <c r="X14" s="855"/>
      <c r="Y14" s="3465"/>
      <c r="Z14" s="866">
        <f t="shared" si="7"/>
        <v>111</v>
      </c>
      <c r="AA14" s="866">
        <f t="shared" si="3"/>
        <v>1</v>
      </c>
      <c r="AB14" s="866">
        <f t="shared" si="4"/>
        <v>1</v>
      </c>
      <c r="AC14" s="866">
        <f t="shared" si="5"/>
        <v>1</v>
      </c>
    </row>
    <row r="15" spans="1:29" ht="99.75">
      <c r="A15" s="689" t="s">
        <v>2793</v>
      </c>
      <c r="B15" s="972" t="s">
        <v>2794</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566" t="s">
        <v>2795</v>
      </c>
      <c r="Q15" s="771" t="str">
        <f t="shared" si="6"/>
        <v>居住社区成熟度</v>
      </c>
      <c r="R15" s="858" t="s">
        <v>2784</v>
      </c>
      <c r="S15" s="859">
        <f t="shared" si="0"/>
        <v>100</v>
      </c>
      <c r="T15" s="858" t="s">
        <v>2784</v>
      </c>
      <c r="U15" s="859">
        <f t="shared" si="1"/>
        <v>100</v>
      </c>
      <c r="V15" s="858" t="s">
        <v>2784</v>
      </c>
      <c r="W15" s="859">
        <f t="shared" si="2"/>
        <v>100</v>
      </c>
      <c r="X15" s="852"/>
      <c r="Y15" s="3566" t="s">
        <v>2795</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567"/>
      <c r="Q16" s="771"/>
      <c r="R16" s="858"/>
      <c r="S16" s="859"/>
      <c r="T16" s="858"/>
      <c r="U16" s="859"/>
      <c r="V16" s="858"/>
      <c r="W16" s="859"/>
      <c r="X16" s="852"/>
      <c r="Y16" s="3567"/>
      <c r="Z16" s="840"/>
      <c r="AA16" s="840">
        <v>1</v>
      </c>
      <c r="AB16" s="840">
        <v>1</v>
      </c>
      <c r="AC16" s="840">
        <v>1</v>
      </c>
    </row>
    <row r="17" spans="1:29" ht="71.25">
      <c r="A17" s="675"/>
      <c r="B17" s="974" t="s">
        <v>2852</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567"/>
      <c r="Q17" s="771" t="str">
        <f>B17</f>
        <v>商业繁华度</v>
      </c>
      <c r="R17" s="858" t="s">
        <v>2784</v>
      </c>
      <c r="S17" s="859">
        <f>F17</f>
        <v>100</v>
      </c>
      <c r="T17" s="858" t="s">
        <v>2784</v>
      </c>
      <c r="U17" s="859">
        <f>H17</f>
        <v>100</v>
      </c>
      <c r="V17" s="858" t="s">
        <v>2784</v>
      </c>
      <c r="W17" s="859">
        <f>J17</f>
        <v>100</v>
      </c>
      <c r="X17" s="852"/>
      <c r="Y17" s="3567"/>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567"/>
      <c r="Q18" s="771"/>
      <c r="R18" s="858"/>
      <c r="S18" s="859"/>
      <c r="T18" s="858"/>
      <c r="U18" s="859"/>
      <c r="V18" s="858"/>
      <c r="W18" s="859"/>
      <c r="X18" s="852"/>
      <c r="Y18" s="3567"/>
      <c r="Z18" s="840"/>
      <c r="AA18" s="840">
        <v>1</v>
      </c>
      <c r="AB18" s="840">
        <v>1</v>
      </c>
      <c r="AC18" s="840">
        <v>1</v>
      </c>
    </row>
    <row r="19" spans="1:29" ht="71.25">
      <c r="A19" s="675"/>
      <c r="B19" s="974" t="s">
        <v>2864</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567"/>
      <c r="Q19" s="771" t="str">
        <f>B19</f>
        <v>办公集聚程度</v>
      </c>
      <c r="R19" s="858" t="s">
        <v>2784</v>
      </c>
      <c r="S19" s="859">
        <f>F19</f>
        <v>100</v>
      </c>
      <c r="T19" s="858" t="s">
        <v>2784</v>
      </c>
      <c r="U19" s="859">
        <f>H19</f>
        <v>100</v>
      </c>
      <c r="V19" s="858" t="s">
        <v>2784</v>
      </c>
      <c r="W19" s="859">
        <f>J19</f>
        <v>100</v>
      </c>
      <c r="X19" s="852"/>
      <c r="Y19" s="3567"/>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567"/>
      <c r="Q20" s="771"/>
      <c r="R20" s="858"/>
      <c r="S20" s="859"/>
      <c r="T20" s="858"/>
      <c r="U20" s="859"/>
      <c r="V20" s="858"/>
      <c r="W20" s="859"/>
      <c r="X20" s="852"/>
      <c r="Y20" s="3567"/>
      <c r="Z20" s="840"/>
      <c r="AA20" s="840">
        <v>1</v>
      </c>
      <c r="AB20" s="840">
        <v>1</v>
      </c>
      <c r="AC20" s="840">
        <v>1</v>
      </c>
    </row>
    <row r="21" spans="1:29" ht="85.5">
      <c r="A21" s="675"/>
      <c r="B21" s="974" t="s">
        <v>2796</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567"/>
      <c r="Q21" s="771" t="str">
        <f>B21</f>
        <v>交通便捷度</v>
      </c>
      <c r="R21" s="858" t="s">
        <v>2784</v>
      </c>
      <c r="S21" s="859">
        <f>F21</f>
        <v>100</v>
      </c>
      <c r="T21" s="858" t="s">
        <v>2784</v>
      </c>
      <c r="U21" s="859">
        <f>H21</f>
        <v>100</v>
      </c>
      <c r="V21" s="858" t="s">
        <v>2784</v>
      </c>
      <c r="W21" s="859">
        <f>J21</f>
        <v>100</v>
      </c>
      <c r="X21" s="852"/>
      <c r="Y21" s="3567"/>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567"/>
      <c r="Q22" s="771"/>
      <c r="R22" s="858"/>
      <c r="S22" s="859"/>
      <c r="T22" s="858"/>
      <c r="U22" s="859"/>
      <c r="V22" s="858"/>
      <c r="W22" s="859"/>
      <c r="X22" s="852"/>
      <c r="Y22" s="3567"/>
      <c r="Z22" s="840"/>
      <c r="AA22" s="840">
        <v>1</v>
      </c>
      <c r="AB22" s="840">
        <v>1</v>
      </c>
      <c r="AC22" s="840">
        <v>1</v>
      </c>
    </row>
    <row r="23" spans="1:29" ht="15">
      <c r="A23" s="654"/>
      <c r="B23" s="974" t="s">
        <v>2895</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567"/>
      <c r="Q23" s="771" t="str">
        <f t="shared" ref="Q23:Q38" si="8">B23</f>
        <v>区域土地利用方向</v>
      </c>
      <c r="R23" s="858" t="s">
        <v>2784</v>
      </c>
      <c r="S23" s="859">
        <f>F23</f>
        <v>100</v>
      </c>
      <c r="T23" s="858" t="s">
        <v>2784</v>
      </c>
      <c r="U23" s="859">
        <f>H23</f>
        <v>100</v>
      </c>
      <c r="V23" s="858" t="s">
        <v>2784</v>
      </c>
      <c r="W23" s="859">
        <f>J23</f>
        <v>100</v>
      </c>
      <c r="X23" s="852"/>
      <c r="Y23" s="3567"/>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567"/>
      <c r="Q24" s="771"/>
      <c r="R24" s="858"/>
      <c r="S24" s="859"/>
      <c r="T24" s="858"/>
      <c r="U24" s="859"/>
      <c r="V24" s="858"/>
      <c r="W24" s="859"/>
      <c r="X24" s="852"/>
      <c r="Y24" s="3567"/>
      <c r="Z24" s="840"/>
      <c r="AA24" s="840"/>
      <c r="AB24" s="840"/>
      <c r="AC24" s="840"/>
    </row>
    <row r="25" spans="1:29" ht="57">
      <c r="A25" s="654"/>
      <c r="B25" s="979" t="s">
        <v>2896</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567"/>
      <c r="Q25" s="771" t="str">
        <f t="shared" si="8"/>
        <v>自然及人文环境状况</v>
      </c>
      <c r="R25" s="858" t="s">
        <v>2784</v>
      </c>
      <c r="S25" s="859">
        <f>F25</f>
        <v>100</v>
      </c>
      <c r="T25" s="858" t="s">
        <v>2784</v>
      </c>
      <c r="U25" s="859">
        <f>H25</f>
        <v>100</v>
      </c>
      <c r="V25" s="858" t="s">
        <v>2784</v>
      </c>
      <c r="W25" s="859">
        <f>J25</f>
        <v>100</v>
      </c>
      <c r="X25" s="852"/>
      <c r="Y25" s="3567"/>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567"/>
      <c r="Q26" s="771"/>
      <c r="R26" s="858"/>
      <c r="S26" s="859"/>
      <c r="T26" s="858"/>
      <c r="U26" s="859"/>
      <c r="V26" s="858"/>
      <c r="W26" s="859"/>
      <c r="X26" s="852"/>
      <c r="Y26" s="3567"/>
      <c r="Z26" s="840"/>
      <c r="AA26" s="840">
        <v>1</v>
      </c>
      <c r="AB26" s="840">
        <v>1</v>
      </c>
      <c r="AC26" s="840">
        <v>1</v>
      </c>
    </row>
    <row r="27" spans="1:29" s="631" customFormat="1" ht="42.75">
      <c r="A27" s="705"/>
      <c r="B27" s="979" t="s">
        <v>2797</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567"/>
      <c r="Q27" s="857" t="str">
        <f t="shared" si="8"/>
        <v>公共配套设施</v>
      </c>
      <c r="R27" s="853" t="s">
        <v>2784</v>
      </c>
      <c r="S27" s="854">
        <f>F27</f>
        <v>100</v>
      </c>
      <c r="T27" s="853" t="s">
        <v>2784</v>
      </c>
      <c r="U27" s="854">
        <f>H27</f>
        <v>100</v>
      </c>
      <c r="V27" s="853" t="s">
        <v>2784</v>
      </c>
      <c r="W27" s="854">
        <f>J27</f>
        <v>100</v>
      </c>
      <c r="X27" s="855"/>
      <c r="Y27" s="3567"/>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567"/>
      <c r="Q28" s="857"/>
      <c r="R28" s="853"/>
      <c r="S28" s="854"/>
      <c r="T28" s="853"/>
      <c r="U28" s="854"/>
      <c r="V28" s="853"/>
      <c r="W28" s="854"/>
      <c r="X28" s="855"/>
      <c r="Y28" s="3567"/>
      <c r="Z28" s="866"/>
      <c r="AA28" s="840">
        <v>1</v>
      </c>
      <c r="AB28" s="840">
        <v>1</v>
      </c>
      <c r="AC28" s="840">
        <v>1</v>
      </c>
    </row>
    <row r="29" spans="1:29" s="631" customFormat="1" ht="28.5">
      <c r="A29" s="705"/>
      <c r="B29" s="979" t="s">
        <v>2798</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567"/>
      <c r="Q29" s="857" t="str">
        <f t="shared" ref="Q29" si="9">B29</f>
        <v>基础设施水平</v>
      </c>
      <c r="R29" s="853" t="s">
        <v>2784</v>
      </c>
      <c r="S29" s="854">
        <f>F29</f>
        <v>100</v>
      </c>
      <c r="T29" s="853" t="s">
        <v>2784</v>
      </c>
      <c r="U29" s="854">
        <f>H29</f>
        <v>100</v>
      </c>
      <c r="V29" s="853" t="s">
        <v>2784</v>
      </c>
      <c r="W29" s="854">
        <f>J29</f>
        <v>100</v>
      </c>
      <c r="X29" s="855"/>
      <c r="Y29" s="3567"/>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567"/>
      <c r="Q30" s="857"/>
      <c r="R30" s="853"/>
      <c r="S30" s="854"/>
      <c r="T30" s="853"/>
      <c r="U30" s="854"/>
      <c r="V30" s="853"/>
      <c r="W30" s="854"/>
      <c r="X30" s="855"/>
      <c r="Y30" s="3567"/>
      <c r="Z30" s="866"/>
      <c r="AA30" s="840">
        <v>1</v>
      </c>
      <c r="AB30" s="840">
        <v>1</v>
      </c>
      <c r="AC30" s="840">
        <v>1</v>
      </c>
    </row>
    <row r="31" spans="1:29" ht="15">
      <c r="A31" s="675"/>
      <c r="B31" s="722" t="s">
        <v>2853</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567"/>
      <c r="Q31" s="771" t="str">
        <f t="shared" si="8"/>
        <v>临街状况</v>
      </c>
      <c r="R31" s="858" t="s">
        <v>2784</v>
      </c>
      <c r="S31" s="859">
        <f t="shared" ref="S31:S45" si="10">F31</f>
        <v>100</v>
      </c>
      <c r="T31" s="858" t="s">
        <v>2784</v>
      </c>
      <c r="U31" s="859">
        <f t="shared" ref="U31:U45" si="11">H31</f>
        <v>100</v>
      </c>
      <c r="V31" s="858" t="s">
        <v>2784</v>
      </c>
      <c r="W31" s="859">
        <f t="shared" ref="W31:W45" si="12">J31</f>
        <v>100</v>
      </c>
      <c r="X31" s="852"/>
      <c r="Y31" s="3567"/>
      <c r="Z31" s="840" t="str">
        <f t="shared" ref="Z31:Z45" si="13">Q31</f>
        <v>临街状况</v>
      </c>
      <c r="AA31" s="840">
        <f t="shared" si="3"/>
        <v>1</v>
      </c>
      <c r="AB31" s="840">
        <f t="shared" si="4"/>
        <v>1</v>
      </c>
      <c r="AC31" s="840">
        <f t="shared" si="5"/>
        <v>1</v>
      </c>
    </row>
    <row r="32" spans="1:29" ht="27">
      <c r="A32" s="675"/>
      <c r="B32" s="979" t="s">
        <v>2866</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567"/>
      <c r="Q32" s="771" t="str">
        <f t="shared" si="8"/>
        <v>毗邻道路的类型与等级</v>
      </c>
      <c r="R32" s="858" t="s">
        <v>2784</v>
      </c>
      <c r="S32" s="859">
        <f t="shared" si="10"/>
        <v>100</v>
      </c>
      <c r="T32" s="858" t="s">
        <v>2784</v>
      </c>
      <c r="U32" s="859">
        <f t="shared" si="11"/>
        <v>100</v>
      </c>
      <c r="V32" s="858" t="s">
        <v>2784</v>
      </c>
      <c r="W32" s="859">
        <f t="shared" si="12"/>
        <v>100</v>
      </c>
      <c r="X32" s="852"/>
      <c r="Y32" s="3567"/>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567"/>
      <c r="Q33" s="771"/>
      <c r="R33" s="858"/>
      <c r="S33" s="859"/>
      <c r="T33" s="858"/>
      <c r="U33" s="859"/>
      <c r="V33" s="858"/>
      <c r="W33" s="859"/>
      <c r="X33" s="852"/>
      <c r="Y33" s="3567"/>
      <c r="Z33" s="840"/>
      <c r="AA33" s="840">
        <v>1</v>
      </c>
      <c r="AB33" s="840">
        <v>1</v>
      </c>
      <c r="AC33" s="840">
        <v>1</v>
      </c>
    </row>
    <row r="34" spans="1:29" ht="15">
      <c r="A34" s="675"/>
      <c r="B34" s="672" t="s">
        <v>2897</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567"/>
      <c r="Q34" s="771" t="str">
        <f t="shared" si="8"/>
        <v>土地级别</v>
      </c>
      <c r="R34" s="858" t="s">
        <v>2784</v>
      </c>
      <c r="S34" s="859">
        <f t="shared" si="10"/>
        <v>100</v>
      </c>
      <c r="T34" s="858" t="s">
        <v>2784</v>
      </c>
      <c r="U34" s="859">
        <f t="shared" si="11"/>
        <v>100</v>
      </c>
      <c r="V34" s="858" t="s">
        <v>2784</v>
      </c>
      <c r="W34" s="859">
        <f t="shared" si="12"/>
        <v>100</v>
      </c>
      <c r="X34" s="852"/>
      <c r="Y34" s="3567"/>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567"/>
      <c r="Q35" s="771">
        <f t="shared" si="8"/>
        <v>111</v>
      </c>
      <c r="R35" s="858" t="s">
        <v>2784</v>
      </c>
      <c r="S35" s="859">
        <f t="shared" si="10"/>
        <v>100</v>
      </c>
      <c r="T35" s="858" t="s">
        <v>2784</v>
      </c>
      <c r="U35" s="859">
        <f t="shared" si="11"/>
        <v>100</v>
      </c>
      <c r="V35" s="858" t="s">
        <v>2784</v>
      </c>
      <c r="W35" s="859">
        <f t="shared" si="12"/>
        <v>100</v>
      </c>
      <c r="X35" s="852"/>
      <c r="Y35" s="3567"/>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603" t="s">
        <v>2804</v>
      </c>
      <c r="Q36" s="771">
        <f t="shared" si="8"/>
        <v>111</v>
      </c>
      <c r="R36" s="858" t="s">
        <v>2784</v>
      </c>
      <c r="S36" s="859">
        <f t="shared" si="10"/>
        <v>100</v>
      </c>
      <c r="T36" s="858" t="s">
        <v>2784</v>
      </c>
      <c r="U36" s="859">
        <f t="shared" si="11"/>
        <v>100</v>
      </c>
      <c r="V36" s="858" t="s">
        <v>2784</v>
      </c>
      <c r="W36" s="859">
        <f t="shared" si="12"/>
        <v>100</v>
      </c>
      <c r="X36" s="852"/>
      <c r="Y36" s="3568" t="s">
        <v>2804</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568"/>
      <c r="Q37" s="771">
        <f t="shared" si="8"/>
        <v>111</v>
      </c>
      <c r="R37" s="860" t="s">
        <v>2784</v>
      </c>
      <c r="S37" s="861">
        <f t="shared" si="10"/>
        <v>100</v>
      </c>
      <c r="T37" s="860" t="s">
        <v>2784</v>
      </c>
      <c r="U37" s="861">
        <f t="shared" si="11"/>
        <v>100</v>
      </c>
      <c r="V37" s="860" t="s">
        <v>2784</v>
      </c>
      <c r="W37" s="861">
        <f t="shared" si="12"/>
        <v>100</v>
      </c>
      <c r="X37" s="862"/>
      <c r="Y37" s="3568"/>
      <c r="Z37" s="867">
        <f t="shared" si="13"/>
        <v>111</v>
      </c>
      <c r="AA37" s="840">
        <f t="shared" si="3"/>
        <v>1</v>
      </c>
      <c r="AB37" s="840">
        <f t="shared" si="4"/>
        <v>1</v>
      </c>
      <c r="AC37" s="840">
        <f t="shared" si="5"/>
        <v>1</v>
      </c>
    </row>
    <row r="38" spans="1:29" ht="15">
      <c r="A38" s="724" t="s">
        <v>2802</v>
      </c>
      <c r="B38" s="722" t="s">
        <v>2898</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568"/>
      <c r="Q38" s="771" t="str">
        <f t="shared" si="8"/>
        <v>宗地面积</v>
      </c>
      <c r="R38" s="858" t="s">
        <v>2784</v>
      </c>
      <c r="S38" s="859" t="e">
        <f t="shared" si="10"/>
        <v>#N/A</v>
      </c>
      <c r="T38" s="858" t="s">
        <v>2784</v>
      </c>
      <c r="U38" s="859" t="e">
        <f t="shared" si="11"/>
        <v>#N/A</v>
      </c>
      <c r="V38" s="858" t="s">
        <v>2784</v>
      </c>
      <c r="W38" s="859" t="e">
        <f t="shared" si="12"/>
        <v>#N/A</v>
      </c>
      <c r="X38" s="852"/>
      <c r="Y38" s="3568"/>
      <c r="Z38" s="840" t="str">
        <f t="shared" si="13"/>
        <v>宗地面积</v>
      </c>
      <c r="AA38" s="840" t="e">
        <f t="shared" si="3"/>
        <v>#N/A</v>
      </c>
      <c r="AB38" s="840" t="e">
        <f t="shared" si="4"/>
        <v>#N/A</v>
      </c>
      <c r="AC38" s="840" t="e">
        <f t="shared" si="5"/>
        <v>#N/A</v>
      </c>
    </row>
    <row r="39" spans="1:29" ht="15">
      <c r="A39" s="724"/>
      <c r="B39" s="672" t="s">
        <v>2899</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568"/>
      <c r="Q39" s="771" t="str">
        <f t="shared" ref="Q39:Q45" si="14">B39</f>
        <v>宗地形状</v>
      </c>
      <c r="R39" s="858" t="s">
        <v>2784</v>
      </c>
      <c r="S39" s="859">
        <f t="shared" si="10"/>
        <v>100</v>
      </c>
      <c r="T39" s="858" t="s">
        <v>2784</v>
      </c>
      <c r="U39" s="859">
        <f t="shared" si="11"/>
        <v>100</v>
      </c>
      <c r="V39" s="858" t="s">
        <v>2784</v>
      </c>
      <c r="W39" s="859">
        <f t="shared" si="12"/>
        <v>100</v>
      </c>
      <c r="X39" s="852"/>
      <c r="Y39" s="3568"/>
      <c r="Z39" s="840" t="str">
        <f t="shared" si="13"/>
        <v>宗地形状</v>
      </c>
      <c r="AA39" s="840">
        <f t="shared" si="3"/>
        <v>1</v>
      </c>
      <c r="AB39" s="840">
        <f t="shared" si="4"/>
        <v>1</v>
      </c>
      <c r="AC39" s="840">
        <f t="shared" si="5"/>
        <v>1</v>
      </c>
    </row>
    <row r="40" spans="1:29" ht="15">
      <c r="A40" s="724"/>
      <c r="B40" s="672" t="s">
        <v>2900</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568"/>
      <c r="Q40" s="771" t="str">
        <f t="shared" si="14"/>
        <v>临街宽度及深度</v>
      </c>
      <c r="R40" s="858" t="s">
        <v>2784</v>
      </c>
      <c r="S40" s="859">
        <f t="shared" si="10"/>
        <v>100</v>
      </c>
      <c r="T40" s="858" t="s">
        <v>2784</v>
      </c>
      <c r="U40" s="859">
        <f t="shared" si="11"/>
        <v>100</v>
      </c>
      <c r="V40" s="858" t="s">
        <v>2784</v>
      </c>
      <c r="W40" s="859">
        <f t="shared" si="12"/>
        <v>100</v>
      </c>
      <c r="X40" s="852"/>
      <c r="Y40" s="3568"/>
      <c r="Z40" s="840" t="str">
        <f t="shared" si="13"/>
        <v>临街宽度及深度</v>
      </c>
      <c r="AA40" s="840">
        <f t="shared" si="3"/>
        <v>1</v>
      </c>
      <c r="AB40" s="840">
        <f t="shared" si="4"/>
        <v>1</v>
      </c>
      <c r="AC40" s="840">
        <f t="shared" si="5"/>
        <v>1</v>
      </c>
    </row>
    <row r="41" spans="1:29" s="631" customFormat="1" ht="15">
      <c r="A41" s="726"/>
      <c r="B41" s="672" t="s">
        <v>2901</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568"/>
      <c r="Q41" s="771" t="str">
        <f t="shared" si="14"/>
        <v>宗地开发程度</v>
      </c>
      <c r="R41" s="853" t="s">
        <v>2784</v>
      </c>
      <c r="S41" s="854">
        <f t="shared" si="10"/>
        <v>100</v>
      </c>
      <c r="T41" s="853" t="s">
        <v>2784</v>
      </c>
      <c r="U41" s="854">
        <f t="shared" si="11"/>
        <v>100</v>
      </c>
      <c r="V41" s="853" t="s">
        <v>2784</v>
      </c>
      <c r="W41" s="854">
        <f t="shared" si="12"/>
        <v>100</v>
      </c>
      <c r="X41" s="855"/>
      <c r="Y41" s="3568"/>
      <c r="Z41" s="866" t="str">
        <f t="shared" si="13"/>
        <v>宗地开发程度</v>
      </c>
      <c r="AA41" s="866">
        <f t="shared" si="3"/>
        <v>1</v>
      </c>
      <c r="AB41" s="866">
        <f t="shared" si="4"/>
        <v>1</v>
      </c>
      <c r="AC41" s="866">
        <f t="shared" si="5"/>
        <v>1</v>
      </c>
    </row>
    <row r="42" spans="1:29" ht="15">
      <c r="A42" s="724"/>
      <c r="B42" s="672" t="s">
        <v>2902</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568" t="s">
        <v>2804</v>
      </c>
      <c r="Q42" s="771" t="str">
        <f t="shared" si="14"/>
        <v>工程地质条件</v>
      </c>
      <c r="R42" s="858" t="s">
        <v>2784</v>
      </c>
      <c r="S42" s="859">
        <f t="shared" si="10"/>
        <v>100</v>
      </c>
      <c r="T42" s="858" t="s">
        <v>2784</v>
      </c>
      <c r="U42" s="859">
        <f t="shared" si="11"/>
        <v>100</v>
      </c>
      <c r="V42" s="858" t="s">
        <v>2784</v>
      </c>
      <c r="W42" s="859">
        <f t="shared" si="12"/>
        <v>100</v>
      </c>
      <c r="X42" s="852"/>
      <c r="Y42" s="3568" t="s">
        <v>2804</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568"/>
      <c r="Q43" s="771">
        <f t="shared" si="14"/>
        <v>111</v>
      </c>
      <c r="R43" s="858" t="s">
        <v>2784</v>
      </c>
      <c r="S43" s="859">
        <f t="shared" si="10"/>
        <v>100</v>
      </c>
      <c r="T43" s="858" t="s">
        <v>2784</v>
      </c>
      <c r="U43" s="859">
        <f t="shared" si="11"/>
        <v>100</v>
      </c>
      <c r="V43" s="858" t="s">
        <v>2784</v>
      </c>
      <c r="W43" s="859">
        <f t="shared" si="12"/>
        <v>100</v>
      </c>
      <c r="X43" s="852"/>
      <c r="Y43" s="3568"/>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568"/>
      <c r="Q44" s="771">
        <f t="shared" si="14"/>
        <v>111</v>
      </c>
      <c r="R44" s="858" t="s">
        <v>2784</v>
      </c>
      <c r="S44" s="859">
        <f t="shared" si="10"/>
        <v>100</v>
      </c>
      <c r="T44" s="858" t="s">
        <v>2784</v>
      </c>
      <c r="U44" s="859">
        <f t="shared" si="11"/>
        <v>100</v>
      </c>
      <c r="V44" s="858" t="s">
        <v>2784</v>
      </c>
      <c r="W44" s="859">
        <f t="shared" si="12"/>
        <v>100</v>
      </c>
      <c r="X44" s="852"/>
      <c r="Y44" s="3568"/>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568"/>
      <c r="Q45" s="771">
        <f t="shared" si="14"/>
        <v>111</v>
      </c>
      <c r="R45" s="860" t="s">
        <v>2784</v>
      </c>
      <c r="S45" s="861">
        <f t="shared" si="10"/>
        <v>100</v>
      </c>
      <c r="T45" s="860" t="s">
        <v>2784</v>
      </c>
      <c r="U45" s="861">
        <f t="shared" si="11"/>
        <v>100</v>
      </c>
      <c r="V45" s="860" t="s">
        <v>2784</v>
      </c>
      <c r="W45" s="861">
        <f t="shared" si="12"/>
        <v>100</v>
      </c>
      <c r="X45" s="862"/>
      <c r="Y45" s="3568"/>
      <c r="Z45" s="867">
        <f t="shared" si="13"/>
        <v>111</v>
      </c>
      <c r="AA45" s="840">
        <f t="shared" si="3"/>
        <v>1</v>
      </c>
      <c r="AB45" s="840">
        <f t="shared" si="4"/>
        <v>1</v>
      </c>
      <c r="AC45" s="840">
        <f t="shared" si="5"/>
        <v>1</v>
      </c>
    </row>
    <row r="46" spans="1:29" ht="15">
      <c r="A46" s="731" t="s">
        <v>2884</v>
      </c>
      <c r="B46" s="732" t="s">
        <v>2903</v>
      </c>
      <c r="C46" s="733" t="s">
        <v>124</v>
      </c>
      <c r="D46" s="734"/>
      <c r="E46" s="735"/>
      <c r="F46" s="736"/>
      <c r="G46" s="737"/>
      <c r="H46" s="738"/>
      <c r="I46" s="735"/>
      <c r="J46" s="738"/>
      <c r="K46" s="831"/>
      <c r="L46" s="832"/>
      <c r="M46" s="748"/>
      <c r="N46" s="748"/>
      <c r="O46" s="748"/>
      <c r="P46" s="3558" t="str">
        <f>A46</f>
        <v>成交单价</v>
      </c>
      <c r="Q46" s="3558"/>
      <c r="R46" s="3559">
        <f>E46</f>
        <v>0</v>
      </c>
      <c r="S46" s="3559"/>
      <c r="T46" s="3559">
        <f>G46</f>
        <v>0</v>
      </c>
      <c r="U46" s="3559"/>
      <c r="V46" s="3559">
        <f>I46</f>
        <v>0</v>
      </c>
      <c r="W46" s="3559"/>
      <c r="X46" s="793"/>
      <c r="Y46" s="868"/>
      <c r="Z46" s="793"/>
      <c r="AA46" s="793"/>
      <c r="AB46" s="793"/>
      <c r="AC46" s="793"/>
    </row>
    <row r="47" spans="1:29" ht="15">
      <c r="A47" s="739" t="s">
        <v>2816</v>
      </c>
      <c r="B47" s="740"/>
      <c r="C47" s="741" t="e">
        <f>R48</f>
        <v>#DIV/0!</v>
      </c>
      <c r="D47" s="742" t="s">
        <v>2817</v>
      </c>
      <c r="E47" s="741" t="e">
        <f>R47</f>
        <v>#DIV/0!</v>
      </c>
      <c r="F47" s="743"/>
      <c r="G47" s="744" t="e">
        <f>T47</f>
        <v>#DIV/0!</v>
      </c>
      <c r="H47" s="743"/>
      <c r="I47" s="741" t="e">
        <f>V47</f>
        <v>#DIV/0!</v>
      </c>
      <c r="J47" s="743"/>
      <c r="K47" s="833">
        <f>F47+H47+J47</f>
        <v>0</v>
      </c>
      <c r="L47" s="832"/>
      <c r="M47" s="748"/>
      <c r="N47" s="748"/>
      <c r="O47" s="748"/>
      <c r="P47" s="3558" t="str">
        <f>A47</f>
        <v>比较价值（元/平方米）</v>
      </c>
      <c r="Q47" s="3558"/>
      <c r="R47" s="3606" t="e">
        <f>ROUND(PRODUCT(R46,AA7:AA45),0)</f>
        <v>#DIV/0!</v>
      </c>
      <c r="S47" s="3606"/>
      <c r="T47" s="3606" t="e">
        <f>ROUND(PRODUCT(T46,AB7:AB45),0)</f>
        <v>#DIV/0!</v>
      </c>
      <c r="U47" s="3606"/>
      <c r="V47" s="3606" t="e">
        <f>ROUND(PRODUCT(V46,AC7:AC45),0)</f>
        <v>#DIV/0!</v>
      </c>
      <c r="W47" s="3606"/>
      <c r="X47" s="793"/>
      <c r="Y47" s="793"/>
      <c r="Z47" s="793"/>
      <c r="AA47" s="793"/>
      <c r="AB47" s="793"/>
      <c r="AC47" s="793"/>
    </row>
    <row r="48" spans="1:29" ht="15">
      <c r="A48" s="745" t="s">
        <v>2904</v>
      </c>
      <c r="B48" s="746"/>
      <c r="C48" s="747" t="e">
        <f>R48</f>
        <v>#DIV/0!</v>
      </c>
      <c r="D48" s="747"/>
      <c r="E48" s="747"/>
      <c r="F48" s="747"/>
      <c r="G48" s="747"/>
      <c r="H48" s="747"/>
      <c r="I48" s="747"/>
      <c r="J48" s="747"/>
      <c r="K48" s="834"/>
      <c r="L48" s="832"/>
      <c r="M48" s="748"/>
      <c r="N48" s="748"/>
      <c r="O48" s="748"/>
      <c r="P48" s="3570" t="str">
        <f>A48</f>
        <v>估价对象XX用房的比较价值（楼面单价，元/平方米）</v>
      </c>
      <c r="Q48" s="3571"/>
      <c r="R48" s="3607" t="e">
        <f>ROUND(IF(D47="简单平均",AVERAGE(R47:W47),R47*F47+T47*H47+V47*J47),0)</f>
        <v>#DIV/0!</v>
      </c>
      <c r="S48" s="3607"/>
      <c r="T48" s="3607"/>
      <c r="U48" s="3607"/>
      <c r="V48" s="3607"/>
      <c r="W48" s="3607"/>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2819</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2820</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2821</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2905</v>
      </c>
      <c r="B55" s="760" t="s">
        <v>2906</v>
      </c>
      <c r="C55" s="761" t="s">
        <v>2907</v>
      </c>
      <c r="D55" s="762" t="s">
        <v>2908</v>
      </c>
      <c r="E55" s="763" t="s">
        <v>2909</v>
      </c>
      <c r="F55" s="982" t="s">
        <v>2910</v>
      </c>
      <c r="G55" s="3543" t="s">
        <v>2911</v>
      </c>
      <c r="H55" s="3605"/>
      <c r="I55" s="986" t="s">
        <v>2912</v>
      </c>
      <c r="J55" s="987">
        <f>项目基本情况!F35</f>
        <v>0</v>
      </c>
      <c r="K55" s="841" t="s">
        <v>2913</v>
      </c>
      <c r="L55" s="837"/>
      <c r="M55" s="748"/>
      <c r="N55" s="748"/>
      <c r="O55" s="748"/>
      <c r="P55" s="748"/>
      <c r="Q55" s="748"/>
      <c r="R55" s="748"/>
      <c r="S55" s="748"/>
      <c r="T55" s="748"/>
      <c r="U55" s="748"/>
      <c r="V55" s="748"/>
      <c r="W55" s="748"/>
      <c r="X55" s="748"/>
      <c r="Y55" s="748"/>
      <c r="Z55" s="748"/>
      <c r="AA55" s="748"/>
      <c r="AB55" s="748"/>
      <c r="AC55" s="748"/>
    </row>
    <row r="56" spans="1:29" s="635" customFormat="1">
      <c r="A56" s="766" t="s">
        <v>2914</v>
      </c>
      <c r="B56" s="767" t="e">
        <f>C48</f>
        <v>#DIV/0!</v>
      </c>
      <c r="C56" s="768">
        <v>1</v>
      </c>
      <c r="D56" s="769">
        <v>1</v>
      </c>
      <c r="E56" s="768">
        <f>'数据-汇总表'!E8+'数据-汇总表'!E9</f>
        <v>286319.48</v>
      </c>
      <c r="F56" s="983" t="e">
        <f t="shared" ref="F56:F64" si="15">ROUND(B56*E56/10000,0)</f>
        <v>#DIV/0!</v>
      </c>
      <c r="G56" s="3560"/>
      <c r="H56" s="3558"/>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2915</v>
      </c>
      <c r="B57" s="362" t="e">
        <f>ROUND($C$48*C57*D57,0)</f>
        <v>#DIV/0!</v>
      </c>
      <c r="C57" s="773">
        <f t="shared" ref="C57:C64" si="16">IF($C$55="北京市系数",I57,J57)</f>
        <v>0.6</v>
      </c>
      <c r="D57" s="774">
        <v>0.25</v>
      </c>
      <c r="E57" s="775"/>
      <c r="F57" s="983" t="e">
        <f t="shared" si="15"/>
        <v>#DIV/0!</v>
      </c>
      <c r="G57" s="776" t="s">
        <v>2916</v>
      </c>
      <c r="H57" s="777" t="str">
        <f>项目基本情况!B37</f>
        <v>六级</v>
      </c>
      <c r="I57" s="988">
        <f>SUMIF(修正!A57:A68,H57,修正!B57:B68)</f>
        <v>0.6</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2917</v>
      </c>
      <c r="B58" s="362" t="e">
        <f t="shared" ref="B58:B64" si="17">ROUND($C$48*C58*D58,0)</f>
        <v>#DIV/0!</v>
      </c>
      <c r="C58" s="773">
        <f t="shared" si="16"/>
        <v>0.3</v>
      </c>
      <c r="D58" s="774">
        <v>0.25</v>
      </c>
      <c r="E58" s="775"/>
      <c r="F58" s="983" t="e">
        <f t="shared" si="15"/>
        <v>#DIV/0!</v>
      </c>
      <c r="G58" s="778"/>
      <c r="H58" s="777" t="str">
        <f>项目基本情况!B37</f>
        <v>六级</v>
      </c>
      <c r="I58" s="988">
        <f>SUMIF(修正!A57:A68,H58,修正!C57:C68)</f>
        <v>0.3</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2918</v>
      </c>
      <c r="B59" s="362" t="e">
        <f t="shared" si="17"/>
        <v>#DIV/0!</v>
      </c>
      <c r="C59" s="773">
        <f t="shared" si="16"/>
        <v>0.25</v>
      </c>
      <c r="D59" s="774">
        <v>0.25</v>
      </c>
      <c r="E59" s="775"/>
      <c r="F59" s="983" t="e">
        <f t="shared" si="15"/>
        <v>#DIV/0!</v>
      </c>
      <c r="G59" s="778"/>
      <c r="H59" s="777" t="str">
        <f>项目基本情况!B37</f>
        <v>六级</v>
      </c>
      <c r="I59" s="988">
        <f>SUMIF(修正!A57:A68,H59,修正!D57:D68)</f>
        <v>0.25</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2919</v>
      </c>
      <c r="B60" s="362" t="e">
        <f t="shared" si="17"/>
        <v>#DIV/0!</v>
      </c>
      <c r="C60" s="773">
        <f t="shared" si="16"/>
        <v>0</v>
      </c>
      <c r="D60" s="774">
        <v>0.25</v>
      </c>
      <c r="E60" s="361">
        <f>'数据-汇总表'!E11</f>
        <v>0</v>
      </c>
      <c r="F60" s="983" t="e">
        <f t="shared" si="15"/>
        <v>#DIV/0!</v>
      </c>
      <c r="G60" s="780" t="s">
        <v>2920</v>
      </c>
      <c r="H60" s="777">
        <f>项目基本情况!C37</f>
        <v>0</v>
      </c>
      <c r="I60" s="988">
        <f>SUMIF(修正!A57:A68,H60,修正!E57:E68)</f>
        <v>0</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2921</v>
      </c>
      <c r="B61" s="362" t="e">
        <f t="shared" si="17"/>
        <v>#DIV/0!</v>
      </c>
      <c r="C61" s="773">
        <f t="shared" si="16"/>
        <v>0</v>
      </c>
      <c r="D61" s="774">
        <v>0.25</v>
      </c>
      <c r="E61" s="361">
        <f>'数据-汇总表'!E12</f>
        <v>0</v>
      </c>
      <c r="F61" s="983" t="e">
        <f t="shared" si="15"/>
        <v>#DIV/0!</v>
      </c>
      <c r="G61" s="781" t="s">
        <v>2922</v>
      </c>
      <c r="H61" s="777">
        <f>IF(G61="商业",项目基本情况!B37,IF(G61="办公",项目基本情况!C37,IF(G61="住宅",项目基本情况!D37,项目基本情况!E37)))</f>
        <v>0</v>
      </c>
      <c r="I61" s="988">
        <f>SUMIF(修正!A57:A68,H61,修正!F57:F68)</f>
        <v>0</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2923</v>
      </c>
      <c r="B62" s="362" t="e">
        <f t="shared" si="17"/>
        <v>#DIV/0!</v>
      </c>
      <c r="C62" s="773">
        <f t="shared" si="16"/>
        <v>0</v>
      </c>
      <c r="D62" s="774">
        <v>0.25</v>
      </c>
      <c r="E62" s="361">
        <f>'数据-汇总表'!E13</f>
        <v>0</v>
      </c>
      <c r="F62" s="983" t="e">
        <f t="shared" si="15"/>
        <v>#DIV/0!</v>
      </c>
      <c r="G62" s="781" t="s">
        <v>2924</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2925</v>
      </c>
      <c r="B63" s="362" t="e">
        <f t="shared" si="17"/>
        <v>#DIV/0!</v>
      </c>
      <c r="C63" s="773">
        <f t="shared" si="16"/>
        <v>0.15</v>
      </c>
      <c r="D63" s="774">
        <v>0.25</v>
      </c>
      <c r="E63" s="361">
        <f>'数据-汇总表'!E14</f>
        <v>301355.98</v>
      </c>
      <c r="F63" s="983" t="e">
        <f t="shared" si="15"/>
        <v>#DIV/0!</v>
      </c>
      <c r="G63" s="780" t="s">
        <v>2916</v>
      </c>
      <c r="H63" s="777" t="str">
        <f>项目基本情况!B37</f>
        <v>六级</v>
      </c>
      <c r="I63" s="988">
        <f>SUMIF(修正!A57:A68,H63,修正!G57:G68)</f>
        <v>0.15</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2926</v>
      </c>
      <c r="B64" s="362" t="e">
        <f t="shared" si="17"/>
        <v>#DIV/0!</v>
      </c>
      <c r="C64" s="773">
        <f t="shared" si="16"/>
        <v>0</v>
      </c>
      <c r="D64" s="774">
        <v>0.25</v>
      </c>
      <c r="E64" s="361">
        <f>'数据-汇总表'!E15</f>
        <v>0</v>
      </c>
      <c r="F64" s="983" t="e">
        <f t="shared" si="15"/>
        <v>#DIV/0!</v>
      </c>
      <c r="G64" s="782" t="s">
        <v>2920</v>
      </c>
      <c r="H64" s="783">
        <f>项目基本情况!C37</f>
        <v>0</v>
      </c>
      <c r="I64" s="991">
        <f>SUMIF(修正!A57:A68,H64,修正!G57:G68)</f>
        <v>0</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2927</v>
      </c>
      <c r="B65" s="785" t="s">
        <v>2928</v>
      </c>
      <c r="C65" s="785" t="s">
        <v>2928</v>
      </c>
      <c r="D65" s="785" t="s">
        <v>2928</v>
      </c>
      <c r="E65" s="785">
        <f>IF(B46="楼面地价",SUM(E56:E64),'数据-汇总表'!D3)</f>
        <v>587675.46</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2025-5-1</v>
      </c>
      <c r="D67" s="791">
        <f>EDATE(C67,-3)</f>
        <v>45689</v>
      </c>
      <c r="E67" s="791">
        <f>EDATE(D67,-3)</f>
        <v>45597</v>
      </c>
      <c r="F67" s="791">
        <f t="shared" ref="F67:O67" si="18">EDATE(E67,-3)</f>
        <v>45505</v>
      </c>
      <c r="G67" s="791">
        <f t="shared" si="18"/>
        <v>45413</v>
      </c>
      <c r="H67" s="791">
        <f t="shared" si="18"/>
        <v>45323</v>
      </c>
      <c r="I67" s="791">
        <f t="shared" si="18"/>
        <v>45231</v>
      </c>
      <c r="J67" s="791">
        <f t="shared" si="18"/>
        <v>45139</v>
      </c>
      <c r="K67" s="791">
        <f t="shared" si="18"/>
        <v>45047</v>
      </c>
      <c r="L67" s="791">
        <f t="shared" si="18"/>
        <v>44958</v>
      </c>
      <c r="M67" s="791">
        <f t="shared" si="18"/>
        <v>44866</v>
      </c>
      <c r="N67" s="791">
        <f t="shared" si="18"/>
        <v>44774</v>
      </c>
      <c r="O67" s="791">
        <f t="shared" si="18"/>
        <v>44682</v>
      </c>
      <c r="P67" s="748"/>
      <c r="Q67" s="748"/>
      <c r="R67" s="748"/>
      <c r="S67" s="748"/>
      <c r="T67" s="748"/>
      <c r="U67" s="748"/>
      <c r="V67" s="748"/>
      <c r="W67" s="748"/>
      <c r="X67" s="748"/>
      <c r="Y67" s="748"/>
      <c r="Z67" s="748"/>
      <c r="AA67" s="748"/>
      <c r="AB67" s="748"/>
      <c r="AC67" s="748"/>
    </row>
    <row r="68" spans="1:29" ht="21">
      <c r="A68" s="792" t="s">
        <v>2822</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2929</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2930</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2823</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2785</v>
      </c>
      <c r="B72" s="880"/>
      <c r="C72" s="881" t="s">
        <v>2824</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2825</v>
      </c>
      <c r="B74" s="885" t="s">
        <v>2788</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2791</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2792</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2793</v>
      </c>
      <c r="B87" s="885" t="s">
        <v>2794</v>
      </c>
      <c r="C87" s="905" t="s">
        <v>1349</v>
      </c>
      <c r="D87" s="905" t="s">
        <v>1350</v>
      </c>
      <c r="E87" s="905" t="s">
        <v>1351</v>
      </c>
      <c r="F87" s="905" t="s">
        <v>1352</v>
      </c>
      <c r="G87" s="905" t="s">
        <v>1353</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2852</v>
      </c>
      <c r="C89" s="906" t="s">
        <v>1349</v>
      </c>
      <c r="D89" s="906" t="s">
        <v>1350</v>
      </c>
      <c r="E89" s="906" t="s">
        <v>1351</v>
      </c>
      <c r="F89" s="906" t="s">
        <v>1352</v>
      </c>
      <c r="G89" s="906" t="s">
        <v>1353</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2864</v>
      </c>
      <c r="C91" s="906" t="s">
        <v>1349</v>
      </c>
      <c r="D91" s="906" t="s">
        <v>1350</v>
      </c>
      <c r="E91" s="906" t="s">
        <v>1351</v>
      </c>
      <c r="F91" s="906" t="s">
        <v>1352</v>
      </c>
      <c r="G91" s="906" t="s">
        <v>1353</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2796</v>
      </c>
      <c r="C93" s="906" t="s">
        <v>1349</v>
      </c>
      <c r="D93" s="906" t="s">
        <v>1350</v>
      </c>
      <c r="E93" s="906" t="s">
        <v>1351</v>
      </c>
      <c r="F93" s="906" t="s">
        <v>1352</v>
      </c>
      <c r="G93" s="906" t="s">
        <v>1353</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2895</v>
      </c>
      <c r="C95" s="906" t="s">
        <v>1349</v>
      </c>
      <c r="D95" s="906" t="s">
        <v>1350</v>
      </c>
      <c r="E95" s="906" t="s">
        <v>1351</v>
      </c>
      <c r="F95" s="906" t="s">
        <v>1352</v>
      </c>
      <c r="G95" s="906" t="s">
        <v>1353</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2896</v>
      </c>
      <c r="C97" s="905" t="s">
        <v>1349</v>
      </c>
      <c r="D97" s="905" t="s">
        <v>1350</v>
      </c>
      <c r="E97" s="905" t="s">
        <v>1351</v>
      </c>
      <c r="F97" s="905" t="s">
        <v>1352</v>
      </c>
      <c r="G97" s="905" t="s">
        <v>1353</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2797</v>
      </c>
      <c r="C99" s="905" t="s">
        <v>1349</v>
      </c>
      <c r="D99" s="905" t="s">
        <v>1350</v>
      </c>
      <c r="E99" s="905" t="s">
        <v>1351</v>
      </c>
      <c r="F99" s="905" t="s">
        <v>1352</v>
      </c>
      <c r="G99" s="905" t="s">
        <v>1353</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2798</v>
      </c>
      <c r="C101" s="821" t="s">
        <v>2826</v>
      </c>
      <c r="D101" s="821" t="s">
        <v>2827</v>
      </c>
      <c r="E101" s="821" t="s">
        <v>2828</v>
      </c>
      <c r="F101" s="821" t="s">
        <v>2829</v>
      </c>
      <c r="G101" s="821" t="s">
        <v>2830</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2931</v>
      </c>
      <c r="D103" s="889" t="s">
        <v>2932</v>
      </c>
      <c r="E103" s="889" t="s">
        <v>2933</v>
      </c>
      <c r="F103" s="889" t="s">
        <v>2934</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2866</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2897</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2802</v>
      </c>
      <c r="B115" s="885" t="s">
        <v>2898</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2899</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2900</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2901</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2902</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2892</v>
      </c>
      <c r="B1" s="641"/>
      <c r="C1" s="642" t="s">
        <v>2870</v>
      </c>
      <c r="D1" s="643"/>
      <c r="E1" s="643"/>
      <c r="F1" s="644" t="s">
        <v>2768</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1028</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1030</v>
      </c>
      <c r="B3" s="648" t="e">
        <f>ROUND(IF(D3="",B2*10000/'数据-汇总表'!E3,B2*10000/D3),0)</f>
        <v>#DIV/0!</v>
      </c>
      <c r="C3" s="348" t="s">
        <v>1187</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2769</v>
      </c>
      <c r="B4" s="651"/>
      <c r="C4" s="3543" t="s">
        <v>2770</v>
      </c>
      <c r="D4" s="3544"/>
      <c r="E4" s="3545" t="s">
        <v>2771</v>
      </c>
      <c r="F4" s="3546"/>
      <c r="G4" s="3543" t="s">
        <v>2772</v>
      </c>
      <c r="H4" s="3544"/>
      <c r="I4" s="3543" t="s">
        <v>2773</v>
      </c>
      <c r="J4" s="3544"/>
      <c r="K4" s="802" t="s">
        <v>2774</v>
      </c>
      <c r="L4" s="803"/>
      <c r="M4" s="748"/>
      <c r="N4" s="748"/>
      <c r="O4" s="748"/>
      <c r="P4" s="3576" t="s">
        <v>2775</v>
      </c>
      <c r="Q4" s="3577"/>
      <c r="R4" s="3582" t="s">
        <v>2771</v>
      </c>
      <c r="S4" s="3583"/>
      <c r="T4" s="3582" t="s">
        <v>2772</v>
      </c>
      <c r="U4" s="3583"/>
      <c r="V4" s="3559" t="s">
        <v>2773</v>
      </c>
      <c r="W4" s="3559"/>
      <c r="X4" s="852"/>
      <c r="Y4" s="3582" t="s">
        <v>2775</v>
      </c>
      <c r="Z4" s="3583"/>
      <c r="AA4" s="3573" t="s">
        <v>2771</v>
      </c>
      <c r="AB4" s="3574" t="s">
        <v>2772</v>
      </c>
      <c r="AC4" s="3573" t="s">
        <v>2773</v>
      </c>
    </row>
    <row r="5" spans="1:29" ht="15">
      <c r="A5" s="654"/>
      <c r="B5" s="655"/>
      <c r="C5" s="3547" t="s">
        <v>2776</v>
      </c>
      <c r="D5" s="3548"/>
      <c r="E5" s="3549" t="s">
        <v>2777</v>
      </c>
      <c r="F5" s="3550"/>
      <c r="G5" s="3547" t="s">
        <v>2778</v>
      </c>
      <c r="H5" s="3548"/>
      <c r="I5" s="3547" t="s">
        <v>2779</v>
      </c>
      <c r="J5" s="3548"/>
      <c r="K5" s="802"/>
      <c r="L5" s="803"/>
      <c r="M5" s="748"/>
      <c r="N5" s="748"/>
      <c r="O5" s="748"/>
      <c r="P5" s="3578"/>
      <c r="Q5" s="3579"/>
      <c r="R5" s="3584"/>
      <c r="S5" s="3585"/>
      <c r="T5" s="3584"/>
      <c r="U5" s="3585"/>
      <c r="V5" s="3559"/>
      <c r="W5" s="3559"/>
      <c r="X5" s="852"/>
      <c r="Y5" s="3584"/>
      <c r="Z5" s="3585"/>
      <c r="AA5" s="3574"/>
      <c r="AB5" s="3574"/>
      <c r="AC5" s="3574"/>
    </row>
    <row r="6" spans="1:29" ht="15">
      <c r="A6" s="656"/>
      <c r="B6" s="657"/>
      <c r="C6" s="3608" t="s">
        <v>2935</v>
      </c>
      <c r="D6" s="3609"/>
      <c r="E6" s="3610" t="s">
        <v>2935</v>
      </c>
      <c r="F6" s="3611"/>
      <c r="G6" s="3608" t="s">
        <v>2935</v>
      </c>
      <c r="H6" s="3609"/>
      <c r="I6" s="3608" t="s">
        <v>2935</v>
      </c>
      <c r="J6" s="3609"/>
      <c r="K6" s="802" t="s">
        <v>2781</v>
      </c>
      <c r="L6" s="803"/>
      <c r="M6" s="748"/>
      <c r="N6" s="748"/>
      <c r="O6" s="748"/>
      <c r="P6" s="3580"/>
      <c r="Q6" s="3581"/>
      <c r="R6" s="3584"/>
      <c r="S6" s="3585"/>
      <c r="T6" s="3586"/>
      <c r="U6" s="3587"/>
      <c r="V6" s="3559"/>
      <c r="W6" s="3559"/>
      <c r="X6" s="852"/>
      <c r="Y6" s="3586"/>
      <c r="Z6" s="3587"/>
      <c r="AA6" s="3575"/>
      <c r="AB6" s="3575"/>
      <c r="AC6" s="3575"/>
    </row>
    <row r="7" spans="1:29" s="631" customFormat="1" ht="15">
      <c r="A7" s="659" t="s">
        <v>2782</v>
      </c>
      <c r="B7" s="660"/>
      <c r="C7" s="661">
        <f>'数据-取费表'!B2</f>
        <v>45798</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555" t="s">
        <v>2783</v>
      </c>
      <c r="Q7" s="3556"/>
      <c r="R7" s="853" t="s">
        <v>2784</v>
      </c>
      <c r="S7" s="854">
        <f t="shared" ref="S7:S15" si="0">F7</f>
        <v>0</v>
      </c>
      <c r="T7" s="853" t="s">
        <v>2784</v>
      </c>
      <c r="U7" s="854">
        <f t="shared" ref="U7:U15" si="1">H7</f>
        <v>0</v>
      </c>
      <c r="V7" s="853" t="s">
        <v>2784</v>
      </c>
      <c r="W7" s="854">
        <f t="shared" ref="W7:W15" si="2">J7</f>
        <v>0</v>
      </c>
      <c r="X7" s="855"/>
      <c r="Y7" s="3555" t="s">
        <v>2783</v>
      </c>
      <c r="Z7" s="3557"/>
      <c r="AA7" s="866" t="e">
        <f>D7/F7</f>
        <v>#DIV/0!</v>
      </c>
      <c r="AB7" s="866" t="e">
        <f>D7/H7</f>
        <v>#DIV/0!</v>
      </c>
      <c r="AC7" s="866" t="e">
        <f>D7/J7</f>
        <v>#DIV/0!</v>
      </c>
    </row>
    <row r="8" spans="1:29" s="631" customFormat="1" ht="15">
      <c r="A8" s="659" t="s">
        <v>2785</v>
      </c>
      <c r="B8" s="660"/>
      <c r="C8" s="666" t="s">
        <v>2824</v>
      </c>
      <c r="D8" s="662">
        <v>100</v>
      </c>
      <c r="E8" s="666"/>
      <c r="F8" s="664">
        <f>SUMIF(68:68,E8,69:69)-SUMIF(68:68,C8,69:69)+100</f>
        <v>0</v>
      </c>
      <c r="G8" s="666"/>
      <c r="H8" s="662">
        <f>SUMIF(68:68,G8,69:69)-SUMIF(68:68,C8,69:69)+100</f>
        <v>0</v>
      </c>
      <c r="I8" s="666"/>
      <c r="J8" s="662">
        <f>SUMIF(68:68,I8,69:69)-SUMIF(68:68,C8,69:69)+100</f>
        <v>0</v>
      </c>
      <c r="K8" s="807"/>
      <c r="L8" s="808"/>
      <c r="M8" s="809"/>
      <c r="N8" s="809"/>
      <c r="O8" s="809"/>
      <c r="P8" s="3555" t="s">
        <v>2786</v>
      </c>
      <c r="Q8" s="3557"/>
      <c r="R8" s="853" t="s">
        <v>2784</v>
      </c>
      <c r="S8" s="854">
        <f t="shared" si="0"/>
        <v>0</v>
      </c>
      <c r="T8" s="853" t="s">
        <v>2784</v>
      </c>
      <c r="U8" s="854">
        <f t="shared" si="1"/>
        <v>0</v>
      </c>
      <c r="V8" s="853" t="s">
        <v>2784</v>
      </c>
      <c r="W8" s="854">
        <f t="shared" si="2"/>
        <v>0</v>
      </c>
      <c r="X8" s="855"/>
      <c r="Y8" s="3555" t="s">
        <v>2786</v>
      </c>
      <c r="Z8" s="3557"/>
      <c r="AA8" s="866" t="e">
        <f t="shared" ref="AA8:AA40" si="3">D8/F8</f>
        <v>#DIV/0!</v>
      </c>
      <c r="AB8" s="866" t="e">
        <f t="shared" ref="AB8:AB40" si="4">D8/H8</f>
        <v>#DIV/0!</v>
      </c>
      <c r="AC8" s="866" t="e">
        <f t="shared" ref="AC8:AC40" si="5">D8/J8</f>
        <v>#DIV/0!</v>
      </c>
    </row>
    <row r="9" spans="1:29" s="631" customFormat="1">
      <c r="A9" s="667" t="s">
        <v>2787</v>
      </c>
      <c r="B9" s="668" t="s">
        <v>2788</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558" t="s">
        <v>2789</v>
      </c>
      <c r="Q9" s="857" t="str">
        <f t="shared" ref="Q9:Q15" si="6">B9</f>
        <v>用途</v>
      </c>
      <c r="R9" s="853" t="s">
        <v>2784</v>
      </c>
      <c r="S9" s="854">
        <f t="shared" si="0"/>
        <v>100</v>
      </c>
      <c r="T9" s="853" t="s">
        <v>2784</v>
      </c>
      <c r="U9" s="854">
        <f t="shared" si="1"/>
        <v>100</v>
      </c>
      <c r="V9" s="853" t="s">
        <v>2784</v>
      </c>
      <c r="W9" s="854">
        <f t="shared" si="2"/>
        <v>100</v>
      </c>
      <c r="X9" s="855"/>
      <c r="Y9" s="3465" t="s">
        <v>2790</v>
      </c>
      <c r="Z9" s="866" t="str">
        <f t="shared" ref="Z9:Z15" si="7">Q9</f>
        <v>用途</v>
      </c>
      <c r="AA9" s="866">
        <f t="shared" si="3"/>
        <v>1</v>
      </c>
      <c r="AB9" s="866">
        <f t="shared" si="4"/>
        <v>1</v>
      </c>
      <c r="AC9" s="866">
        <f t="shared" si="5"/>
        <v>1</v>
      </c>
    </row>
    <row r="10" spans="1:29" s="632" customFormat="1" ht="27">
      <c r="A10" s="671"/>
      <c r="B10" s="672" t="s">
        <v>2791</v>
      </c>
      <c r="C10" s="673"/>
      <c r="D10" s="674">
        <v>100</v>
      </c>
      <c r="E10" s="673"/>
      <c r="F10" s="674">
        <f>ROUND(100/'数据-取费表'!G16,0)</f>
        <v>123</v>
      </c>
      <c r="G10" s="673"/>
      <c r="H10" s="674">
        <f>ROUND(100/'数据-取费表'!G16,0)</f>
        <v>123</v>
      </c>
      <c r="I10" s="673"/>
      <c r="J10" s="674">
        <f>ROUND(100/'数据-取费表'!G16,0)</f>
        <v>123</v>
      </c>
      <c r="K10" s="812"/>
      <c r="L10" s="813"/>
      <c r="M10" s="814"/>
      <c r="N10" s="814"/>
      <c r="O10" s="815"/>
      <c r="P10" s="3558"/>
      <c r="Q10" s="857" t="str">
        <f t="shared" si="6"/>
        <v>土地使用年限（年）</v>
      </c>
      <c r="R10" s="853" t="s">
        <v>2784</v>
      </c>
      <c r="S10" s="854">
        <f t="shared" si="0"/>
        <v>123</v>
      </c>
      <c r="T10" s="853" t="s">
        <v>2784</v>
      </c>
      <c r="U10" s="854">
        <f t="shared" si="1"/>
        <v>123</v>
      </c>
      <c r="V10" s="853" t="s">
        <v>2784</v>
      </c>
      <c r="W10" s="854">
        <f t="shared" si="2"/>
        <v>123</v>
      </c>
      <c r="X10" s="855"/>
      <c r="Y10" s="3465"/>
      <c r="Z10" s="866" t="str">
        <f t="shared" si="7"/>
        <v>土地使用年限（年）</v>
      </c>
      <c r="AA10" s="866">
        <f t="shared" si="3"/>
        <v>0.81300813008130079</v>
      </c>
      <c r="AB10" s="866">
        <f t="shared" si="4"/>
        <v>0.81300813008130079</v>
      </c>
      <c r="AC10" s="866">
        <f t="shared" si="5"/>
        <v>0.81300813008130079</v>
      </c>
    </row>
    <row r="11" spans="1:29" ht="15">
      <c r="A11" s="675"/>
      <c r="B11" s="672" t="s">
        <v>2792</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558"/>
      <c r="Q11" s="857" t="str">
        <f t="shared" si="6"/>
        <v>容积率</v>
      </c>
      <c r="R11" s="853" t="s">
        <v>2784</v>
      </c>
      <c r="S11" s="854" t="e">
        <f t="shared" si="0"/>
        <v>#N/A</v>
      </c>
      <c r="T11" s="853" t="s">
        <v>2784</v>
      </c>
      <c r="U11" s="854" t="e">
        <f t="shared" si="1"/>
        <v>#N/A</v>
      </c>
      <c r="V11" s="853" t="s">
        <v>2784</v>
      </c>
      <c r="W11" s="854" t="e">
        <f t="shared" si="2"/>
        <v>#N/A</v>
      </c>
      <c r="X11" s="855"/>
      <c r="Y11" s="3465"/>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558"/>
      <c r="Q12" s="857">
        <f t="shared" si="6"/>
        <v>111</v>
      </c>
      <c r="R12" s="853" t="s">
        <v>2784</v>
      </c>
      <c r="S12" s="854">
        <f t="shared" si="0"/>
        <v>100</v>
      </c>
      <c r="T12" s="853" t="s">
        <v>2784</v>
      </c>
      <c r="U12" s="854">
        <f t="shared" si="1"/>
        <v>100</v>
      </c>
      <c r="V12" s="853" t="s">
        <v>2784</v>
      </c>
      <c r="W12" s="854">
        <f t="shared" si="2"/>
        <v>100</v>
      </c>
      <c r="X12" s="855"/>
      <c r="Y12" s="3465"/>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558"/>
      <c r="Q13" s="857">
        <f t="shared" si="6"/>
        <v>111</v>
      </c>
      <c r="R13" s="853" t="s">
        <v>2784</v>
      </c>
      <c r="S13" s="854">
        <f t="shared" si="0"/>
        <v>100</v>
      </c>
      <c r="T13" s="853" t="s">
        <v>2784</v>
      </c>
      <c r="U13" s="854">
        <f t="shared" si="1"/>
        <v>100</v>
      </c>
      <c r="V13" s="853" t="s">
        <v>2784</v>
      </c>
      <c r="W13" s="854">
        <f t="shared" si="2"/>
        <v>100</v>
      </c>
      <c r="X13" s="855"/>
      <c r="Y13" s="3465"/>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558"/>
      <c r="Q14" s="857">
        <f t="shared" si="6"/>
        <v>111</v>
      </c>
      <c r="R14" s="853" t="s">
        <v>2784</v>
      </c>
      <c r="S14" s="854">
        <f t="shared" si="0"/>
        <v>100</v>
      </c>
      <c r="T14" s="853" t="s">
        <v>2784</v>
      </c>
      <c r="U14" s="854">
        <f t="shared" si="1"/>
        <v>100</v>
      </c>
      <c r="V14" s="853" t="s">
        <v>2784</v>
      </c>
      <c r="W14" s="854">
        <f t="shared" si="2"/>
        <v>100</v>
      </c>
      <c r="X14" s="855"/>
      <c r="Y14" s="3465"/>
      <c r="Z14" s="866">
        <f t="shared" si="7"/>
        <v>111</v>
      </c>
      <c r="AA14" s="866">
        <f t="shared" si="3"/>
        <v>1</v>
      </c>
      <c r="AB14" s="866">
        <f t="shared" si="4"/>
        <v>1</v>
      </c>
      <c r="AC14" s="866">
        <f t="shared" si="5"/>
        <v>1</v>
      </c>
    </row>
    <row r="15" spans="1:29" ht="57">
      <c r="A15" s="689" t="s">
        <v>2793</v>
      </c>
      <c r="B15" s="690" t="s">
        <v>2871</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566" t="s">
        <v>2795</v>
      </c>
      <c r="Q15" s="771" t="str">
        <f t="shared" si="6"/>
        <v>产业集聚程度</v>
      </c>
      <c r="R15" s="858" t="s">
        <v>2784</v>
      </c>
      <c r="S15" s="859">
        <f t="shared" si="0"/>
        <v>100</v>
      </c>
      <c r="T15" s="858" t="s">
        <v>2784</v>
      </c>
      <c r="U15" s="859">
        <f t="shared" si="1"/>
        <v>100</v>
      </c>
      <c r="V15" s="858" t="s">
        <v>2784</v>
      </c>
      <c r="W15" s="859">
        <f t="shared" si="2"/>
        <v>100</v>
      </c>
      <c r="X15" s="852"/>
      <c r="Y15" s="3566" t="s">
        <v>2795</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567"/>
      <c r="Q16" s="771"/>
      <c r="R16" s="858"/>
      <c r="S16" s="859"/>
      <c r="T16" s="858"/>
      <c r="U16" s="859"/>
      <c r="V16" s="858"/>
      <c r="W16" s="859"/>
      <c r="X16" s="852"/>
      <c r="Y16" s="3567"/>
      <c r="Z16" s="840"/>
      <c r="AA16" s="840">
        <v>1</v>
      </c>
      <c r="AB16" s="840">
        <v>1</v>
      </c>
      <c r="AC16" s="840">
        <v>1</v>
      </c>
    </row>
    <row r="17" spans="1:29" ht="85.5">
      <c r="A17" s="675"/>
      <c r="B17" s="699" t="s">
        <v>2796</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567"/>
      <c r="Q17" s="771" t="str">
        <f>B17</f>
        <v>交通便捷度</v>
      </c>
      <c r="R17" s="858" t="s">
        <v>2784</v>
      </c>
      <c r="S17" s="859">
        <f>F17</f>
        <v>100</v>
      </c>
      <c r="T17" s="858" t="s">
        <v>2784</v>
      </c>
      <c r="U17" s="859">
        <f>H17</f>
        <v>100</v>
      </c>
      <c r="V17" s="858" t="s">
        <v>2784</v>
      </c>
      <c r="W17" s="859">
        <f>J17</f>
        <v>100</v>
      </c>
      <c r="X17" s="852"/>
      <c r="Y17" s="3567"/>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567"/>
      <c r="Q18" s="771"/>
      <c r="R18" s="858"/>
      <c r="S18" s="859"/>
      <c r="T18" s="858"/>
      <c r="U18" s="859"/>
      <c r="V18" s="858"/>
      <c r="W18" s="859"/>
      <c r="X18" s="852"/>
      <c r="Y18" s="3567"/>
      <c r="Z18" s="840"/>
      <c r="AA18" s="840">
        <v>1</v>
      </c>
      <c r="AB18" s="840">
        <v>1</v>
      </c>
      <c r="AC18" s="840">
        <v>1</v>
      </c>
    </row>
    <row r="19" spans="1:29" ht="15">
      <c r="A19" s="675"/>
      <c r="B19" s="699" t="s">
        <v>2895</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567"/>
      <c r="Q19" s="771" t="str">
        <f t="shared" ref="Q19:Q34" si="8">B19</f>
        <v>区域土地利用方向</v>
      </c>
      <c r="R19" s="858" t="s">
        <v>2784</v>
      </c>
      <c r="S19" s="859">
        <f>F19</f>
        <v>100</v>
      </c>
      <c r="T19" s="858" t="s">
        <v>2784</v>
      </c>
      <c r="U19" s="859">
        <f>H19</f>
        <v>100</v>
      </c>
      <c r="V19" s="858" t="s">
        <v>2784</v>
      </c>
      <c r="W19" s="859">
        <f>J19</f>
        <v>100</v>
      </c>
      <c r="X19" s="852"/>
      <c r="Y19" s="3567"/>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567"/>
      <c r="Q20" s="771"/>
      <c r="R20" s="858"/>
      <c r="S20" s="859"/>
      <c r="T20" s="858"/>
      <c r="U20" s="859"/>
      <c r="V20" s="858"/>
      <c r="W20" s="859"/>
      <c r="X20" s="852"/>
      <c r="Y20" s="3567"/>
      <c r="Z20" s="840"/>
      <c r="AA20" s="840"/>
      <c r="AB20" s="840"/>
      <c r="AC20" s="840"/>
    </row>
    <row r="21" spans="1:29" ht="71.25">
      <c r="A21" s="654"/>
      <c r="B21" s="699" t="s">
        <v>2936</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567"/>
      <c r="Q21" s="771" t="str">
        <f t="shared" si="8"/>
        <v>环境状况</v>
      </c>
      <c r="R21" s="858" t="s">
        <v>2784</v>
      </c>
      <c r="S21" s="859">
        <f>F21</f>
        <v>100</v>
      </c>
      <c r="T21" s="858" t="s">
        <v>2784</v>
      </c>
      <c r="U21" s="859">
        <f>H21</f>
        <v>100</v>
      </c>
      <c r="V21" s="858" t="s">
        <v>2784</v>
      </c>
      <c r="W21" s="859">
        <f>J21</f>
        <v>100</v>
      </c>
      <c r="X21" s="852"/>
      <c r="Y21" s="3567"/>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567"/>
      <c r="Q22" s="771"/>
      <c r="R22" s="858"/>
      <c r="S22" s="859"/>
      <c r="T22" s="858"/>
      <c r="U22" s="859"/>
      <c r="V22" s="858"/>
      <c r="W22" s="859"/>
      <c r="X22" s="852"/>
      <c r="Y22" s="3567"/>
      <c r="Z22" s="840"/>
      <c r="AA22" s="840">
        <v>1</v>
      </c>
      <c r="AB22" s="840">
        <v>1</v>
      </c>
      <c r="AC22" s="840">
        <v>1</v>
      </c>
    </row>
    <row r="23" spans="1:29" s="631" customFormat="1" ht="42.75">
      <c r="A23" s="705"/>
      <c r="B23" s="706" t="s">
        <v>2797</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567"/>
      <c r="Q23" s="857" t="str">
        <f t="shared" si="8"/>
        <v>公共配套设施</v>
      </c>
      <c r="R23" s="853" t="s">
        <v>2784</v>
      </c>
      <c r="S23" s="854">
        <f>F23</f>
        <v>100</v>
      </c>
      <c r="T23" s="853" t="s">
        <v>2784</v>
      </c>
      <c r="U23" s="854">
        <f>H23</f>
        <v>100</v>
      </c>
      <c r="V23" s="853" t="s">
        <v>2784</v>
      </c>
      <c r="W23" s="854">
        <f>J23</f>
        <v>100</v>
      </c>
      <c r="X23" s="855"/>
      <c r="Y23" s="3567"/>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567"/>
      <c r="Q24" s="857"/>
      <c r="R24" s="853"/>
      <c r="S24" s="854"/>
      <c r="T24" s="853"/>
      <c r="U24" s="854"/>
      <c r="V24" s="853"/>
      <c r="W24" s="854"/>
      <c r="X24" s="855"/>
      <c r="Y24" s="3567"/>
      <c r="Z24" s="866"/>
      <c r="AA24" s="866">
        <v>1</v>
      </c>
      <c r="AB24" s="866">
        <v>1</v>
      </c>
      <c r="AC24" s="866">
        <v>1</v>
      </c>
    </row>
    <row r="25" spans="1:29" s="631" customFormat="1" ht="28.5">
      <c r="A25" s="705"/>
      <c r="B25" s="706" t="s">
        <v>2798</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567"/>
      <c r="Q25" s="857" t="str">
        <f t="shared" ref="Q25" si="9">B25</f>
        <v>基础设施水平</v>
      </c>
      <c r="R25" s="853" t="s">
        <v>2784</v>
      </c>
      <c r="S25" s="854">
        <f>F25</f>
        <v>100</v>
      </c>
      <c r="T25" s="853" t="s">
        <v>2784</v>
      </c>
      <c r="U25" s="854">
        <f>H25</f>
        <v>100</v>
      </c>
      <c r="V25" s="853" t="s">
        <v>2784</v>
      </c>
      <c r="W25" s="854">
        <f>J25</f>
        <v>100</v>
      </c>
      <c r="X25" s="855"/>
      <c r="Y25" s="3567"/>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567"/>
      <c r="Q26" s="857"/>
      <c r="R26" s="853"/>
      <c r="S26" s="854"/>
      <c r="T26" s="853"/>
      <c r="U26" s="854"/>
      <c r="V26" s="853"/>
      <c r="W26" s="854"/>
      <c r="X26" s="855"/>
      <c r="Y26" s="3567"/>
      <c r="Z26" s="866"/>
      <c r="AA26" s="866">
        <v>1</v>
      </c>
      <c r="AB26" s="866">
        <v>1</v>
      </c>
      <c r="AC26" s="866">
        <v>1</v>
      </c>
    </row>
    <row r="27" spans="1:29" ht="15">
      <c r="A27" s="675"/>
      <c r="B27" s="703" t="s">
        <v>2853</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567"/>
      <c r="Q27" s="771" t="str">
        <f t="shared" si="8"/>
        <v>临街状况</v>
      </c>
      <c r="R27" s="858" t="s">
        <v>2784</v>
      </c>
      <c r="S27" s="859">
        <f t="shared" ref="S27:S40" si="10">F27</f>
        <v>100</v>
      </c>
      <c r="T27" s="858" t="s">
        <v>2784</v>
      </c>
      <c r="U27" s="859">
        <f t="shared" ref="U27:U40" si="11">H27</f>
        <v>100</v>
      </c>
      <c r="V27" s="858" t="s">
        <v>2784</v>
      </c>
      <c r="W27" s="859">
        <f t="shared" ref="W27:W40" si="12">J27</f>
        <v>100</v>
      </c>
      <c r="X27" s="852"/>
      <c r="Y27" s="3567"/>
      <c r="Z27" s="840" t="str">
        <f t="shared" ref="Z27:Z40" si="13">Q27</f>
        <v>临街状况</v>
      </c>
      <c r="AA27" s="840">
        <f t="shared" si="3"/>
        <v>1</v>
      </c>
      <c r="AB27" s="840">
        <f t="shared" si="4"/>
        <v>1</v>
      </c>
      <c r="AC27" s="840">
        <f t="shared" si="5"/>
        <v>1</v>
      </c>
    </row>
    <row r="28" spans="1:29" ht="27">
      <c r="A28" s="675"/>
      <c r="B28" s="706" t="s">
        <v>2866</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567"/>
      <c r="Q28" s="771" t="str">
        <f t="shared" si="8"/>
        <v>毗邻道路的类型与等级</v>
      </c>
      <c r="R28" s="858" t="s">
        <v>2784</v>
      </c>
      <c r="S28" s="859">
        <f t="shared" si="10"/>
        <v>100</v>
      </c>
      <c r="T28" s="858" t="s">
        <v>2784</v>
      </c>
      <c r="U28" s="859">
        <f t="shared" si="11"/>
        <v>100</v>
      </c>
      <c r="V28" s="858" t="s">
        <v>2784</v>
      </c>
      <c r="W28" s="859">
        <f t="shared" si="12"/>
        <v>100</v>
      </c>
      <c r="X28" s="852"/>
      <c r="Y28" s="3567"/>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567"/>
      <c r="Q29" s="771"/>
      <c r="R29" s="858"/>
      <c r="S29" s="859"/>
      <c r="T29" s="858"/>
      <c r="U29" s="859"/>
      <c r="V29" s="858"/>
      <c r="W29" s="859"/>
      <c r="X29" s="852"/>
      <c r="Y29" s="3567"/>
      <c r="Z29" s="840"/>
      <c r="AA29" s="840">
        <v>1</v>
      </c>
      <c r="AB29" s="840">
        <v>1</v>
      </c>
      <c r="AC29" s="840">
        <v>1</v>
      </c>
    </row>
    <row r="30" spans="1:29" ht="15">
      <c r="A30" s="675"/>
      <c r="B30" s="674" t="s">
        <v>2897</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567"/>
      <c r="Q30" s="771" t="str">
        <f t="shared" si="8"/>
        <v>土地级别</v>
      </c>
      <c r="R30" s="858" t="s">
        <v>2784</v>
      </c>
      <c r="S30" s="859">
        <f t="shared" si="10"/>
        <v>100</v>
      </c>
      <c r="T30" s="858" t="s">
        <v>2784</v>
      </c>
      <c r="U30" s="859">
        <f t="shared" si="11"/>
        <v>100</v>
      </c>
      <c r="V30" s="858" t="s">
        <v>2784</v>
      </c>
      <c r="W30" s="859">
        <f t="shared" si="12"/>
        <v>100</v>
      </c>
      <c r="X30" s="852"/>
      <c r="Y30" s="3567"/>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567"/>
      <c r="Q31" s="771">
        <f t="shared" si="8"/>
        <v>111</v>
      </c>
      <c r="R31" s="858" t="s">
        <v>2784</v>
      </c>
      <c r="S31" s="859">
        <f t="shared" si="10"/>
        <v>100</v>
      </c>
      <c r="T31" s="858" t="s">
        <v>2784</v>
      </c>
      <c r="U31" s="859">
        <f t="shared" si="11"/>
        <v>100</v>
      </c>
      <c r="V31" s="858" t="s">
        <v>2784</v>
      </c>
      <c r="W31" s="859">
        <f t="shared" si="12"/>
        <v>100</v>
      </c>
      <c r="X31" s="852"/>
      <c r="Y31" s="3567"/>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603" t="s">
        <v>2804</v>
      </c>
      <c r="Q32" s="771">
        <f t="shared" si="8"/>
        <v>111</v>
      </c>
      <c r="R32" s="858" t="s">
        <v>2784</v>
      </c>
      <c r="S32" s="859">
        <f t="shared" si="10"/>
        <v>100</v>
      </c>
      <c r="T32" s="858" t="s">
        <v>2784</v>
      </c>
      <c r="U32" s="859">
        <f t="shared" si="11"/>
        <v>100</v>
      </c>
      <c r="V32" s="858" t="s">
        <v>2784</v>
      </c>
      <c r="W32" s="859">
        <f t="shared" si="12"/>
        <v>100</v>
      </c>
      <c r="X32" s="852"/>
      <c r="Y32" s="3568" t="s">
        <v>2804</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568"/>
      <c r="Q33" s="771">
        <f t="shared" si="8"/>
        <v>111</v>
      </c>
      <c r="R33" s="860" t="s">
        <v>2784</v>
      </c>
      <c r="S33" s="861">
        <f t="shared" si="10"/>
        <v>100</v>
      </c>
      <c r="T33" s="860" t="s">
        <v>2784</v>
      </c>
      <c r="U33" s="861">
        <f t="shared" si="11"/>
        <v>100</v>
      </c>
      <c r="V33" s="860" t="s">
        <v>2784</v>
      </c>
      <c r="W33" s="861">
        <f t="shared" si="12"/>
        <v>100</v>
      </c>
      <c r="X33" s="862"/>
      <c r="Y33" s="3568"/>
      <c r="Z33" s="867">
        <f t="shared" si="13"/>
        <v>111</v>
      </c>
      <c r="AA33" s="840">
        <f t="shared" si="3"/>
        <v>1</v>
      </c>
      <c r="AB33" s="840">
        <f t="shared" si="4"/>
        <v>1</v>
      </c>
      <c r="AC33" s="840">
        <f t="shared" si="5"/>
        <v>1</v>
      </c>
    </row>
    <row r="34" spans="1:31" ht="15">
      <c r="A34" s="689" t="s">
        <v>2802</v>
      </c>
      <c r="B34" s="722" t="s">
        <v>2898</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568"/>
      <c r="Q34" s="771" t="str">
        <f t="shared" si="8"/>
        <v>宗地面积</v>
      </c>
      <c r="R34" s="858" t="s">
        <v>2784</v>
      </c>
      <c r="S34" s="859" t="e">
        <f t="shared" si="10"/>
        <v>#N/A</v>
      </c>
      <c r="T34" s="858" t="s">
        <v>2784</v>
      </c>
      <c r="U34" s="859" t="e">
        <f t="shared" si="11"/>
        <v>#N/A</v>
      </c>
      <c r="V34" s="858" t="s">
        <v>2784</v>
      </c>
      <c r="W34" s="859" t="e">
        <f t="shared" si="12"/>
        <v>#N/A</v>
      </c>
      <c r="X34" s="852"/>
      <c r="Y34" s="3568"/>
      <c r="Z34" s="840" t="str">
        <f t="shared" si="13"/>
        <v>宗地面积</v>
      </c>
      <c r="AA34" s="840" t="e">
        <f t="shared" si="3"/>
        <v>#N/A</v>
      </c>
      <c r="AB34" s="840" t="e">
        <f t="shared" si="4"/>
        <v>#N/A</v>
      </c>
      <c r="AC34" s="840" t="e">
        <f t="shared" si="5"/>
        <v>#N/A</v>
      </c>
    </row>
    <row r="35" spans="1:31" ht="15">
      <c r="A35" s="724"/>
      <c r="B35" s="672" t="s">
        <v>2899</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568"/>
      <c r="Q35" s="771" t="str">
        <f t="shared" ref="Q35:Q40" si="14">B35</f>
        <v>宗地形状</v>
      </c>
      <c r="R35" s="858" t="s">
        <v>2784</v>
      </c>
      <c r="S35" s="859">
        <f t="shared" si="10"/>
        <v>100</v>
      </c>
      <c r="T35" s="858" t="s">
        <v>2784</v>
      </c>
      <c r="U35" s="859">
        <f t="shared" si="11"/>
        <v>100</v>
      </c>
      <c r="V35" s="858" t="s">
        <v>2784</v>
      </c>
      <c r="W35" s="859">
        <f t="shared" si="12"/>
        <v>100</v>
      </c>
      <c r="X35" s="852"/>
      <c r="Y35" s="3568"/>
      <c r="Z35" s="840" t="str">
        <f t="shared" si="13"/>
        <v>宗地形状</v>
      </c>
      <c r="AA35" s="840">
        <f t="shared" si="3"/>
        <v>1</v>
      </c>
      <c r="AB35" s="840">
        <f t="shared" si="4"/>
        <v>1</v>
      </c>
      <c r="AC35" s="840">
        <f t="shared" si="5"/>
        <v>1</v>
      </c>
    </row>
    <row r="36" spans="1:31" s="631" customFormat="1" ht="15">
      <c r="A36" s="726"/>
      <c r="B36" s="672" t="s">
        <v>2901</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568"/>
      <c r="Q36" s="771" t="str">
        <f t="shared" si="14"/>
        <v>宗地开发程度</v>
      </c>
      <c r="R36" s="853" t="s">
        <v>2784</v>
      </c>
      <c r="S36" s="854">
        <f t="shared" si="10"/>
        <v>100</v>
      </c>
      <c r="T36" s="853" t="s">
        <v>2784</v>
      </c>
      <c r="U36" s="854">
        <f t="shared" si="11"/>
        <v>100</v>
      </c>
      <c r="V36" s="853" t="s">
        <v>2784</v>
      </c>
      <c r="W36" s="854">
        <f t="shared" si="12"/>
        <v>100</v>
      </c>
      <c r="X36" s="855"/>
      <c r="Y36" s="3568"/>
      <c r="Z36" s="866" t="str">
        <f t="shared" si="13"/>
        <v>宗地开发程度</v>
      </c>
      <c r="AA36" s="866">
        <f t="shared" si="3"/>
        <v>1</v>
      </c>
      <c r="AB36" s="866">
        <f t="shared" si="4"/>
        <v>1</v>
      </c>
      <c r="AC36" s="866">
        <f t="shared" si="5"/>
        <v>1</v>
      </c>
    </row>
    <row r="37" spans="1:31" ht="15">
      <c r="A37" s="724"/>
      <c r="B37" s="672" t="s">
        <v>2902</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568" t="s">
        <v>2804</v>
      </c>
      <c r="Q37" s="771" t="str">
        <f t="shared" si="14"/>
        <v>工程地质条件</v>
      </c>
      <c r="R37" s="858" t="s">
        <v>2784</v>
      </c>
      <c r="S37" s="859">
        <f t="shared" si="10"/>
        <v>100</v>
      </c>
      <c r="T37" s="858" t="s">
        <v>2784</v>
      </c>
      <c r="U37" s="859">
        <f t="shared" si="11"/>
        <v>100</v>
      </c>
      <c r="V37" s="858" t="s">
        <v>2784</v>
      </c>
      <c r="W37" s="859">
        <f t="shared" si="12"/>
        <v>100</v>
      </c>
      <c r="X37" s="852"/>
      <c r="Y37" s="3568" t="s">
        <v>2804</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568"/>
      <c r="Q38" s="771">
        <f t="shared" si="14"/>
        <v>111</v>
      </c>
      <c r="R38" s="858" t="s">
        <v>2784</v>
      </c>
      <c r="S38" s="859">
        <f t="shared" si="10"/>
        <v>100</v>
      </c>
      <c r="T38" s="858" t="s">
        <v>2784</v>
      </c>
      <c r="U38" s="859">
        <f t="shared" si="11"/>
        <v>100</v>
      </c>
      <c r="V38" s="858" t="s">
        <v>2784</v>
      </c>
      <c r="W38" s="859">
        <f t="shared" si="12"/>
        <v>100</v>
      </c>
      <c r="X38" s="852"/>
      <c r="Y38" s="3568"/>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568"/>
      <c r="Q39" s="771">
        <f t="shared" si="14"/>
        <v>111</v>
      </c>
      <c r="R39" s="858" t="s">
        <v>2784</v>
      </c>
      <c r="S39" s="859">
        <f t="shared" si="10"/>
        <v>100</v>
      </c>
      <c r="T39" s="858" t="s">
        <v>2784</v>
      </c>
      <c r="U39" s="859">
        <f t="shared" si="11"/>
        <v>100</v>
      </c>
      <c r="V39" s="858" t="s">
        <v>2784</v>
      </c>
      <c r="W39" s="859">
        <f t="shared" si="12"/>
        <v>100</v>
      </c>
      <c r="X39" s="852"/>
      <c r="Y39" s="3568"/>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568"/>
      <c r="Q40" s="771">
        <f t="shared" si="14"/>
        <v>111</v>
      </c>
      <c r="R40" s="860" t="s">
        <v>2784</v>
      </c>
      <c r="S40" s="861">
        <f t="shared" si="10"/>
        <v>100</v>
      </c>
      <c r="T40" s="860" t="s">
        <v>2784</v>
      </c>
      <c r="U40" s="861">
        <f t="shared" si="11"/>
        <v>100</v>
      </c>
      <c r="V40" s="860" t="s">
        <v>2784</v>
      </c>
      <c r="W40" s="861">
        <f t="shared" si="12"/>
        <v>100</v>
      </c>
      <c r="X40" s="862"/>
      <c r="Y40" s="3568"/>
      <c r="Z40" s="867">
        <f t="shared" si="13"/>
        <v>111</v>
      </c>
      <c r="AA40" s="840">
        <f t="shared" si="3"/>
        <v>1</v>
      </c>
      <c r="AB40" s="840">
        <f t="shared" si="4"/>
        <v>1</v>
      </c>
      <c r="AC40" s="840">
        <f t="shared" si="5"/>
        <v>1</v>
      </c>
    </row>
    <row r="41" spans="1:31" ht="15">
      <c r="A41" s="731" t="s">
        <v>2884</v>
      </c>
      <c r="B41" s="732" t="s">
        <v>2937</v>
      </c>
      <c r="C41" s="733" t="s">
        <v>124</v>
      </c>
      <c r="D41" s="734"/>
      <c r="E41" s="735"/>
      <c r="F41" s="736"/>
      <c r="G41" s="737"/>
      <c r="H41" s="738"/>
      <c r="I41" s="735"/>
      <c r="J41" s="738"/>
      <c r="K41" s="831"/>
      <c r="L41" s="832"/>
      <c r="M41" s="748"/>
      <c r="N41" s="748"/>
      <c r="O41" s="748"/>
      <c r="P41" s="3558" t="str">
        <f>A41</f>
        <v>成交单价</v>
      </c>
      <c r="Q41" s="3558"/>
      <c r="R41" s="3559">
        <f>E41</f>
        <v>0</v>
      </c>
      <c r="S41" s="3559"/>
      <c r="T41" s="3559">
        <f>G41</f>
        <v>0</v>
      </c>
      <c r="U41" s="3559"/>
      <c r="V41" s="3559">
        <f>I41</f>
        <v>0</v>
      </c>
      <c r="W41" s="3559"/>
      <c r="X41" s="793"/>
      <c r="Y41" s="868"/>
      <c r="Z41" s="793"/>
      <c r="AA41" s="793"/>
      <c r="AB41" s="793"/>
      <c r="AC41" s="793"/>
    </row>
    <row r="42" spans="1:31" ht="15">
      <c r="A42" s="739" t="s">
        <v>2816</v>
      </c>
      <c r="B42" s="740"/>
      <c r="C42" s="741" t="e">
        <f>R43</f>
        <v>#DIV/0!</v>
      </c>
      <c r="D42" s="742" t="s">
        <v>2817</v>
      </c>
      <c r="E42" s="741" t="e">
        <f>R42</f>
        <v>#DIV/0!</v>
      </c>
      <c r="F42" s="743"/>
      <c r="G42" s="744" t="e">
        <f>T42</f>
        <v>#DIV/0!</v>
      </c>
      <c r="H42" s="743"/>
      <c r="I42" s="741" t="e">
        <f>V42</f>
        <v>#DIV/0!</v>
      </c>
      <c r="J42" s="743"/>
      <c r="K42" s="833">
        <f>F42+H42+J42</f>
        <v>0</v>
      </c>
      <c r="L42" s="832"/>
      <c r="M42" s="748"/>
      <c r="N42" s="748"/>
      <c r="O42" s="748"/>
      <c r="P42" s="3558" t="str">
        <f>A42</f>
        <v>比较价值（元/平方米）</v>
      </c>
      <c r="Q42" s="3558"/>
      <c r="R42" s="3606" t="e">
        <f>ROUND(PRODUCT(R41,AA7:AA40),0)</f>
        <v>#DIV/0!</v>
      </c>
      <c r="S42" s="3606"/>
      <c r="T42" s="3606" t="e">
        <f>ROUND(PRODUCT(T41,AB7:AB40),0)</f>
        <v>#DIV/0!</v>
      </c>
      <c r="U42" s="3606"/>
      <c r="V42" s="3606" t="e">
        <f>ROUND(PRODUCT(V41,AC7:AC40),0)</f>
        <v>#DIV/0!</v>
      </c>
      <c r="W42" s="3606"/>
      <c r="X42" s="793"/>
      <c r="Y42" s="793"/>
      <c r="Z42" s="793"/>
      <c r="AA42" s="793"/>
      <c r="AB42" s="793"/>
      <c r="AC42" s="793"/>
    </row>
    <row r="43" spans="1:31" ht="15">
      <c r="A43" s="745" t="s">
        <v>2818</v>
      </c>
      <c r="B43" s="746"/>
      <c r="C43" s="747" t="e">
        <f>R43</f>
        <v>#DIV/0!</v>
      </c>
      <c r="D43" s="747"/>
      <c r="E43" s="747"/>
      <c r="F43" s="747"/>
      <c r="G43" s="747"/>
      <c r="H43" s="747"/>
      <c r="I43" s="747"/>
      <c r="J43" s="747"/>
      <c r="K43" s="834"/>
      <c r="L43" s="832"/>
      <c r="M43" s="748"/>
      <c r="N43" s="748"/>
      <c r="O43" s="748"/>
      <c r="P43" s="3570" t="str">
        <f>A43</f>
        <v>估价对象XX用房的比较价值（楼面单价，元/平方米）</v>
      </c>
      <c r="Q43" s="3571"/>
      <c r="R43" s="3607" t="e">
        <f>ROUND(IF(D42="简单平均",AVERAGE(R42:W42),R42*F42+T42*H42+V42*J42),0)</f>
        <v>#DIV/0!</v>
      </c>
      <c r="S43" s="3607"/>
      <c r="T43" s="3607"/>
      <c r="U43" s="3607"/>
      <c r="V43" s="3607"/>
      <c r="W43" s="3607"/>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2819</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2820</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2821</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2905</v>
      </c>
      <c r="B50" s="760" t="s">
        <v>2906</v>
      </c>
      <c r="C50" s="761" t="s">
        <v>2907</v>
      </c>
      <c r="D50" s="762" t="s">
        <v>2908</v>
      </c>
      <c r="E50" s="763" t="s">
        <v>2909</v>
      </c>
      <c r="F50" s="764" t="s">
        <v>2910</v>
      </c>
      <c r="G50" s="3543" t="s">
        <v>2911</v>
      </c>
      <c r="H50" s="3605"/>
      <c r="I50" s="840" t="s">
        <v>2938</v>
      </c>
      <c r="J50" s="840">
        <f>项目基本情况!F35</f>
        <v>0</v>
      </c>
      <c r="K50" s="841" t="s">
        <v>2913</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2914</v>
      </c>
      <c r="B51" s="767" t="e">
        <f>C43</f>
        <v>#DIV/0!</v>
      </c>
      <c r="C51" s="768">
        <v>1</v>
      </c>
      <c r="D51" s="769">
        <v>1</v>
      </c>
      <c r="E51" s="768">
        <f>'数据-汇总表'!E8+'数据-汇总表'!E9</f>
        <v>286319.48</v>
      </c>
      <c r="F51" s="770" t="e">
        <f t="shared" ref="F51:F60" si="15">ROUND(B51*E51/10000,0)</f>
        <v>#DIV/0!</v>
      </c>
      <c r="G51" s="3560"/>
      <c r="H51" s="3558"/>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2915</v>
      </c>
      <c r="B52" s="362" t="e">
        <f>ROUND($C$43*C52*D52,0)</f>
        <v>#DIV/0!</v>
      </c>
      <c r="C52" s="773">
        <f t="shared" ref="C52:C60" si="16">IF($C$50="北京市系数",I52,J52)</f>
        <v>0.6</v>
      </c>
      <c r="D52" s="774">
        <v>0.25</v>
      </c>
      <c r="E52" s="775"/>
      <c r="F52" s="770" t="e">
        <f t="shared" si="15"/>
        <v>#DIV/0!</v>
      </c>
      <c r="G52" s="776" t="s">
        <v>2916</v>
      </c>
      <c r="H52" s="777" t="str">
        <f>项目基本情况!B37</f>
        <v>六级</v>
      </c>
      <c r="I52" s="842">
        <f>SUMIF(修正!A57:A68,H52,修正!B57:B68)</f>
        <v>0.6</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2917</v>
      </c>
      <c r="B53" s="362" t="e">
        <f t="shared" ref="B53:B60" si="17">ROUND($C$43*C53*D53,0)</f>
        <v>#DIV/0!</v>
      </c>
      <c r="C53" s="773">
        <f t="shared" si="16"/>
        <v>0.3</v>
      </c>
      <c r="D53" s="774">
        <v>0.25</v>
      </c>
      <c r="E53" s="775"/>
      <c r="F53" s="770" t="e">
        <f t="shared" si="15"/>
        <v>#DIV/0!</v>
      </c>
      <c r="G53" s="778"/>
      <c r="H53" s="777" t="str">
        <f>项目基本情况!B37</f>
        <v>六级</v>
      </c>
      <c r="I53" s="842">
        <f>SUMIF(修正!A57:A68,H53,修正!C57:C68)</f>
        <v>0.3</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2918</v>
      </c>
      <c r="B54" s="362" t="e">
        <f t="shared" si="17"/>
        <v>#DIV/0!</v>
      </c>
      <c r="C54" s="773">
        <f t="shared" si="16"/>
        <v>0.25</v>
      </c>
      <c r="D54" s="774">
        <v>0.25</v>
      </c>
      <c r="E54" s="775"/>
      <c r="F54" s="770" t="e">
        <f t="shared" si="15"/>
        <v>#DIV/0!</v>
      </c>
      <c r="G54" s="778"/>
      <c r="H54" s="777" t="str">
        <f>项目基本情况!B37</f>
        <v>六级</v>
      </c>
      <c r="I54" s="842">
        <f>SUMIF(修正!A57:A68,H54,修正!D57:D68)</f>
        <v>0.25</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2919</v>
      </c>
      <c r="B56" s="362" t="e">
        <f t="shared" si="17"/>
        <v>#DIV/0!</v>
      </c>
      <c r="C56" s="773">
        <f t="shared" si="16"/>
        <v>0</v>
      </c>
      <c r="D56" s="774">
        <v>0.25</v>
      </c>
      <c r="E56" s="361">
        <f>'数据-汇总表'!E11</f>
        <v>0</v>
      </c>
      <c r="F56" s="770" t="e">
        <f t="shared" si="15"/>
        <v>#DIV/0!</v>
      </c>
      <c r="G56" s="780" t="s">
        <v>2920</v>
      </c>
      <c r="H56" s="777">
        <f>项目基本情况!C37</f>
        <v>0</v>
      </c>
      <c r="I56" s="842">
        <f>SUMIF(修正!A57:A68,H56,修正!E57:E68)</f>
        <v>0</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2921</v>
      </c>
      <c r="B57" s="362" t="e">
        <f t="shared" si="17"/>
        <v>#DIV/0!</v>
      </c>
      <c r="C57" s="773">
        <f t="shared" si="16"/>
        <v>0</v>
      </c>
      <c r="D57" s="774">
        <v>0.25</v>
      </c>
      <c r="E57" s="361">
        <f>'数据-汇总表'!E12</f>
        <v>0</v>
      </c>
      <c r="F57" s="770" t="e">
        <f t="shared" si="15"/>
        <v>#DIV/0!</v>
      </c>
      <c r="G57" s="781" t="s">
        <v>2922</v>
      </c>
      <c r="H57" s="777">
        <f>IF(G57="商业",项目基本情况!B37,IF(G57="办公",项目基本情况!C37,IF(G57="住宅",项目基本情况!D37,项目基本情况!E37)))</f>
        <v>0</v>
      </c>
      <c r="I57" s="842">
        <f>SUMIF(修正!A57:A68,H57,修正!F57:F68)</f>
        <v>0</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2923</v>
      </c>
      <c r="B58" s="362" t="e">
        <f t="shared" si="17"/>
        <v>#DIV/0!</v>
      </c>
      <c r="C58" s="773">
        <f t="shared" si="16"/>
        <v>0</v>
      </c>
      <c r="D58" s="774">
        <v>0.25</v>
      </c>
      <c r="E58" s="361">
        <f>'数据-汇总表'!E13</f>
        <v>0</v>
      </c>
      <c r="F58" s="770" t="e">
        <f t="shared" si="15"/>
        <v>#DIV/0!</v>
      </c>
      <c r="G58" s="781" t="s">
        <v>2924</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2925</v>
      </c>
      <c r="B59" s="362" t="e">
        <f t="shared" si="17"/>
        <v>#DIV/0!</v>
      </c>
      <c r="C59" s="773">
        <f t="shared" si="16"/>
        <v>0.15</v>
      </c>
      <c r="D59" s="774">
        <v>0.25</v>
      </c>
      <c r="E59" s="361">
        <f>'数据-汇总表'!E14</f>
        <v>301355.98</v>
      </c>
      <c r="F59" s="770" t="e">
        <f t="shared" si="15"/>
        <v>#DIV/0!</v>
      </c>
      <c r="G59" s="780" t="s">
        <v>2916</v>
      </c>
      <c r="H59" s="777" t="str">
        <f>项目基本情况!B37</f>
        <v>六级</v>
      </c>
      <c r="I59" s="842">
        <f>SUMIF(修正!A57:A68,H59,修正!G57:G68)</f>
        <v>0.15</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2926</v>
      </c>
      <c r="B60" s="362" t="e">
        <f t="shared" si="17"/>
        <v>#DIV/0!</v>
      </c>
      <c r="C60" s="773">
        <f t="shared" si="16"/>
        <v>0</v>
      </c>
      <c r="D60" s="774">
        <v>0.25</v>
      </c>
      <c r="E60" s="361">
        <f>'数据-汇总表'!E15</f>
        <v>0</v>
      </c>
      <c r="F60" s="770" t="e">
        <f t="shared" si="15"/>
        <v>#DIV/0!</v>
      </c>
      <c r="G60" s="782" t="s">
        <v>2920</v>
      </c>
      <c r="H60" s="783">
        <f>项目基本情况!C37</f>
        <v>0</v>
      </c>
      <c r="I60" s="842">
        <f>SUMIF(修正!A57:A68,H60,修正!G57:G68)</f>
        <v>0</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2927</v>
      </c>
      <c r="B61" s="785" t="s">
        <v>2928</v>
      </c>
      <c r="C61" s="785" t="s">
        <v>2928</v>
      </c>
      <c r="D61" s="785" t="s">
        <v>2928</v>
      </c>
      <c r="E61" s="785">
        <f>IF(B41="楼面地价",SUM(E51:E60),'数据-汇总表'!D3)</f>
        <v>175003.3</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2025-5-1</v>
      </c>
      <c r="D63" s="791">
        <f>EDATE(C63,-3)</f>
        <v>45689</v>
      </c>
      <c r="E63" s="791">
        <f>EDATE(D63,-3)</f>
        <v>45597</v>
      </c>
      <c r="F63" s="791">
        <f t="shared" ref="F63:O63" si="18">EDATE(E63,-3)</f>
        <v>45505</v>
      </c>
      <c r="G63" s="791">
        <f t="shared" si="18"/>
        <v>45413</v>
      </c>
      <c r="H63" s="791">
        <f t="shared" si="18"/>
        <v>45323</v>
      </c>
      <c r="I63" s="791">
        <f t="shared" si="18"/>
        <v>45231</v>
      </c>
      <c r="J63" s="791">
        <f t="shared" si="18"/>
        <v>45139</v>
      </c>
      <c r="K63" s="791">
        <f t="shared" si="18"/>
        <v>45047</v>
      </c>
      <c r="L63" s="791">
        <f t="shared" si="18"/>
        <v>44958</v>
      </c>
      <c r="M63" s="791">
        <f t="shared" si="18"/>
        <v>44866</v>
      </c>
      <c r="N63" s="791">
        <f t="shared" si="18"/>
        <v>44774</v>
      </c>
      <c r="O63" s="791">
        <f t="shared" si="18"/>
        <v>44682</v>
      </c>
      <c r="P63" s="748"/>
      <c r="Q63" s="748"/>
      <c r="R63" s="748"/>
      <c r="S63" s="748"/>
      <c r="T63" s="748"/>
      <c r="U63" s="748"/>
      <c r="V63" s="748"/>
      <c r="W63" s="748"/>
      <c r="X63" s="748"/>
      <c r="Y63" s="748"/>
      <c r="Z63" s="748"/>
      <c r="AA63" s="748"/>
      <c r="AB63" s="748"/>
      <c r="AC63" s="748"/>
      <c r="AD63" s="748"/>
      <c r="AE63" s="748"/>
    </row>
    <row r="64" spans="1:31" ht="21">
      <c r="A64" s="792" t="s">
        <v>2822</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2929</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2939</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2823</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2785</v>
      </c>
      <c r="B68" s="880"/>
      <c r="C68" s="881" t="s">
        <v>2824</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2825</v>
      </c>
      <c r="B70" s="885" t="s">
        <v>2788</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2791</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2792</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2793</v>
      </c>
      <c r="B83" s="885" t="s">
        <v>2871</v>
      </c>
      <c r="C83" s="905" t="s">
        <v>1349</v>
      </c>
      <c r="D83" s="905" t="s">
        <v>1350</v>
      </c>
      <c r="E83" s="905" t="s">
        <v>1351</v>
      </c>
      <c r="F83" s="905" t="s">
        <v>1352</v>
      </c>
      <c r="G83" s="905" t="s">
        <v>1353</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2796</v>
      </c>
      <c r="C85" s="906" t="s">
        <v>1349</v>
      </c>
      <c r="D85" s="906" t="s">
        <v>1350</v>
      </c>
      <c r="E85" s="906" t="s">
        <v>1351</v>
      </c>
      <c r="F85" s="906" t="s">
        <v>1352</v>
      </c>
      <c r="G85" s="906" t="s">
        <v>1353</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2895</v>
      </c>
      <c r="C87" s="905" t="s">
        <v>1349</v>
      </c>
      <c r="D87" s="905" t="s">
        <v>1350</v>
      </c>
      <c r="E87" s="905" t="s">
        <v>1351</v>
      </c>
      <c r="F87" s="905" t="s">
        <v>1352</v>
      </c>
      <c r="G87" s="905" t="s">
        <v>1353</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2896</v>
      </c>
      <c r="C89" s="905" t="s">
        <v>1349</v>
      </c>
      <c r="D89" s="905" t="s">
        <v>1350</v>
      </c>
      <c r="E89" s="905" t="s">
        <v>1351</v>
      </c>
      <c r="F89" s="905" t="s">
        <v>1352</v>
      </c>
      <c r="G89" s="905" t="s">
        <v>1353</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2797</v>
      </c>
      <c r="C91" s="905" t="s">
        <v>1349</v>
      </c>
      <c r="D91" s="905" t="s">
        <v>1350</v>
      </c>
      <c r="E91" s="905" t="s">
        <v>1351</v>
      </c>
      <c r="F91" s="905" t="s">
        <v>1352</v>
      </c>
      <c r="G91" s="905" t="s">
        <v>1353</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2798</v>
      </c>
      <c r="C93" s="821" t="s">
        <v>2826</v>
      </c>
      <c r="D93" s="821" t="s">
        <v>2827</v>
      </c>
      <c r="E93" s="821" t="s">
        <v>2828</v>
      </c>
      <c r="F93" s="821" t="s">
        <v>2829</v>
      </c>
      <c r="G93" s="821" t="s">
        <v>2830</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2931</v>
      </c>
      <c r="D95" s="889" t="s">
        <v>2932</v>
      </c>
      <c r="E95" s="889" t="s">
        <v>2933</v>
      </c>
      <c r="F95" s="889" t="s">
        <v>2934</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2866</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2897</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2802</v>
      </c>
      <c r="B107" s="885" t="s">
        <v>2898</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2899</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2901</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2902</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2940</v>
      </c>
      <c r="C1" s="3612" t="s">
        <v>2941</v>
      </c>
      <c r="D1" s="3613"/>
      <c r="E1" s="3613"/>
      <c r="F1" s="3613"/>
      <c r="G1" s="3613"/>
      <c r="H1" s="3613"/>
      <c r="I1" s="3613"/>
      <c r="J1" s="3613"/>
      <c r="K1" s="3613"/>
      <c r="L1" s="3613"/>
      <c r="M1" s="3613"/>
      <c r="N1" s="3613"/>
      <c r="O1" s="3613"/>
      <c r="P1" s="3613"/>
      <c r="Q1" s="3613"/>
      <c r="R1" s="3613"/>
      <c r="S1" s="3614"/>
      <c r="T1" s="519" t="s">
        <v>1260</v>
      </c>
    </row>
    <row r="2" spans="1:45" s="511" customFormat="1">
      <c r="A2" s="520"/>
      <c r="B2" s="521" t="s">
        <v>469</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2942</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2943</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2944</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2945</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2946</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2947</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2948</v>
      </c>
      <c r="B17" s="553" t="s">
        <v>2949</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2950</v>
      </c>
      <c r="E19" s="563"/>
      <c r="F19" s="563"/>
      <c r="G19" s="563"/>
      <c r="H19" s="564"/>
      <c r="I19" s="561"/>
      <c r="J19" s="561"/>
      <c r="K19" s="561"/>
      <c r="L19" s="561"/>
      <c r="M19" s="561"/>
      <c r="N19" s="561"/>
      <c r="O19" s="561"/>
      <c r="P19" s="561"/>
      <c r="Q19" s="561"/>
      <c r="R19" s="561"/>
      <c r="S19" s="560"/>
    </row>
    <row r="20" spans="1:45" ht="15.75">
      <c r="A20" s="565" t="s">
        <v>2951</v>
      </c>
      <c r="B20" s="566" t="e">
        <f ca="1">IF(D20="——",S22,S22-F20)</f>
        <v>#REF!</v>
      </c>
      <c r="C20" s="561"/>
      <c r="D20" s="567"/>
      <c r="E20" s="568"/>
      <c r="F20" s="519" t="e">
        <f ca="1">SUMIF(INDIRECT("'"&amp;H20&amp;"'"&amp;"!A:A"),"承租人权益价值",INDIRECT("'"&amp;H20&amp;"'"&amp;"!c:c"))</f>
        <v>#REF!</v>
      </c>
      <c r="G20" s="519" t="s">
        <v>845</v>
      </c>
      <c r="H20" s="569"/>
      <c r="I20" s="561"/>
      <c r="J20" s="561"/>
      <c r="K20" s="561"/>
      <c r="L20" s="561"/>
      <c r="M20" s="561"/>
      <c r="N20" s="561"/>
      <c r="O20" s="561"/>
      <c r="P20" s="561"/>
      <c r="Q20" s="561"/>
      <c r="R20" s="561"/>
      <c r="S20" s="560"/>
    </row>
    <row r="21" spans="1:45" ht="15.75">
      <c r="A21" s="565" t="s">
        <v>2952</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2953</v>
      </c>
      <c r="B22" s="571">
        <f>SUM(B24:B10000)</f>
        <v>0</v>
      </c>
      <c r="C22" s="3615" t="s">
        <v>124</v>
      </c>
      <c r="D22" s="3616"/>
      <c r="E22" s="3616"/>
      <c r="F22" s="3616"/>
      <c r="G22" s="3616"/>
      <c r="H22" s="3616"/>
      <c r="I22" s="3616"/>
      <c r="J22" s="3616"/>
      <c r="K22" s="3616"/>
      <c r="L22" s="3616"/>
      <c r="M22" s="3616"/>
      <c r="N22" s="3616"/>
      <c r="O22" s="3616"/>
      <c r="P22" s="3616"/>
      <c r="Q22" s="3617"/>
      <c r="R22" s="571" t="e">
        <f>ROUND(S22*10000/B22,0)</f>
        <v>#DIV/0!</v>
      </c>
      <c r="S22" s="571">
        <f>SUM(S24:S10000)</f>
        <v>0</v>
      </c>
    </row>
    <row r="23" spans="1:45" s="514" customFormat="1" ht="24">
      <c r="A23" s="574" t="s">
        <v>2954</v>
      </c>
      <c r="B23" s="574" t="s">
        <v>469</v>
      </c>
      <c r="C23" s="574" t="s">
        <v>1260</v>
      </c>
      <c r="D23" s="574" t="str">
        <f>B5</f>
        <v>修正项2</v>
      </c>
      <c r="E23" s="574" t="s">
        <v>1260</v>
      </c>
      <c r="F23" s="574" t="str">
        <f>B7</f>
        <v>修正项3</v>
      </c>
      <c r="G23" s="574" t="s">
        <v>1260</v>
      </c>
      <c r="H23" s="574" t="str">
        <f>B9</f>
        <v>修正项4</v>
      </c>
      <c r="I23" s="574" t="s">
        <v>1260</v>
      </c>
      <c r="J23" s="574" t="str">
        <f>B11</f>
        <v>修正项5</v>
      </c>
      <c r="K23" s="574" t="s">
        <v>1260</v>
      </c>
      <c r="L23" s="574" t="str">
        <f>B13</f>
        <v>修正项6</v>
      </c>
      <c r="M23" s="574" t="s">
        <v>1260</v>
      </c>
      <c r="N23" s="574" t="str">
        <f>B15</f>
        <v>修正项7</v>
      </c>
      <c r="O23" s="574" t="s">
        <v>1260</v>
      </c>
      <c r="P23" s="574" t="str">
        <f>B17</f>
        <v>楼层</v>
      </c>
      <c r="Q23" s="574" t="s">
        <v>1260</v>
      </c>
      <c r="R23" s="574" t="s">
        <v>2955</v>
      </c>
      <c r="S23" s="574" t="s">
        <v>2956</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2957</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2958</v>
      </c>
      <c r="B1" s="500"/>
      <c r="C1" s="500"/>
      <c r="D1" s="500"/>
      <c r="E1" s="500"/>
      <c r="F1" s="501"/>
      <c r="G1" s="501"/>
      <c r="H1" s="501"/>
      <c r="I1" s="501"/>
      <c r="J1" s="501"/>
      <c r="K1" s="501"/>
      <c r="L1" s="501"/>
      <c r="M1" s="501"/>
      <c r="N1" s="501"/>
      <c r="O1" s="501"/>
      <c r="P1" s="501"/>
    </row>
    <row r="2" spans="1:16" ht="15.75">
      <c r="A2" s="502" t="s">
        <v>97</v>
      </c>
      <c r="B2" s="503">
        <f ca="1">SUMIF(B6:B13,"&lt;&gt;#ref!",B6:B13)</f>
        <v>394880</v>
      </c>
      <c r="C2" s="502" t="s">
        <v>2959</v>
      </c>
      <c r="D2" s="502" t="s">
        <v>2960</v>
      </c>
      <c r="E2" s="504">
        <f ca="1">SUMIF(E6:E13,"&lt;&gt;#ref!",E6:E13)</f>
        <v>587675.46</v>
      </c>
      <c r="F2" s="501"/>
      <c r="G2" s="501"/>
      <c r="H2" s="501"/>
      <c r="I2" s="501"/>
      <c r="J2" s="501"/>
      <c r="K2" s="501"/>
      <c r="L2" s="501"/>
      <c r="M2" s="501"/>
      <c r="N2" s="501"/>
      <c r="O2" s="501"/>
      <c r="P2" s="501"/>
    </row>
    <row r="3" spans="1:16" ht="15.75">
      <c r="A3" s="502" t="s">
        <v>2961</v>
      </c>
      <c r="B3" s="503">
        <f ca="1">ROUND(B2*10000/E2,0)</f>
        <v>6719</v>
      </c>
      <c r="C3" s="502" t="s">
        <v>2962</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2963</v>
      </c>
      <c r="B5" s="507" t="s">
        <v>2964</v>
      </c>
      <c r="C5" s="508"/>
      <c r="D5" s="501"/>
      <c r="E5" s="509" t="s">
        <v>2965</v>
      </c>
      <c r="F5" s="501"/>
      <c r="G5" s="501"/>
      <c r="H5" s="501"/>
      <c r="I5" s="501"/>
      <c r="J5" s="501"/>
      <c r="K5" s="501"/>
      <c r="L5" s="501"/>
      <c r="M5" s="501"/>
      <c r="N5" s="501"/>
      <c r="O5" s="501"/>
      <c r="P5" s="501"/>
    </row>
    <row r="6" spans="1:16" ht="15.75">
      <c r="A6" s="510" t="s">
        <v>2966</v>
      </c>
      <c r="B6" s="503">
        <f ca="1">SUMIF(INDIRECT("'"&amp;A6&amp;"'"&amp;"!A:A"),"总价",INDIRECT("'"&amp;A6&amp;"'"&amp;"!B:B"))</f>
        <v>394880</v>
      </c>
      <c r="C6" s="502" t="s">
        <v>2959</v>
      </c>
      <c r="D6" s="501"/>
      <c r="E6" s="504">
        <f ca="1">SUMIF(INDIRECT("'"&amp;A6&amp;"'"&amp;"!C:C"),"建筑面积",INDIRECT("'"&amp;A6&amp;"'"&amp;"!D:D"))</f>
        <v>587675.46</v>
      </c>
      <c r="F6" s="501"/>
      <c r="G6" s="501"/>
      <c r="H6" s="501"/>
      <c r="I6" s="501"/>
      <c r="J6" s="501"/>
      <c r="K6" s="501"/>
      <c r="L6" s="501"/>
      <c r="M6" s="501"/>
      <c r="N6" s="501"/>
      <c r="O6" s="501"/>
      <c r="P6" s="501"/>
    </row>
    <row r="7" spans="1:16" ht="15.75">
      <c r="A7" s="510"/>
      <c r="B7" s="503" t="e">
        <f ca="1">SUMIF(INDIRECT("'"&amp;A7&amp;"'"&amp;"!A:A"),"总价",INDIRECT("'"&amp;A7&amp;"'"&amp;"!B:B"))</f>
        <v>#REF!</v>
      </c>
      <c r="C7" s="502" t="s">
        <v>2959</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2959</v>
      </c>
      <c r="D8" s="501"/>
      <c r="E8" s="504" t="e">
        <f t="shared" ca="1" si="0"/>
        <v>#REF!</v>
      </c>
      <c r="F8" s="501"/>
      <c r="G8" s="501"/>
      <c r="H8" s="501"/>
      <c r="I8" s="501"/>
      <c r="J8" s="501"/>
      <c r="K8" s="501"/>
      <c r="L8" s="501"/>
      <c r="M8" s="501"/>
      <c r="N8" s="501"/>
      <c r="O8" s="501"/>
      <c r="P8" s="501"/>
    </row>
    <row r="9" spans="1:16" ht="15.75">
      <c r="A9" s="510"/>
      <c r="B9" s="503" t="e">
        <f t="shared" ca="1" si="1"/>
        <v>#REF!</v>
      </c>
      <c r="C9" s="502" t="s">
        <v>2959</v>
      </c>
      <c r="D9" s="501"/>
      <c r="E9" s="504" t="e">
        <f t="shared" ca="1" si="0"/>
        <v>#REF!</v>
      </c>
      <c r="F9" s="501"/>
      <c r="G9" s="501"/>
      <c r="H9" s="501"/>
      <c r="I9" s="501"/>
      <c r="J9" s="501"/>
      <c r="K9" s="501"/>
      <c r="L9" s="501"/>
      <c r="M9" s="501"/>
      <c r="N9" s="501"/>
      <c r="O9" s="501"/>
      <c r="P9" s="501"/>
    </row>
    <row r="10" spans="1:16" ht="15.75">
      <c r="A10" s="510"/>
      <c r="B10" s="503" t="e">
        <f t="shared" ca="1" si="1"/>
        <v>#REF!</v>
      </c>
      <c r="C10" s="502" t="s">
        <v>2959</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2959</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2959</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2959</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3" customWidth="1"/>
    <col min="2" max="2" width="37.25" style="3233" customWidth="1"/>
    <col min="3" max="3" width="11.375" style="3233" customWidth="1"/>
    <col min="4" max="4" width="31.75" style="3233" customWidth="1"/>
    <col min="5" max="5" width="0.5" style="3233" customWidth="1"/>
    <col min="6" max="7" width="13" style="3233" customWidth="1"/>
    <col min="8" max="16384" width="9" style="3233"/>
  </cols>
  <sheetData>
    <row r="1" spans="1:5" ht="18.75">
      <c r="A1" s="3234" t="s">
        <v>94</v>
      </c>
    </row>
    <row r="2" spans="1:5" ht="78" customHeight="1">
      <c r="A2" s="32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8">
      <c r="A3" s="3298" t="str">
        <f>IF(项目基本情况!B9="房地产市场价值","估价结果一览表（市场价值不需“结果表-1”）","估价结果一览表")</f>
        <v>估价结果一览表</v>
      </c>
      <c r="B3" s="3298"/>
      <c r="C3" s="3298"/>
      <c r="D3" s="3298"/>
      <c r="E3" s="3298"/>
    </row>
    <row r="4" spans="1:5" ht="18.75">
      <c r="A4" s="3235"/>
      <c r="B4" s="3299" t="s">
        <v>95</v>
      </c>
      <c r="C4" s="3299"/>
      <c r="D4" s="3299"/>
      <c r="E4" s="3235"/>
    </row>
    <row r="5" spans="1:5" ht="15.75">
      <c r="B5" s="3291" t="s">
        <v>96</v>
      </c>
      <c r="C5" s="3236" t="s">
        <v>97</v>
      </c>
      <c r="D5" s="3237">
        <f ca="1">结果表!H101</f>
        <v>1111879</v>
      </c>
    </row>
    <row r="6" spans="1:5" ht="31.5">
      <c r="B6" s="3291"/>
      <c r="C6" s="3236" t="s">
        <v>98</v>
      </c>
      <c r="D6" s="3237" t="str">
        <f ca="1">NUMBERSTRING(INT(D5*10000),2)&amp;"元整"</f>
        <v>壹佰壹拾壹亿壹仟捌佰柒拾玖万元整</v>
      </c>
    </row>
    <row r="7" spans="1:5" ht="15.75">
      <c r="B7" s="3292"/>
      <c r="C7" s="3238" t="s">
        <v>99</v>
      </c>
      <c r="D7" s="3239">
        <f ca="1">结果表!H102</f>
        <v>18625</v>
      </c>
    </row>
    <row r="8" spans="1:5" ht="15.75">
      <c r="B8" s="3293" t="str">
        <f>结果表!E103</f>
        <v>2.估价师知悉的法定优先受偿款</v>
      </c>
      <c r="C8" s="3240" t="s">
        <v>100</v>
      </c>
      <c r="D8" s="3239">
        <f>结果表!H103</f>
        <v>0</v>
      </c>
    </row>
    <row r="9" spans="1:5" ht="15.75">
      <c r="B9" s="3295"/>
      <c r="C9" s="3236" t="s">
        <v>98</v>
      </c>
      <c r="D9" s="3237" t="str">
        <f>NUMBERSTRING(INT(D8*10000),2)&amp;"元整"</f>
        <v>零元整</v>
      </c>
    </row>
    <row r="10" spans="1:5" ht="15">
      <c r="B10" s="3241" t="s">
        <v>101</v>
      </c>
      <c r="C10" s="3242" t="s">
        <v>102</v>
      </c>
      <c r="D10" s="3243">
        <f>结果表!H104</f>
        <v>0</v>
      </c>
    </row>
    <row r="11" spans="1:5" ht="15">
      <c r="B11" s="3241" t="s">
        <v>103</v>
      </c>
      <c r="C11" s="3242" t="s">
        <v>102</v>
      </c>
      <c r="D11" s="3243">
        <f>结果表!H105</f>
        <v>0</v>
      </c>
    </row>
    <row r="12" spans="1:5" ht="15">
      <c r="B12" s="3241" t="s">
        <v>104</v>
      </c>
      <c r="C12" s="3242" t="s">
        <v>102</v>
      </c>
      <c r="D12" s="3243">
        <f>结果表!H106</f>
        <v>0</v>
      </c>
    </row>
    <row r="13" spans="1:5" ht="15.75">
      <c r="B13" s="3290" t="str">
        <f>结果表!E107</f>
        <v>3.房地产抵押价值</v>
      </c>
      <c r="C13" s="3244" t="s">
        <v>97</v>
      </c>
      <c r="D13" s="3245">
        <f ca="1">结果表!H107</f>
        <v>1111879</v>
      </c>
    </row>
    <row r="14" spans="1:5" ht="31.5">
      <c r="B14" s="3291"/>
      <c r="C14" s="3236" t="s">
        <v>98</v>
      </c>
      <c r="D14" s="3237" t="str">
        <f ca="1">NUMBERSTRING(INT(D13*10000),2)&amp;"元整"</f>
        <v>壹佰壹拾壹亿壹仟捌佰柒拾玖万元整</v>
      </c>
    </row>
    <row r="15" spans="1:5" ht="15">
      <c r="B15" s="3292"/>
      <c r="C15" s="3238" t="s">
        <v>99</v>
      </c>
      <c r="D15" s="3246">
        <f ca="1">结果表!H108</f>
        <v>18625</v>
      </c>
    </row>
    <row r="16" spans="1:5" ht="15">
      <c r="B16" s="3293" t="str">
        <f>结果表!E109</f>
        <v>——</v>
      </c>
      <c r="C16" s="3244" t="s">
        <v>97</v>
      </c>
      <c r="D16" s="3247" t="str">
        <f>结果表!H109</f>
        <v>——</v>
      </c>
    </row>
    <row r="17" spans="1:5" ht="15.75">
      <c r="B17" s="3294"/>
      <c r="C17" s="3236" t="s">
        <v>98</v>
      </c>
      <c r="D17" s="3237" t="e">
        <f>NUMBERSTRING(INT(D16*10000),2)&amp;"元整"</f>
        <v>#VALUE!</v>
      </c>
    </row>
    <row r="18" spans="1:5" ht="15">
      <c r="B18" s="3295"/>
      <c r="C18" s="3238" t="s">
        <v>99</v>
      </c>
      <c r="D18" s="3246" t="str">
        <f>结果表!H110</f>
        <v>——</v>
      </c>
    </row>
    <row r="19" spans="1:5" ht="15.75">
      <c r="B19" s="3290" t="str">
        <f>结果表!E111</f>
        <v>——</v>
      </c>
      <c r="C19" s="3244" t="s">
        <v>97</v>
      </c>
      <c r="D19" s="3239" t="str">
        <f>结果表!H111</f>
        <v>——</v>
      </c>
    </row>
    <row r="20" spans="1:5" ht="15.75">
      <c r="B20" s="3291"/>
      <c r="C20" s="3236" t="s">
        <v>98</v>
      </c>
      <c r="D20" s="3237" t="e">
        <f>NUMBERSTRING(INT(D19*10000),2)&amp;"元整"</f>
        <v>#VALUE!</v>
      </c>
    </row>
    <row r="21" spans="1:5" ht="15">
      <c r="B21" s="3296"/>
      <c r="C21" s="3248" t="s">
        <v>99</v>
      </c>
      <c r="D21" s="3249" t="str">
        <f>结果表!H112</f>
        <v>——</v>
      </c>
    </row>
    <row r="22" spans="1:5">
      <c r="B22" s="3250" t="s">
        <v>105</v>
      </c>
    </row>
    <row r="24" spans="1:5" ht="18.75">
      <c r="A24" s="3251"/>
      <c r="B24" s="3252" t="s">
        <v>106</v>
      </c>
      <c r="C24" s="3251"/>
      <c r="D24" s="3251"/>
      <c r="E24" s="3251"/>
    </row>
    <row r="25" spans="1:5">
      <c r="A25" s="3251"/>
      <c r="B25" s="3251"/>
      <c r="C25" s="3251"/>
      <c r="D25" s="3251"/>
      <c r="E25" s="3251"/>
    </row>
    <row r="26" spans="1:5">
      <c r="A26" s="3251"/>
      <c r="B26" s="3251"/>
      <c r="C26" s="3251"/>
      <c r="D26" s="3251"/>
      <c r="E26" s="3251"/>
    </row>
    <row r="27" spans="1:5">
      <c r="A27" s="3251"/>
      <c r="B27" s="3251"/>
      <c r="C27" s="3251"/>
      <c r="D27" s="3251"/>
      <c r="E27" s="3251"/>
    </row>
    <row r="28" spans="1:5">
      <c r="A28" s="3251"/>
      <c r="B28" s="3251"/>
      <c r="C28" s="3251"/>
      <c r="D28" s="3251"/>
      <c r="E28" s="3251"/>
    </row>
    <row r="29" spans="1:5">
      <c r="A29" s="3251"/>
      <c r="B29" s="3251"/>
      <c r="C29" s="3251"/>
      <c r="D29" s="3251"/>
      <c r="E29" s="3251"/>
    </row>
    <row r="30" spans="1:5">
      <c r="A30" s="3251"/>
      <c r="B30" s="3251"/>
      <c r="C30" s="3251"/>
      <c r="D30" s="3251"/>
      <c r="E30" s="3251"/>
    </row>
    <row r="31" spans="1:5">
      <c r="A31" s="3251"/>
      <c r="B31" s="3251"/>
      <c r="C31" s="3251"/>
      <c r="D31" s="3251"/>
      <c r="E31" s="3251"/>
    </row>
    <row r="32" spans="1:5">
      <c r="A32" s="3251"/>
      <c r="B32" s="3251"/>
      <c r="C32" s="3251"/>
      <c r="D32" s="3251"/>
      <c r="E32" s="3251"/>
    </row>
    <row r="33" spans="1:5">
      <c r="A33" s="3251"/>
      <c r="B33" s="3251"/>
      <c r="C33" s="3251"/>
      <c r="D33" s="3251"/>
      <c r="E33" s="3251"/>
    </row>
    <row r="34" spans="1:5">
      <c r="A34" s="3251"/>
      <c r="B34" s="3251"/>
      <c r="C34" s="3251"/>
      <c r="D34" s="3251"/>
      <c r="E34" s="3251"/>
    </row>
    <row r="35" spans="1:5">
      <c r="A35" s="3251"/>
      <c r="B35" s="3251"/>
      <c r="C35" s="3251"/>
      <c r="D35" s="3251"/>
      <c r="E35" s="3251"/>
    </row>
    <row r="36" spans="1:5">
      <c r="A36" s="3251"/>
      <c r="B36" s="3251"/>
      <c r="C36" s="3251"/>
      <c r="D36" s="3251"/>
      <c r="E36" s="3251"/>
    </row>
    <row r="37" spans="1:5">
      <c r="A37" s="3251"/>
      <c r="B37" s="3251"/>
      <c r="C37" s="3251"/>
      <c r="D37" s="3251"/>
      <c r="E37" s="3251"/>
    </row>
    <row r="38" spans="1:5">
      <c r="A38" s="3251"/>
      <c r="B38" s="3251"/>
      <c r="C38" s="3251"/>
      <c r="D38" s="3251"/>
      <c r="E38" s="3251"/>
    </row>
    <row r="39" spans="1:5">
      <c r="A39" s="3251"/>
      <c r="B39" s="3251"/>
      <c r="C39" s="3251"/>
      <c r="D39" s="3251"/>
      <c r="E39" s="3251"/>
    </row>
    <row r="40" spans="1:5">
      <c r="A40" s="3251"/>
      <c r="B40" s="3251"/>
      <c r="C40" s="3251"/>
      <c r="D40" s="3251"/>
      <c r="E40" s="3251"/>
    </row>
    <row r="41" spans="1:5">
      <c r="A41" s="3251"/>
      <c r="B41" s="3251"/>
      <c r="C41" s="3251"/>
      <c r="D41" s="3251"/>
      <c r="E41" s="3251"/>
    </row>
    <row r="42" spans="1:5">
      <c r="A42" s="3251"/>
      <c r="B42" s="3251"/>
      <c r="C42" s="3251"/>
      <c r="D42" s="3251"/>
      <c r="E42" s="32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559</v>
      </c>
      <c r="B2" s="444">
        <v>3.5</v>
      </c>
      <c r="C2" s="444">
        <v>3.5</v>
      </c>
      <c r="D2" s="445">
        <v>2.5</v>
      </c>
      <c r="E2" s="445">
        <v>2.5</v>
      </c>
      <c r="F2" s="445">
        <v>2.5</v>
      </c>
      <c r="G2" s="445">
        <v>2.5</v>
      </c>
      <c r="H2" s="445">
        <v>2.5</v>
      </c>
      <c r="I2" s="444">
        <v>2</v>
      </c>
      <c r="J2" s="444">
        <v>2</v>
      </c>
      <c r="K2" s="444">
        <v>2</v>
      </c>
      <c r="L2" s="444">
        <v>2</v>
      </c>
      <c r="M2" s="488">
        <v>2</v>
      </c>
    </row>
    <row r="3" spans="1:13" ht="19.5" customHeight="1">
      <c r="A3" s="446" t="s">
        <v>2967</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2968</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1274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2969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2970</v>
      </c>
      <c r="B18" s="460"/>
      <c r="C18" s="461"/>
      <c r="D18" s="461"/>
      <c r="E18" s="460"/>
      <c r="F18" s="461"/>
      <c r="G18" s="461"/>
    </row>
    <row r="19" spans="1:13" ht="19.5" customHeight="1">
      <c r="A19" s="459" t="s">
        <v>2971</v>
      </c>
      <c r="B19" s="462" t="s">
        <v>2972</v>
      </c>
      <c r="C19" s="462" t="s">
        <v>2973</v>
      </c>
      <c r="D19" s="463"/>
      <c r="E19" s="459" t="s">
        <v>2974</v>
      </c>
      <c r="F19" s="464"/>
      <c r="G19" s="464"/>
    </row>
    <row r="20" spans="1:13" ht="19.5" customHeight="1">
      <c r="A20" s="3618" t="s">
        <v>559</v>
      </c>
      <c r="B20" s="3624" t="s">
        <v>2975</v>
      </c>
      <c r="C20" s="465" t="s">
        <v>1199</v>
      </c>
      <c r="D20" s="466"/>
      <c r="E20" s="467">
        <v>1</v>
      </c>
      <c r="F20" s="468" t="s">
        <v>2976</v>
      </c>
      <c r="G20" s="468"/>
    </row>
    <row r="21" spans="1:13" ht="19.5" customHeight="1">
      <c r="A21" s="3619"/>
      <c r="B21" s="3625"/>
      <c r="C21" s="469" t="s">
        <v>2977</v>
      </c>
      <c r="D21" s="470"/>
      <c r="E21" s="471">
        <v>1</v>
      </c>
      <c r="F21" s="468" t="s">
        <v>2978</v>
      </c>
      <c r="G21" s="468"/>
    </row>
    <row r="22" spans="1:13" ht="19.5" customHeight="1">
      <c r="A22" s="3619"/>
      <c r="B22" s="3625"/>
      <c r="C22" s="469" t="s">
        <v>2979</v>
      </c>
      <c r="D22" s="470"/>
      <c r="E22" s="471">
        <v>0.9</v>
      </c>
      <c r="F22" s="468" t="s">
        <v>2980</v>
      </c>
      <c r="G22" s="468"/>
    </row>
    <row r="23" spans="1:13" ht="19.5" customHeight="1">
      <c r="A23" s="3619"/>
      <c r="B23" s="3625"/>
      <c r="C23" s="469" t="s">
        <v>2981</v>
      </c>
      <c r="D23" s="470"/>
      <c r="E23" s="471">
        <v>0.9</v>
      </c>
      <c r="F23" s="468" t="s">
        <v>2982</v>
      </c>
      <c r="G23" s="468"/>
    </row>
    <row r="24" spans="1:13" ht="19.5" customHeight="1">
      <c r="A24" s="3619"/>
      <c r="B24" s="3625"/>
      <c r="C24" s="469" t="s">
        <v>2983</v>
      </c>
      <c r="D24" s="470"/>
      <c r="E24" s="471">
        <v>0.8</v>
      </c>
      <c r="F24" s="468" t="s">
        <v>2984</v>
      </c>
      <c r="G24" s="468"/>
    </row>
    <row r="25" spans="1:13" ht="19.5" customHeight="1">
      <c r="A25" s="3620"/>
      <c r="B25" s="3626"/>
      <c r="C25" s="472" t="s">
        <v>2985</v>
      </c>
      <c r="D25" s="473"/>
      <c r="E25" s="474">
        <v>0.8</v>
      </c>
      <c r="F25" s="468" t="s">
        <v>2986</v>
      </c>
      <c r="G25" s="468"/>
    </row>
    <row r="26" spans="1:13" ht="19.5" customHeight="1">
      <c r="A26" s="475" t="s">
        <v>2967</v>
      </c>
      <c r="B26" s="476" t="s">
        <v>2975</v>
      </c>
      <c r="C26" s="477" t="s">
        <v>2987</v>
      </c>
      <c r="D26" s="478"/>
      <c r="E26" s="479">
        <v>1</v>
      </c>
      <c r="F26" s="468" t="s">
        <v>2988</v>
      </c>
      <c r="G26" s="468"/>
    </row>
    <row r="27" spans="1:13" ht="19.5" customHeight="1">
      <c r="A27" s="3621" t="s">
        <v>280</v>
      </c>
      <c r="B27" s="3624" t="s">
        <v>280</v>
      </c>
      <c r="C27" s="465" t="s">
        <v>2989</v>
      </c>
      <c r="D27" s="466"/>
      <c r="E27" s="467">
        <v>1</v>
      </c>
      <c r="F27" s="468" t="s">
        <v>2990</v>
      </c>
      <c r="G27" s="468"/>
    </row>
    <row r="28" spans="1:13" ht="19.5" customHeight="1">
      <c r="A28" s="3622"/>
      <c r="B28" s="3625"/>
      <c r="C28" s="469" t="s">
        <v>2991</v>
      </c>
      <c r="D28" s="470"/>
      <c r="E28" s="471">
        <v>1</v>
      </c>
      <c r="F28" s="468" t="s">
        <v>2992</v>
      </c>
      <c r="G28" s="468"/>
    </row>
    <row r="29" spans="1:13" ht="19.5" customHeight="1">
      <c r="A29" s="3622"/>
      <c r="B29" s="3625"/>
      <c r="C29" s="469" t="s">
        <v>2993</v>
      </c>
      <c r="D29" s="470"/>
      <c r="E29" s="471">
        <v>0.8</v>
      </c>
      <c r="F29" s="468" t="s">
        <v>2994</v>
      </c>
      <c r="G29" s="468"/>
    </row>
    <row r="30" spans="1:13" ht="19.5" customHeight="1">
      <c r="A30" s="3622"/>
      <c r="B30" s="3625"/>
      <c r="C30" s="469" t="s">
        <v>2995</v>
      </c>
      <c r="D30" s="470"/>
      <c r="E30" s="471">
        <v>0.8</v>
      </c>
      <c r="F30" s="468" t="s">
        <v>2996</v>
      </c>
      <c r="G30" s="468"/>
    </row>
    <row r="31" spans="1:13" ht="19.5" customHeight="1">
      <c r="A31" s="3622"/>
      <c r="B31" s="3625"/>
      <c r="C31" s="469" t="s">
        <v>2997</v>
      </c>
      <c r="D31" s="470"/>
      <c r="E31" s="471">
        <v>0.8</v>
      </c>
      <c r="F31" s="468" t="s">
        <v>2998</v>
      </c>
      <c r="G31" s="468"/>
    </row>
    <row r="32" spans="1:13" ht="19.5" customHeight="1">
      <c r="A32" s="3622"/>
      <c r="B32" s="3625"/>
      <c r="C32" s="469" t="s">
        <v>2999</v>
      </c>
      <c r="D32" s="470"/>
      <c r="E32" s="471">
        <v>0.7</v>
      </c>
      <c r="F32" s="468" t="s">
        <v>3000</v>
      </c>
      <c r="G32" s="468"/>
    </row>
    <row r="33" spans="1:7" ht="19.5" customHeight="1">
      <c r="A33" s="3622"/>
      <c r="B33" s="3625"/>
      <c r="C33" s="469" t="s">
        <v>3001</v>
      </c>
      <c r="D33" s="470"/>
      <c r="E33" s="471">
        <v>0.8</v>
      </c>
      <c r="F33" s="468" t="s">
        <v>3002</v>
      </c>
      <c r="G33" s="468"/>
    </row>
    <row r="34" spans="1:7" ht="19.5" customHeight="1">
      <c r="A34" s="3622"/>
      <c r="B34" s="3625"/>
      <c r="C34" s="469" t="s">
        <v>3003</v>
      </c>
      <c r="D34" s="470"/>
      <c r="E34" s="471">
        <v>0.6</v>
      </c>
      <c r="F34" s="468" t="s">
        <v>3004</v>
      </c>
      <c r="G34" s="468"/>
    </row>
    <row r="35" spans="1:7" ht="19.5" customHeight="1">
      <c r="A35" s="3622"/>
      <c r="B35" s="3625"/>
      <c r="C35" s="469" t="s">
        <v>3005</v>
      </c>
      <c r="D35" s="470"/>
      <c r="E35" s="471">
        <v>0.2</v>
      </c>
      <c r="F35" s="468" t="s">
        <v>3006</v>
      </c>
      <c r="G35" s="468"/>
    </row>
    <row r="36" spans="1:7" ht="19.5" customHeight="1">
      <c r="A36" s="3622"/>
      <c r="B36" s="3625"/>
      <c r="C36" s="469" t="s">
        <v>3007</v>
      </c>
      <c r="D36" s="470"/>
      <c r="E36" s="471">
        <v>0.2</v>
      </c>
      <c r="F36" s="468" t="s">
        <v>3008</v>
      </c>
      <c r="G36" s="468"/>
    </row>
    <row r="37" spans="1:7" ht="19.5" customHeight="1">
      <c r="A37" s="3622"/>
      <c r="B37" s="3627" t="s">
        <v>3009</v>
      </c>
      <c r="C37" s="469" t="s">
        <v>3010</v>
      </c>
      <c r="D37" s="470"/>
      <c r="E37" s="471">
        <v>0.6</v>
      </c>
      <c r="F37" s="468" t="s">
        <v>3011</v>
      </c>
      <c r="G37" s="468"/>
    </row>
    <row r="38" spans="1:7" ht="19.5" customHeight="1">
      <c r="A38" s="3622"/>
      <c r="B38" s="3625"/>
      <c r="C38" s="469" t="s">
        <v>3012</v>
      </c>
      <c r="D38" s="470"/>
      <c r="E38" s="471">
        <v>0.6</v>
      </c>
      <c r="F38" s="468" t="s">
        <v>3013</v>
      </c>
      <c r="G38" s="468"/>
    </row>
    <row r="39" spans="1:7" ht="19.5" customHeight="1">
      <c r="A39" s="3623"/>
      <c r="B39" s="3626"/>
      <c r="C39" s="472" t="s">
        <v>3014</v>
      </c>
      <c r="D39" s="473"/>
      <c r="E39" s="474">
        <v>0.6</v>
      </c>
      <c r="F39" s="468" t="s">
        <v>3015</v>
      </c>
      <c r="G39" s="468"/>
    </row>
    <row r="40" spans="1:7" ht="19.5" customHeight="1">
      <c r="A40" s="475" t="s">
        <v>412</v>
      </c>
      <c r="B40" s="476" t="s">
        <v>412</v>
      </c>
      <c r="C40" s="477" t="s">
        <v>3016</v>
      </c>
      <c r="D40" s="478"/>
      <c r="E40" s="479">
        <v>1</v>
      </c>
      <c r="F40" s="468" t="s">
        <v>3017</v>
      </c>
      <c r="G40" s="468"/>
    </row>
    <row r="41" spans="1:7" ht="19.5" customHeight="1">
      <c r="A41" s="3618" t="s">
        <v>408</v>
      </c>
      <c r="B41" s="3624" t="s">
        <v>3018</v>
      </c>
      <c r="C41" s="465" t="s">
        <v>3019</v>
      </c>
      <c r="D41" s="466"/>
      <c r="E41" s="467">
        <v>1</v>
      </c>
      <c r="F41" s="468" t="s">
        <v>3020</v>
      </c>
      <c r="G41" s="468"/>
    </row>
    <row r="42" spans="1:7" ht="19.5" customHeight="1">
      <c r="A42" s="3619"/>
      <c r="B42" s="3625"/>
      <c r="C42" s="469" t="s">
        <v>3021</v>
      </c>
      <c r="D42" s="470"/>
      <c r="E42" s="471">
        <v>1</v>
      </c>
      <c r="F42" s="468" t="s">
        <v>3022</v>
      </c>
      <c r="G42" s="468"/>
    </row>
    <row r="43" spans="1:7" ht="19.5" customHeight="1">
      <c r="A43" s="3619"/>
      <c r="B43" s="3628"/>
      <c r="C43" s="469" t="s">
        <v>3023</v>
      </c>
      <c r="D43" s="470"/>
      <c r="E43" s="471">
        <v>1.5</v>
      </c>
      <c r="F43" s="468" t="s">
        <v>3024</v>
      </c>
      <c r="G43" s="468"/>
    </row>
    <row r="44" spans="1:7" ht="19.5" customHeight="1">
      <c r="A44" s="3619"/>
      <c r="B44" s="481" t="s">
        <v>280</v>
      </c>
      <c r="C44" s="469" t="s">
        <v>2968</v>
      </c>
      <c r="D44" s="470"/>
      <c r="E44" s="471">
        <v>2</v>
      </c>
      <c r="F44" s="468" t="s">
        <v>3025</v>
      </c>
      <c r="G44" s="468"/>
    </row>
    <row r="45" spans="1:7" ht="19.5" customHeight="1">
      <c r="A45" s="3619"/>
      <c r="B45" s="3627" t="s">
        <v>3026</v>
      </c>
      <c r="C45" s="469" t="s">
        <v>3027</v>
      </c>
      <c r="D45" s="470"/>
      <c r="E45" s="471">
        <v>1</v>
      </c>
      <c r="F45" s="468" t="s">
        <v>3028</v>
      </c>
      <c r="G45" s="468"/>
    </row>
    <row r="46" spans="1:7" ht="19.5" customHeight="1">
      <c r="A46" s="3619"/>
      <c r="B46" s="3625"/>
      <c r="C46" s="469" t="s">
        <v>3029</v>
      </c>
      <c r="D46" s="470"/>
      <c r="E46" s="471">
        <v>1</v>
      </c>
      <c r="F46" s="468" t="s">
        <v>3030</v>
      </c>
      <c r="G46" s="468"/>
    </row>
    <row r="47" spans="1:7" ht="19.5" customHeight="1">
      <c r="A47" s="3619"/>
      <c r="B47" s="3625"/>
      <c r="C47" s="469" t="s">
        <v>3031</v>
      </c>
      <c r="D47" s="470"/>
      <c r="E47" s="471">
        <v>1</v>
      </c>
      <c r="F47" s="468" t="s">
        <v>3032</v>
      </c>
      <c r="G47" s="468"/>
    </row>
    <row r="48" spans="1:7" ht="19.5" customHeight="1">
      <c r="A48" s="3619"/>
      <c r="B48" s="3625"/>
      <c r="C48" s="469" t="s">
        <v>3033</v>
      </c>
      <c r="D48" s="470"/>
      <c r="E48" s="471">
        <v>1</v>
      </c>
      <c r="F48" s="468" t="s">
        <v>3034</v>
      </c>
      <c r="G48" s="468"/>
    </row>
    <row r="49" spans="1:7" ht="19.5" customHeight="1">
      <c r="A49" s="3619"/>
      <c r="B49" s="3625"/>
      <c r="C49" s="469" t="s">
        <v>3035</v>
      </c>
      <c r="D49" s="470"/>
      <c r="E49" s="471">
        <v>1</v>
      </c>
      <c r="F49" s="468" t="s">
        <v>3036</v>
      </c>
      <c r="G49" s="468"/>
    </row>
    <row r="50" spans="1:7" ht="19.5" customHeight="1">
      <c r="A50" s="3619"/>
      <c r="B50" s="3625"/>
      <c r="C50" s="469" t="s">
        <v>3037</v>
      </c>
      <c r="D50" s="470"/>
      <c r="E50" s="471">
        <v>1</v>
      </c>
      <c r="F50" s="468" t="s">
        <v>3038</v>
      </c>
      <c r="G50" s="468"/>
    </row>
    <row r="51" spans="1:7" ht="19.5" customHeight="1">
      <c r="A51" s="3620"/>
      <c r="B51" s="3626"/>
      <c r="C51" s="472" t="s">
        <v>3039</v>
      </c>
      <c r="D51" s="473"/>
      <c r="E51" s="474">
        <v>1</v>
      </c>
      <c r="F51" s="468" t="s">
        <v>3040</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3041</v>
      </c>
      <c r="G54" s="459" t="s">
        <v>432</v>
      </c>
    </row>
    <row r="55" spans="1:7" ht="19.5" customHeight="1">
      <c r="A55" s="484"/>
      <c r="B55" s="459" t="s">
        <v>559</v>
      </c>
      <c r="C55" s="459" t="s">
        <v>559</v>
      </c>
      <c r="D55" s="459" t="s">
        <v>559</v>
      </c>
      <c r="E55" s="457" t="s">
        <v>2967</v>
      </c>
      <c r="F55" s="457" t="s">
        <v>408</v>
      </c>
      <c r="G55" s="457" t="s">
        <v>2875</v>
      </c>
    </row>
    <row r="56" spans="1:7" ht="19.5" customHeight="1">
      <c r="A56" s="485"/>
      <c r="B56" s="457">
        <v>1</v>
      </c>
      <c r="C56" s="457">
        <v>2</v>
      </c>
      <c r="D56" s="457">
        <v>3</v>
      </c>
      <c r="E56" s="486" t="s">
        <v>3042</v>
      </c>
      <c r="F56" s="486" t="s">
        <v>3042</v>
      </c>
      <c r="G56" s="486" t="s">
        <v>3042</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3043</v>
      </c>
      <c r="E70" s="497"/>
      <c r="F70" s="497"/>
    </row>
    <row r="71" spans="1:7" ht="19.5" customHeight="1">
      <c r="A71" s="481" t="s">
        <v>3044</v>
      </c>
      <c r="B71" s="481" t="s">
        <v>3045</v>
      </c>
      <c r="C71" s="481" t="s">
        <v>3046</v>
      </c>
      <c r="D71" s="481" t="s">
        <v>3047</v>
      </c>
      <c r="E71" s="481" t="s">
        <v>3048</v>
      </c>
      <c r="F71" s="481" t="s">
        <v>3049</v>
      </c>
    </row>
    <row r="72" spans="1:7" ht="13.5">
      <c r="A72" s="481"/>
      <c r="B72" s="481"/>
      <c r="C72" s="481" t="s">
        <v>1216</v>
      </c>
      <c r="D72" s="481"/>
      <c r="E72" s="481" t="s">
        <v>124</v>
      </c>
      <c r="F72" s="481" t="s">
        <v>124</v>
      </c>
    </row>
    <row r="73" spans="1:7" ht="13.5">
      <c r="A73" s="481">
        <v>1</v>
      </c>
      <c r="B73" s="3627" t="s">
        <v>3050</v>
      </c>
      <c r="C73" s="457" t="s">
        <v>3051</v>
      </c>
      <c r="D73" s="457" t="s">
        <v>3052</v>
      </c>
      <c r="E73" s="481">
        <v>0.2</v>
      </c>
      <c r="F73" s="481">
        <v>25</v>
      </c>
    </row>
    <row r="74" spans="1:7" ht="24">
      <c r="A74" s="481">
        <v>2</v>
      </c>
      <c r="B74" s="3625"/>
      <c r="C74" s="457" t="s">
        <v>3053</v>
      </c>
      <c r="D74" s="457" t="s">
        <v>3054</v>
      </c>
      <c r="E74" s="481">
        <v>0.2</v>
      </c>
      <c r="F74" s="481">
        <v>25</v>
      </c>
    </row>
    <row r="75" spans="1:7" ht="24">
      <c r="A75" s="481">
        <v>3</v>
      </c>
      <c r="B75" s="3625"/>
      <c r="C75" s="457" t="s">
        <v>3055</v>
      </c>
      <c r="D75" s="457" t="s">
        <v>3056</v>
      </c>
      <c r="E75" s="481">
        <v>0.2</v>
      </c>
      <c r="F75" s="481">
        <v>25</v>
      </c>
    </row>
    <row r="76" spans="1:7" ht="13.5">
      <c r="A76" s="481">
        <v>4</v>
      </c>
      <c r="B76" s="3625"/>
      <c r="C76" s="457" t="s">
        <v>3057</v>
      </c>
      <c r="D76" s="457" t="s">
        <v>3058</v>
      </c>
      <c r="E76" s="481">
        <v>0.15</v>
      </c>
      <c r="F76" s="481">
        <v>20</v>
      </c>
    </row>
    <row r="77" spans="1:7" ht="24">
      <c r="A77" s="481">
        <v>5</v>
      </c>
      <c r="B77" s="3625"/>
      <c r="C77" s="457" t="s">
        <v>3059</v>
      </c>
      <c r="D77" s="457" t="s">
        <v>3060</v>
      </c>
      <c r="E77" s="481">
        <v>0.15</v>
      </c>
      <c r="F77" s="481">
        <v>20</v>
      </c>
    </row>
    <row r="78" spans="1:7" ht="24">
      <c r="A78" s="481">
        <v>6</v>
      </c>
      <c r="B78" s="3625"/>
      <c r="C78" s="457" t="s">
        <v>3061</v>
      </c>
      <c r="D78" s="457" t="s">
        <v>3062</v>
      </c>
      <c r="E78" s="481">
        <v>0.15</v>
      </c>
      <c r="F78" s="481">
        <v>20</v>
      </c>
    </row>
    <row r="79" spans="1:7" ht="24">
      <c r="A79" s="481">
        <v>7</v>
      </c>
      <c r="B79" s="3625"/>
      <c r="C79" s="457" t="s">
        <v>3063</v>
      </c>
      <c r="D79" s="457" t="s">
        <v>3064</v>
      </c>
      <c r="E79" s="481">
        <v>0.15</v>
      </c>
      <c r="F79" s="481">
        <v>20</v>
      </c>
    </row>
    <row r="80" spans="1:7" ht="24">
      <c r="A80" s="481">
        <v>8</v>
      </c>
      <c r="B80" s="3625"/>
      <c r="C80" s="457" t="s">
        <v>3065</v>
      </c>
      <c r="D80" s="457" t="s">
        <v>3066</v>
      </c>
      <c r="E80" s="481">
        <v>0.1</v>
      </c>
      <c r="F80" s="481">
        <v>15</v>
      </c>
    </row>
    <row r="81" spans="1:6" ht="24">
      <c r="A81" s="481">
        <v>9</v>
      </c>
      <c r="B81" s="3625"/>
      <c r="C81" s="457" t="s">
        <v>3067</v>
      </c>
      <c r="D81" s="457" t="s">
        <v>3068</v>
      </c>
      <c r="E81" s="481">
        <v>0.1</v>
      </c>
      <c r="F81" s="481">
        <v>15</v>
      </c>
    </row>
    <row r="82" spans="1:6" ht="24">
      <c r="A82" s="481">
        <v>10</v>
      </c>
      <c r="B82" s="3625"/>
      <c r="C82" s="457" t="s">
        <v>3069</v>
      </c>
      <c r="D82" s="457" t="s">
        <v>3070</v>
      </c>
      <c r="E82" s="481">
        <v>0.1</v>
      </c>
      <c r="F82" s="481">
        <v>15</v>
      </c>
    </row>
    <row r="83" spans="1:6" ht="24">
      <c r="A83" s="481">
        <v>11</v>
      </c>
      <c r="B83" s="3625"/>
      <c r="C83" s="457" t="s">
        <v>3071</v>
      </c>
      <c r="D83" s="457" t="s">
        <v>3072</v>
      </c>
      <c r="E83" s="481">
        <v>0.1</v>
      </c>
      <c r="F83" s="481">
        <v>15</v>
      </c>
    </row>
    <row r="84" spans="1:6" ht="24">
      <c r="A84" s="481">
        <v>12</v>
      </c>
      <c r="B84" s="3625"/>
      <c r="C84" s="457" t="s">
        <v>3073</v>
      </c>
      <c r="D84" s="457" t="s">
        <v>3074</v>
      </c>
      <c r="E84" s="481">
        <v>0.1</v>
      </c>
      <c r="F84" s="481">
        <v>15</v>
      </c>
    </row>
    <row r="85" spans="1:6" ht="13.5">
      <c r="A85" s="481">
        <v>13</v>
      </c>
      <c r="B85" s="3625"/>
      <c r="C85" s="457" t="s">
        <v>3075</v>
      </c>
      <c r="D85" s="457" t="s">
        <v>3076</v>
      </c>
      <c r="E85" s="481">
        <v>0.1</v>
      </c>
      <c r="F85" s="481">
        <v>15</v>
      </c>
    </row>
    <row r="86" spans="1:6" ht="13.5">
      <c r="A86" s="481">
        <v>14</v>
      </c>
      <c r="B86" s="3625"/>
      <c r="C86" s="457" t="s">
        <v>3077</v>
      </c>
      <c r="D86" s="457" t="s">
        <v>3078</v>
      </c>
      <c r="E86" s="481">
        <v>0.1</v>
      </c>
      <c r="F86" s="481">
        <v>15</v>
      </c>
    </row>
    <row r="87" spans="1:6" ht="13.5">
      <c r="A87" s="481">
        <v>15</v>
      </c>
      <c r="B87" s="3625"/>
      <c r="C87" s="457" t="s">
        <v>3079</v>
      </c>
      <c r="D87" s="457" t="s">
        <v>3080</v>
      </c>
      <c r="E87" s="481">
        <v>0.1</v>
      </c>
      <c r="F87" s="481">
        <v>15</v>
      </c>
    </row>
    <row r="88" spans="1:6" ht="24">
      <c r="A88" s="481">
        <v>16</v>
      </c>
      <c r="B88" s="3625"/>
      <c r="C88" s="457" t="s">
        <v>3081</v>
      </c>
      <c r="D88" s="457" t="s">
        <v>3082</v>
      </c>
      <c r="E88" s="481">
        <v>0.1</v>
      </c>
      <c r="F88" s="481">
        <v>15</v>
      </c>
    </row>
    <row r="89" spans="1:6" ht="24">
      <c r="A89" s="481">
        <v>17</v>
      </c>
      <c r="B89" s="3628"/>
      <c r="C89" s="457" t="s">
        <v>3083</v>
      </c>
      <c r="D89" s="457" t="s">
        <v>3084</v>
      </c>
      <c r="E89" s="481">
        <v>0.1</v>
      </c>
      <c r="F89" s="481">
        <v>15</v>
      </c>
    </row>
    <row r="90" spans="1:6" ht="13.5">
      <c r="A90" s="481">
        <v>18</v>
      </c>
      <c r="B90" s="3627" t="s">
        <v>3085</v>
      </c>
      <c r="C90" s="457" t="s">
        <v>3086</v>
      </c>
      <c r="D90" s="457" t="s">
        <v>3087</v>
      </c>
      <c r="E90" s="481">
        <v>0.2</v>
      </c>
      <c r="F90" s="481">
        <v>25</v>
      </c>
    </row>
    <row r="91" spans="1:6" ht="24">
      <c r="A91" s="481">
        <v>19</v>
      </c>
      <c r="B91" s="3625"/>
      <c r="C91" s="457" t="s">
        <v>3088</v>
      </c>
      <c r="D91" s="457" t="s">
        <v>3089</v>
      </c>
      <c r="E91" s="481">
        <v>0.2</v>
      </c>
      <c r="F91" s="481">
        <v>25</v>
      </c>
    </row>
    <row r="92" spans="1:6" ht="13.5">
      <c r="A92" s="481">
        <v>20</v>
      </c>
      <c r="B92" s="3625"/>
      <c r="C92" s="457" t="s">
        <v>3090</v>
      </c>
      <c r="D92" s="457" t="s">
        <v>3091</v>
      </c>
      <c r="E92" s="481">
        <v>0.15</v>
      </c>
      <c r="F92" s="481">
        <v>20</v>
      </c>
    </row>
    <row r="93" spans="1:6" ht="13.5">
      <c r="A93" s="481">
        <v>21</v>
      </c>
      <c r="B93" s="3625"/>
      <c r="C93" s="457" t="s">
        <v>3092</v>
      </c>
      <c r="D93" s="457" t="s">
        <v>3093</v>
      </c>
      <c r="E93" s="481">
        <v>0.15</v>
      </c>
      <c r="F93" s="481">
        <v>20</v>
      </c>
    </row>
    <row r="94" spans="1:6" ht="13.5">
      <c r="A94" s="481">
        <v>22</v>
      </c>
      <c r="B94" s="3625"/>
      <c r="C94" s="457" t="s">
        <v>3094</v>
      </c>
      <c r="D94" s="457" t="s">
        <v>3095</v>
      </c>
      <c r="E94" s="481">
        <v>0.15</v>
      </c>
      <c r="F94" s="481">
        <v>20</v>
      </c>
    </row>
    <row r="95" spans="1:6" ht="36">
      <c r="A95" s="481">
        <v>23</v>
      </c>
      <c r="B95" s="3625"/>
      <c r="C95" s="457" t="s">
        <v>3096</v>
      </c>
      <c r="D95" s="457" t="s">
        <v>3097</v>
      </c>
      <c r="E95" s="481">
        <v>0.15</v>
      </c>
      <c r="F95" s="481">
        <v>20</v>
      </c>
    </row>
    <row r="96" spans="1:6" ht="13.5">
      <c r="A96" s="481">
        <v>24</v>
      </c>
      <c r="B96" s="3625"/>
      <c r="C96" s="457" t="s">
        <v>3098</v>
      </c>
      <c r="D96" s="457" t="s">
        <v>3099</v>
      </c>
      <c r="E96" s="481">
        <v>0.1</v>
      </c>
      <c r="F96" s="481">
        <v>15</v>
      </c>
    </row>
    <row r="97" spans="1:6" ht="13.5">
      <c r="A97" s="481">
        <v>25</v>
      </c>
      <c r="B97" s="3625"/>
      <c r="C97" s="457" t="s">
        <v>3100</v>
      </c>
      <c r="D97" s="457" t="s">
        <v>3101</v>
      </c>
      <c r="E97" s="481">
        <v>0.1</v>
      </c>
      <c r="F97" s="481">
        <v>15</v>
      </c>
    </row>
    <row r="98" spans="1:6" ht="24">
      <c r="A98" s="481">
        <v>26</v>
      </c>
      <c r="B98" s="3625"/>
      <c r="C98" s="457" t="s">
        <v>3102</v>
      </c>
      <c r="D98" s="457" t="s">
        <v>3103</v>
      </c>
      <c r="E98" s="481">
        <v>0.1</v>
      </c>
      <c r="F98" s="481">
        <v>15</v>
      </c>
    </row>
    <row r="99" spans="1:6" ht="24">
      <c r="A99" s="481">
        <v>27</v>
      </c>
      <c r="B99" s="3625"/>
      <c r="C99" s="457" t="s">
        <v>3104</v>
      </c>
      <c r="D99" s="457" t="s">
        <v>3105</v>
      </c>
      <c r="E99" s="481">
        <v>0.1</v>
      </c>
      <c r="F99" s="481">
        <v>15</v>
      </c>
    </row>
    <row r="100" spans="1:6" ht="13.5">
      <c r="A100" s="481">
        <v>28</v>
      </c>
      <c r="B100" s="3625"/>
      <c r="C100" s="457" t="s">
        <v>3106</v>
      </c>
      <c r="D100" s="457" t="s">
        <v>3107</v>
      </c>
      <c r="E100" s="481">
        <v>0.1</v>
      </c>
      <c r="F100" s="481">
        <v>15</v>
      </c>
    </row>
    <row r="101" spans="1:6" ht="13.5">
      <c r="A101" s="481">
        <v>29</v>
      </c>
      <c r="B101" s="3625"/>
      <c r="C101" s="457" t="s">
        <v>3108</v>
      </c>
      <c r="D101" s="457" t="s">
        <v>3109</v>
      </c>
      <c r="E101" s="481">
        <v>0.1</v>
      </c>
      <c r="F101" s="481">
        <v>15</v>
      </c>
    </row>
    <row r="102" spans="1:6" ht="13.5">
      <c r="A102" s="481">
        <v>30</v>
      </c>
      <c r="B102" s="3625"/>
      <c r="C102" s="457" t="s">
        <v>3110</v>
      </c>
      <c r="D102" s="457" t="s">
        <v>3111</v>
      </c>
      <c r="E102" s="481">
        <v>0.1</v>
      </c>
      <c r="F102" s="481">
        <v>15</v>
      </c>
    </row>
    <row r="103" spans="1:6" ht="24">
      <c r="A103" s="481">
        <v>31</v>
      </c>
      <c r="B103" s="3625"/>
      <c r="C103" s="457" t="s">
        <v>3112</v>
      </c>
      <c r="D103" s="457" t="s">
        <v>3113</v>
      </c>
      <c r="E103" s="481">
        <v>0.1</v>
      </c>
      <c r="F103" s="481">
        <v>15</v>
      </c>
    </row>
    <row r="104" spans="1:6" ht="24">
      <c r="A104" s="481">
        <v>32</v>
      </c>
      <c r="B104" s="3625"/>
      <c r="C104" s="457" t="s">
        <v>3114</v>
      </c>
      <c r="D104" s="457" t="s">
        <v>3115</v>
      </c>
      <c r="E104" s="481">
        <v>0.1</v>
      </c>
      <c r="F104" s="481">
        <v>15</v>
      </c>
    </row>
    <row r="105" spans="1:6" ht="24">
      <c r="A105" s="481">
        <v>33</v>
      </c>
      <c r="B105" s="3625"/>
      <c r="C105" s="457" t="s">
        <v>3116</v>
      </c>
      <c r="D105" s="457" t="s">
        <v>3117</v>
      </c>
      <c r="E105" s="481">
        <v>0.1</v>
      </c>
      <c r="F105" s="481">
        <v>15</v>
      </c>
    </row>
    <row r="106" spans="1:6" ht="24">
      <c r="A106" s="481">
        <v>34</v>
      </c>
      <c r="B106" s="3628"/>
      <c r="C106" s="457" t="s">
        <v>3118</v>
      </c>
      <c r="D106" s="457" t="s">
        <v>3119</v>
      </c>
      <c r="E106" s="481">
        <v>0.1</v>
      </c>
      <c r="F106" s="481">
        <v>15</v>
      </c>
    </row>
    <row r="107" spans="1:6" ht="24">
      <c r="A107" s="481">
        <v>35</v>
      </c>
      <c r="B107" s="3627" t="s">
        <v>3120</v>
      </c>
      <c r="C107" s="481" t="s">
        <v>3121</v>
      </c>
      <c r="D107" s="457" t="s">
        <v>3122</v>
      </c>
      <c r="E107" s="481">
        <v>0.15</v>
      </c>
      <c r="F107" s="481">
        <v>20</v>
      </c>
    </row>
    <row r="108" spans="1:6" ht="13.5">
      <c r="A108" s="481">
        <v>36</v>
      </c>
      <c r="B108" s="3625"/>
      <c r="C108" s="481" t="s">
        <v>3123</v>
      </c>
      <c r="D108" s="457" t="s">
        <v>3124</v>
      </c>
      <c r="E108" s="481">
        <v>0.15</v>
      </c>
      <c r="F108" s="481">
        <v>20</v>
      </c>
    </row>
    <row r="109" spans="1:6" ht="13.5">
      <c r="A109" s="481">
        <v>37</v>
      </c>
      <c r="B109" s="3625"/>
      <c r="C109" s="481" t="s">
        <v>3125</v>
      </c>
      <c r="D109" s="457" t="s">
        <v>3126</v>
      </c>
      <c r="E109" s="481">
        <v>0.15</v>
      </c>
      <c r="F109" s="481">
        <v>20</v>
      </c>
    </row>
    <row r="110" spans="1:6" ht="13.5">
      <c r="A110" s="481">
        <v>38</v>
      </c>
      <c r="B110" s="3625"/>
      <c r="C110" s="481" t="s">
        <v>3127</v>
      </c>
      <c r="D110" s="457" t="s">
        <v>3128</v>
      </c>
      <c r="E110" s="481">
        <v>0.1</v>
      </c>
      <c r="F110" s="481">
        <v>15</v>
      </c>
    </row>
    <row r="111" spans="1:6" ht="24">
      <c r="A111" s="481">
        <v>39</v>
      </c>
      <c r="B111" s="3625"/>
      <c r="C111" s="481" t="s">
        <v>3129</v>
      </c>
      <c r="D111" s="457" t="s">
        <v>3130</v>
      </c>
      <c r="E111" s="481">
        <v>0.1</v>
      </c>
      <c r="F111" s="481">
        <v>15</v>
      </c>
    </row>
    <row r="112" spans="1:6" ht="24">
      <c r="A112" s="481">
        <v>40</v>
      </c>
      <c r="B112" s="3628"/>
      <c r="C112" s="481" t="s">
        <v>3131</v>
      </c>
      <c r="D112" s="457" t="s">
        <v>3132</v>
      </c>
      <c r="E112" s="481">
        <v>0.1</v>
      </c>
      <c r="F112" s="481">
        <v>15</v>
      </c>
    </row>
    <row r="113" spans="1:6" ht="13.5">
      <c r="A113" s="481">
        <v>41</v>
      </c>
      <c r="B113" s="3629" t="s">
        <v>3133</v>
      </c>
      <c r="C113" s="481" t="s">
        <v>3134</v>
      </c>
      <c r="D113" s="457" t="s">
        <v>3135</v>
      </c>
      <c r="E113" s="481">
        <v>0.1</v>
      </c>
      <c r="F113" s="481">
        <v>15</v>
      </c>
    </row>
    <row r="114" spans="1:6" ht="13.5">
      <c r="A114" s="481">
        <v>42</v>
      </c>
      <c r="B114" s="3629"/>
      <c r="C114" s="481" t="s">
        <v>3136</v>
      </c>
      <c r="D114" s="457" t="s">
        <v>3137</v>
      </c>
      <c r="E114" s="481">
        <v>0.1</v>
      </c>
      <c r="F114" s="481">
        <v>15</v>
      </c>
    </row>
    <row r="115" spans="1:6" ht="24">
      <c r="A115" s="481">
        <v>43</v>
      </c>
      <c r="B115" s="3629"/>
      <c r="C115" s="481" t="s">
        <v>3138</v>
      </c>
      <c r="D115" s="457" t="s">
        <v>3139</v>
      </c>
      <c r="E115" s="481">
        <v>0.1</v>
      </c>
      <c r="F115" s="481">
        <v>15</v>
      </c>
    </row>
    <row r="116" spans="1:6" ht="13.5">
      <c r="A116" s="481">
        <v>44</v>
      </c>
      <c r="B116" s="3627" t="s">
        <v>3140</v>
      </c>
      <c r="C116" s="481" t="s">
        <v>3141</v>
      </c>
      <c r="D116" s="457" t="s">
        <v>3142</v>
      </c>
      <c r="E116" s="481">
        <v>0.1</v>
      </c>
      <c r="F116" s="481">
        <v>15</v>
      </c>
    </row>
    <row r="117" spans="1:6" ht="24">
      <c r="A117" s="481">
        <v>45</v>
      </c>
      <c r="B117" s="3628"/>
      <c r="C117" s="457" t="s">
        <v>3143</v>
      </c>
      <c r="D117" s="457" t="s">
        <v>3144</v>
      </c>
      <c r="E117" s="481">
        <v>0.1</v>
      </c>
      <c r="F117" s="481">
        <v>15</v>
      </c>
    </row>
    <row r="118" spans="1:6" ht="24">
      <c r="A118" s="481">
        <v>46</v>
      </c>
      <c r="B118" s="3627" t="s">
        <v>3145</v>
      </c>
      <c r="C118" s="481" t="s">
        <v>3146</v>
      </c>
      <c r="D118" s="457" t="s">
        <v>3147</v>
      </c>
      <c r="E118" s="481">
        <v>0.1</v>
      </c>
      <c r="F118" s="481">
        <v>15</v>
      </c>
    </row>
    <row r="119" spans="1:6" ht="24">
      <c r="A119" s="481">
        <v>47</v>
      </c>
      <c r="B119" s="3628"/>
      <c r="C119" s="481" t="s">
        <v>3148</v>
      </c>
      <c r="D119" s="457" t="s">
        <v>3149</v>
      </c>
      <c r="E119" s="481">
        <v>0.1</v>
      </c>
      <c r="F119" s="481">
        <v>15</v>
      </c>
    </row>
    <row r="120" spans="1:6" ht="13.5">
      <c r="A120" s="481">
        <v>48</v>
      </c>
      <c r="B120" s="3627" t="s">
        <v>3150</v>
      </c>
      <c r="C120" s="481" t="s">
        <v>3151</v>
      </c>
      <c r="D120" s="457" t="s">
        <v>3152</v>
      </c>
      <c r="E120" s="481">
        <v>0.1</v>
      </c>
      <c r="F120" s="481">
        <v>15</v>
      </c>
    </row>
    <row r="121" spans="1:6" ht="13.5">
      <c r="A121" s="481">
        <v>49</v>
      </c>
      <c r="B121" s="3628"/>
      <c r="C121" s="481" t="s">
        <v>3153</v>
      </c>
      <c r="D121" s="457" t="s">
        <v>3154</v>
      </c>
      <c r="E121" s="481">
        <v>0.1</v>
      </c>
      <c r="F121" s="481">
        <v>15</v>
      </c>
    </row>
    <row r="122" spans="1:6" ht="24">
      <c r="A122" s="481">
        <v>50</v>
      </c>
      <c r="B122" s="3629" t="s">
        <v>3155</v>
      </c>
      <c r="C122" s="481" t="s">
        <v>3156</v>
      </c>
      <c r="D122" s="457" t="s">
        <v>3157</v>
      </c>
      <c r="E122" s="481">
        <v>0.1</v>
      </c>
      <c r="F122" s="481">
        <v>15</v>
      </c>
    </row>
    <row r="123" spans="1:6" ht="24">
      <c r="A123" s="481">
        <v>51</v>
      </c>
      <c r="B123" s="3629"/>
      <c r="C123" s="481" t="s">
        <v>3158</v>
      </c>
      <c r="D123" s="457" t="s">
        <v>3159</v>
      </c>
      <c r="E123" s="481">
        <v>0.1</v>
      </c>
      <c r="F123" s="481">
        <v>15</v>
      </c>
    </row>
    <row r="124" spans="1:6" ht="24">
      <c r="A124" s="481">
        <v>52</v>
      </c>
      <c r="B124" s="3629" t="s">
        <v>3160</v>
      </c>
      <c r="C124" s="481" t="s">
        <v>3161</v>
      </c>
      <c r="D124" s="457" t="s">
        <v>3162</v>
      </c>
      <c r="E124" s="481">
        <v>0.1</v>
      </c>
      <c r="F124" s="481">
        <v>15</v>
      </c>
    </row>
    <row r="125" spans="1:6" ht="24">
      <c r="A125" s="481">
        <v>53</v>
      </c>
      <c r="B125" s="3629"/>
      <c r="C125" s="481" t="s">
        <v>3163</v>
      </c>
      <c r="D125" s="457" t="s">
        <v>3164</v>
      </c>
      <c r="E125" s="481">
        <v>0.1</v>
      </c>
      <c r="F125" s="481">
        <v>15</v>
      </c>
    </row>
    <row r="126" spans="1:6" ht="13.5">
      <c r="A126" s="481">
        <v>54</v>
      </c>
      <c r="B126" s="481" t="s">
        <v>3165</v>
      </c>
      <c r="C126" s="481" t="s">
        <v>3166</v>
      </c>
      <c r="D126" s="457" t="s">
        <v>3167</v>
      </c>
      <c r="E126" s="481">
        <v>0.1</v>
      </c>
      <c r="F126" s="481">
        <v>15</v>
      </c>
    </row>
    <row r="127" spans="1:6" ht="13.5">
      <c r="A127" s="481">
        <v>55</v>
      </c>
      <c r="B127" s="3629" t="s">
        <v>3168</v>
      </c>
      <c r="C127" s="481" t="s">
        <v>3169</v>
      </c>
      <c r="D127" s="457" t="s">
        <v>3170</v>
      </c>
      <c r="E127" s="481">
        <v>0.1</v>
      </c>
      <c r="F127" s="481">
        <v>15</v>
      </c>
    </row>
    <row r="128" spans="1:6" ht="13.5">
      <c r="A128" s="481">
        <v>56</v>
      </c>
      <c r="B128" s="3629"/>
      <c r="C128" s="481" t="s">
        <v>3171</v>
      </c>
      <c r="D128" s="457" t="s">
        <v>3172</v>
      </c>
      <c r="E128" s="481">
        <v>0.1</v>
      </c>
      <c r="F128" s="481">
        <v>15</v>
      </c>
    </row>
    <row r="129" spans="1:6" ht="24">
      <c r="A129" s="481">
        <v>57</v>
      </c>
      <c r="B129" s="3629"/>
      <c r="C129" s="481" t="s">
        <v>3173</v>
      </c>
      <c r="D129" s="457" t="s">
        <v>3174</v>
      </c>
      <c r="E129" s="481">
        <v>0.1</v>
      </c>
      <c r="F129" s="481">
        <v>15</v>
      </c>
    </row>
    <row r="130" spans="1:6" ht="24">
      <c r="A130" s="481">
        <v>58</v>
      </c>
      <c r="B130" s="3629" t="s">
        <v>3175</v>
      </c>
      <c r="C130" s="481" t="s">
        <v>3176</v>
      </c>
      <c r="D130" s="457" t="s">
        <v>3177</v>
      </c>
      <c r="E130" s="481">
        <v>0.1</v>
      </c>
      <c r="F130" s="481">
        <v>15</v>
      </c>
    </row>
    <row r="131" spans="1:6" ht="13.5">
      <c r="A131" s="481">
        <v>59</v>
      </c>
      <c r="B131" s="3629"/>
      <c r="C131" s="481" t="s">
        <v>3178</v>
      </c>
      <c r="D131" s="457" t="s">
        <v>3179</v>
      </c>
      <c r="E131" s="481">
        <v>0.1</v>
      </c>
      <c r="F131" s="481">
        <v>15</v>
      </c>
    </row>
    <row r="132" spans="1:6" ht="13.5">
      <c r="A132" s="481">
        <v>60</v>
      </c>
      <c r="B132" s="3627" t="s">
        <v>3180</v>
      </c>
      <c r="C132" s="481" t="s">
        <v>3181</v>
      </c>
      <c r="D132" s="457" t="s">
        <v>3182</v>
      </c>
      <c r="E132" s="481">
        <v>0.1</v>
      </c>
      <c r="F132" s="481">
        <v>15</v>
      </c>
    </row>
    <row r="133" spans="1:6" ht="13.5">
      <c r="A133" s="481">
        <v>61</v>
      </c>
      <c r="B133" s="3628"/>
      <c r="C133" s="481" t="s">
        <v>3183</v>
      </c>
      <c r="D133" s="457" t="s">
        <v>3184</v>
      </c>
      <c r="E133" s="481">
        <v>0.1</v>
      </c>
      <c r="F133" s="481">
        <v>15</v>
      </c>
    </row>
    <row r="134" spans="1:6" ht="24">
      <c r="A134" s="481">
        <v>62</v>
      </c>
      <c r="B134" s="481" t="s">
        <v>3185</v>
      </c>
      <c r="C134" s="481" t="s">
        <v>3186</v>
      </c>
      <c r="D134" s="457" t="s">
        <v>3187</v>
      </c>
      <c r="E134" s="481">
        <v>0.1</v>
      </c>
      <c r="F134" s="481">
        <v>15</v>
      </c>
    </row>
    <row r="135" spans="1:6" ht="13.5">
      <c r="A135" s="481">
        <v>63</v>
      </c>
      <c r="B135" s="3629" t="s">
        <v>3188</v>
      </c>
      <c r="C135" s="481" t="s">
        <v>3189</v>
      </c>
      <c r="D135" s="457" t="s">
        <v>3190</v>
      </c>
      <c r="E135" s="481">
        <v>0.1</v>
      </c>
      <c r="F135" s="481">
        <v>15</v>
      </c>
    </row>
    <row r="136" spans="1:6" ht="13.5">
      <c r="A136" s="481">
        <v>64</v>
      </c>
      <c r="B136" s="3629"/>
      <c r="C136" s="481" t="s">
        <v>3191</v>
      </c>
      <c r="D136" s="457" t="s">
        <v>3192</v>
      </c>
      <c r="E136" s="481">
        <v>0.1</v>
      </c>
      <c r="F136" s="481">
        <v>15</v>
      </c>
    </row>
    <row r="137" spans="1:6" ht="13.5">
      <c r="A137" s="481">
        <v>65</v>
      </c>
      <c r="B137" s="481" t="s">
        <v>3193</v>
      </c>
      <c r="C137" s="481" t="s">
        <v>3194</v>
      </c>
      <c r="D137" s="457" t="s">
        <v>3195</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3196</v>
      </c>
      <c r="B1" s="424"/>
      <c r="C1" s="424"/>
      <c r="D1" s="424"/>
      <c r="E1" s="424"/>
      <c r="F1" s="424"/>
      <c r="G1" s="424"/>
      <c r="H1" s="424"/>
      <c r="I1" s="424"/>
      <c r="J1" s="424"/>
      <c r="K1" s="424"/>
      <c r="L1" s="424"/>
      <c r="M1" s="424"/>
      <c r="N1" s="431"/>
    </row>
    <row r="2" spans="1:20">
      <c r="A2" s="425" t="s">
        <v>3197</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3198</v>
      </c>
      <c r="R2" s="435" t="s">
        <v>3199</v>
      </c>
      <c r="S2" s="435" t="s">
        <v>3200</v>
      </c>
      <c r="T2" s="435" t="s">
        <v>3201</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3202</v>
      </c>
      <c r="B93" s="424"/>
      <c r="C93" s="424"/>
      <c r="D93" s="424"/>
      <c r="E93" s="424"/>
      <c r="F93" s="424"/>
      <c r="G93" s="424"/>
      <c r="H93" s="424"/>
      <c r="I93" s="424"/>
      <c r="J93" s="424"/>
      <c r="K93" s="424"/>
      <c r="L93" s="424"/>
      <c r="M93" s="424"/>
    </row>
    <row r="94" spans="1:20">
      <c r="A94" s="425" t="s">
        <v>3197</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1.1056999999999999</v>
      </c>
      <c r="Q94" s="435" t="s">
        <v>3198</v>
      </c>
      <c r="R94" s="435" t="s">
        <v>3199</v>
      </c>
      <c r="S94" s="435" t="s">
        <v>3200</v>
      </c>
      <c r="T94" s="435" t="s">
        <v>3201</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3203</v>
      </c>
      <c r="B185" s="424"/>
      <c r="C185" s="424"/>
      <c r="D185" s="424"/>
      <c r="E185" s="424"/>
      <c r="F185" s="424"/>
      <c r="G185" s="424"/>
      <c r="H185" s="424"/>
      <c r="I185" s="424"/>
      <c r="J185" s="424"/>
      <c r="K185" s="424"/>
      <c r="L185" s="424"/>
      <c r="M185" s="424"/>
    </row>
    <row r="186" spans="1:20">
      <c r="A186" s="425" t="s">
        <v>3197</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3198</v>
      </c>
      <c r="R186" s="435" t="s">
        <v>3199</v>
      </c>
      <c r="S186" s="435" t="s">
        <v>3200</v>
      </c>
      <c r="T186" s="435" t="s">
        <v>3201</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3204</v>
      </c>
      <c r="B277" s="424"/>
      <c r="C277" s="424"/>
      <c r="D277" s="424"/>
      <c r="E277" s="424"/>
      <c r="F277" s="424"/>
      <c r="G277" s="424"/>
      <c r="H277" s="424"/>
      <c r="I277" s="424"/>
      <c r="J277" s="424"/>
      <c r="K277" s="424"/>
      <c r="L277" s="424"/>
      <c r="M277" s="424"/>
    </row>
    <row r="278" spans="1:21">
      <c r="A278" s="425" t="s">
        <v>3197</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3198</v>
      </c>
      <c r="R278" s="435" t="s">
        <v>3199</v>
      </c>
      <c r="S278" s="435" t="s">
        <v>3205</v>
      </c>
      <c r="T278" s="435" t="s">
        <v>3206</v>
      </c>
      <c r="U278" s="435" t="s">
        <v>3201</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3207</v>
      </c>
      <c r="B369" s="439"/>
      <c r="C369" s="439"/>
      <c r="D369" s="439"/>
      <c r="E369" s="439"/>
      <c r="F369" s="439"/>
      <c r="G369" s="439"/>
      <c r="H369" s="439"/>
      <c r="I369" s="439"/>
      <c r="J369" s="439"/>
      <c r="K369" s="439"/>
      <c r="L369" s="439"/>
      <c r="M369" s="439"/>
    </row>
    <row r="370" spans="1:20">
      <c r="A370" s="425" t="s">
        <v>3197</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1.0517000000000001</v>
      </c>
      <c r="Q370" s="435" t="s">
        <v>3198</v>
      </c>
      <c r="R370" s="435" t="s">
        <v>3199</v>
      </c>
      <c r="S370" s="435" t="s">
        <v>3200</v>
      </c>
      <c r="T370" s="435" t="s">
        <v>3201</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3208</v>
      </c>
      <c r="B1" s="342"/>
      <c r="C1" s="343"/>
      <c r="D1" s="343"/>
      <c r="E1" s="343"/>
      <c r="F1" s="343"/>
      <c r="G1" s="344"/>
    </row>
    <row r="2" spans="1:7" s="333" customFormat="1" ht="18" customHeight="1">
      <c r="A2" s="345" t="s">
        <v>3209</v>
      </c>
      <c r="B2" s="346">
        <f ca="1">C52</f>
        <v>661177</v>
      </c>
      <c r="C2" s="347" t="s">
        <v>2640</v>
      </c>
      <c r="D2" s="344"/>
      <c r="E2" s="344"/>
      <c r="F2" s="344"/>
      <c r="G2" s="344"/>
    </row>
    <row r="3" spans="1:7" s="333" customFormat="1" ht="18" customHeight="1">
      <c r="A3" s="348" t="s">
        <v>3210</v>
      </c>
      <c r="B3" s="349">
        <f ca="1">ROUND(B2*10000/'数据-汇总表'!E3,0)</f>
        <v>11075</v>
      </c>
      <c r="C3" s="347" t="s">
        <v>2885</v>
      </c>
      <c r="D3" s="344"/>
      <c r="E3" s="344"/>
      <c r="F3" s="344"/>
      <c r="G3" s="344"/>
    </row>
    <row r="4" spans="1:7" s="334" customFormat="1" ht="15.75">
      <c r="A4" s="350" t="s">
        <v>3211</v>
      </c>
      <c r="B4" s="351"/>
      <c r="C4" s="351"/>
      <c r="D4" s="351"/>
      <c r="E4" s="351"/>
      <c r="F4" s="351"/>
      <c r="G4" s="352"/>
    </row>
    <row r="5" spans="1:7" s="335" customFormat="1" ht="13.5" customHeight="1">
      <c r="A5" s="353" t="s">
        <v>1033</v>
      </c>
      <c r="B5" s="354" t="s">
        <v>3212</v>
      </c>
      <c r="C5" s="355">
        <f>C6+C7+C8</f>
        <v>20610</v>
      </c>
      <c r="D5" s="355" t="s">
        <v>3213</v>
      </c>
      <c r="E5" s="356" t="s">
        <v>3214</v>
      </c>
      <c r="F5" s="356" t="s">
        <v>3215</v>
      </c>
      <c r="G5" s="357"/>
    </row>
    <row r="6" spans="1:7" s="335" customFormat="1" ht="13.5" customHeight="1">
      <c r="A6" s="358" t="s">
        <v>1037</v>
      </c>
      <c r="B6" s="359" t="s">
        <v>3216</v>
      </c>
      <c r="C6" s="360">
        <v>20000</v>
      </c>
      <c r="D6" s="361"/>
      <c r="E6" s="362"/>
      <c r="F6" s="362"/>
      <c r="G6" s="363"/>
    </row>
    <row r="7" spans="1:7" s="335" customFormat="1" ht="13.5" customHeight="1">
      <c r="A7" s="358" t="s">
        <v>1039</v>
      </c>
      <c r="B7" s="359" t="s">
        <v>3217</v>
      </c>
      <c r="C7" s="364">
        <f>ROUND(C6*F7,0)</f>
        <v>610</v>
      </c>
      <c r="D7" s="364"/>
      <c r="E7" s="362"/>
      <c r="F7" s="365">
        <f>'数据-取费表'!B48+'数据-取费表'!B49</f>
        <v>3.0499999999999999E-2</v>
      </c>
      <c r="G7" s="363"/>
    </row>
    <row r="8" spans="1:7" s="336" customFormat="1">
      <c r="A8" s="358" t="s">
        <v>1041</v>
      </c>
      <c r="B8" s="359" t="s">
        <v>3218</v>
      </c>
      <c r="C8" s="364" t="str">
        <f>IF(G8="已包含在土地购买价格中","0",'数据-取费表'!B29)</f>
        <v>0</v>
      </c>
      <c r="D8" s="366"/>
      <c r="E8" s="364"/>
      <c r="F8" s="365"/>
      <c r="G8" s="367" t="s">
        <v>3219</v>
      </c>
    </row>
    <row r="9" spans="1:7" s="335" customFormat="1" ht="13.5" customHeight="1">
      <c r="A9" s="368" t="s">
        <v>1044</v>
      </c>
      <c r="B9" s="369" t="s">
        <v>3220</v>
      </c>
      <c r="C9" s="370">
        <f>ROUND(D9*E9/10000,0)</f>
        <v>0</v>
      </c>
      <c r="D9" s="371">
        <f>'数据-汇总表'!E5</f>
        <v>0</v>
      </c>
      <c r="E9" s="370">
        <f>'数据-取费表'!B27</f>
        <v>0</v>
      </c>
      <c r="F9" s="365"/>
      <c r="G9" s="372"/>
    </row>
    <row r="10" spans="1:7" s="335" customFormat="1" ht="13.5" customHeight="1">
      <c r="A10" s="368" t="s">
        <v>1048</v>
      </c>
      <c r="B10" s="369" t="s">
        <v>3221</v>
      </c>
      <c r="C10" s="370">
        <f>ROUND(D10*E10/10000,0)</f>
        <v>11940</v>
      </c>
      <c r="D10" s="371">
        <f>'数据-汇总表'!E6</f>
        <v>596993.59</v>
      </c>
      <c r="E10" s="370">
        <f>'数据-取费表'!B28</f>
        <v>200</v>
      </c>
      <c r="F10" s="365"/>
      <c r="G10" s="372"/>
    </row>
    <row r="11" spans="1:7" s="335" customFormat="1" ht="13.5" hidden="1" customHeight="1">
      <c r="A11" s="373" t="s">
        <v>1050</v>
      </c>
      <c r="B11" s="359" t="s">
        <v>3222</v>
      </c>
      <c r="C11" s="355"/>
      <c r="D11" s="362"/>
      <c r="E11" s="362"/>
      <c r="F11" s="362"/>
      <c r="G11" s="363"/>
    </row>
    <row r="12" spans="1:7" s="335" customFormat="1" ht="13.5" hidden="1" customHeight="1">
      <c r="A12" s="373" t="s">
        <v>1052</v>
      </c>
      <c r="B12" s="359" t="s">
        <v>3223</v>
      </c>
      <c r="C12" s="355">
        <v>0</v>
      </c>
      <c r="D12" s="362"/>
      <c r="E12" s="374"/>
      <c r="F12" s="365">
        <v>3.0499999999999999E-2</v>
      </c>
      <c r="G12" s="363"/>
    </row>
    <row r="13" spans="1:7" s="335" customFormat="1" ht="13.5" hidden="1" customHeight="1">
      <c r="A13" s="373" t="s">
        <v>1053</v>
      </c>
      <c r="B13" s="359" t="s">
        <v>3224</v>
      </c>
      <c r="C13" s="355"/>
      <c r="D13" s="362"/>
      <c r="E13" s="362"/>
      <c r="F13" s="362"/>
      <c r="G13" s="363"/>
    </row>
    <row r="14" spans="1:7" s="335" customFormat="1" ht="13.5" hidden="1" customHeight="1">
      <c r="A14" s="373" t="s">
        <v>1055</v>
      </c>
      <c r="B14" s="359" t="s">
        <v>3218</v>
      </c>
      <c r="C14" s="355"/>
      <c r="D14" s="362"/>
      <c r="E14" s="362"/>
      <c r="F14" s="362"/>
      <c r="G14" s="363" t="s">
        <v>3225</v>
      </c>
    </row>
    <row r="15" spans="1:7" s="335" customFormat="1" ht="13.5" hidden="1" customHeight="1">
      <c r="A15" s="373" t="s">
        <v>1057</v>
      </c>
      <c r="B15" s="359" t="s">
        <v>3226</v>
      </c>
      <c r="C15" s="364"/>
      <c r="D15" s="362"/>
      <c r="E15" s="362"/>
      <c r="F15" s="362"/>
      <c r="G15" s="363" t="s">
        <v>3227</v>
      </c>
    </row>
    <row r="16" spans="1:7" s="335" customFormat="1" ht="13.5" hidden="1" customHeight="1">
      <c r="A16" s="373" t="s">
        <v>1060</v>
      </c>
      <c r="B16" s="359" t="s">
        <v>3218</v>
      </c>
      <c r="C16" s="364"/>
      <c r="D16" s="362"/>
      <c r="E16" s="362"/>
      <c r="F16" s="362"/>
      <c r="G16" s="363"/>
    </row>
    <row r="17" spans="1:7" s="335" customFormat="1" ht="13.5" hidden="1" customHeight="1">
      <c r="A17" s="373" t="s">
        <v>1061</v>
      </c>
      <c r="B17" s="359" t="s">
        <v>3228</v>
      </c>
      <c r="C17" s="375"/>
      <c r="D17" s="375"/>
      <c r="E17" s="375"/>
      <c r="F17" s="375"/>
      <c r="G17" s="363" t="s">
        <v>3227</v>
      </c>
    </row>
    <row r="18" spans="1:7" s="335" customFormat="1" ht="13.5" hidden="1" customHeight="1">
      <c r="A18" s="373" t="s">
        <v>1063</v>
      </c>
      <c r="B18" s="359" t="s">
        <v>3229</v>
      </c>
      <c r="C18" s="364">
        <v>0</v>
      </c>
      <c r="D18" s="362"/>
      <c r="E18" s="362"/>
      <c r="F18" s="365">
        <v>3.0499999999999999E-2</v>
      </c>
      <c r="G18" s="363" t="s">
        <v>3230</v>
      </c>
    </row>
    <row r="19" spans="1:7" s="336" customFormat="1" ht="13.5" customHeight="1">
      <c r="A19" s="376" t="s">
        <v>1209</v>
      </c>
      <c r="B19" s="354" t="s">
        <v>3231</v>
      </c>
      <c r="C19" s="355">
        <f>IF(G19="已包含在土地取得成本中","0",ROUND(D19*E19/10000,0))</f>
        <v>11940</v>
      </c>
      <c r="D19" s="356">
        <f>'数据-汇总表'!E3</f>
        <v>596993.59</v>
      </c>
      <c r="E19" s="355">
        <f>'数据-取费表'!B31</f>
        <v>200</v>
      </c>
      <c r="F19" s="377"/>
      <c r="G19" s="367" t="s">
        <v>3232</v>
      </c>
    </row>
    <row r="20" spans="1:7" s="335" customFormat="1" ht="13.5" customHeight="1">
      <c r="A20" s="376" t="s">
        <v>1246</v>
      </c>
      <c r="B20" s="354" t="s">
        <v>3233</v>
      </c>
      <c r="C20" s="378">
        <f>ROUND((C5+C19)*F20,0)</f>
        <v>977</v>
      </c>
      <c r="D20" s="378"/>
      <c r="E20" s="378"/>
      <c r="F20" s="379">
        <f>'数据-取费表'!B37</f>
        <v>0.03</v>
      </c>
      <c r="G20" s="380" t="s">
        <v>3234</v>
      </c>
    </row>
    <row r="21" spans="1:7" s="335" customFormat="1" ht="13.5" customHeight="1">
      <c r="A21" s="376" t="s">
        <v>1251</v>
      </c>
      <c r="B21" s="354" t="s">
        <v>3235</v>
      </c>
      <c r="C21" s="381">
        <f>F21</f>
        <v>0.03</v>
      </c>
      <c r="D21" s="382" t="s">
        <v>3236</v>
      </c>
      <c r="E21" s="378"/>
      <c r="F21" s="379">
        <f>'数据-取费表'!B38</f>
        <v>0.03</v>
      </c>
      <c r="G21" s="383" t="s">
        <v>3237</v>
      </c>
    </row>
    <row r="22" spans="1:7" s="335" customFormat="1" ht="13.5" customHeight="1">
      <c r="A22" s="376" t="s">
        <v>1261</v>
      </c>
      <c r="B22" s="354" t="s">
        <v>3238</v>
      </c>
      <c r="C22" s="384">
        <f ca="1">ROUND(SUM(C23:C25),0)</f>
        <v>3599</v>
      </c>
      <c r="D22" s="381">
        <f ca="1">C26</f>
        <v>1.6000000000000001E-3</v>
      </c>
      <c r="E22" s="382" t="s">
        <v>3236</v>
      </c>
      <c r="F22" s="385">
        <f ca="1">'数据-取费表'!B40</f>
        <v>0.03</v>
      </c>
      <c r="G22" s="380" t="str">
        <f>IF('数据-取费表'!B22&lt;=1,"单利计息","复利计息")</f>
        <v>复利计息</v>
      </c>
    </row>
    <row r="23" spans="1:7" s="335" customFormat="1" ht="13.5" customHeight="1">
      <c r="A23" s="386" t="s">
        <v>1037</v>
      </c>
      <c r="B23" s="359" t="s">
        <v>3239</v>
      </c>
      <c r="C23" s="387">
        <f ca="1">ROUND(IF('数据-取费表'!B22&lt;=1,C5*F22*'数据-取费表'!B23,C5*(POWER((1+F22),'数据-取费表'!B23)-1)),0)</f>
        <v>2246</v>
      </c>
      <c r="D23" s="388"/>
      <c r="E23" s="388"/>
      <c r="F23" s="389"/>
      <c r="G23" s="390" t="s">
        <v>3240</v>
      </c>
    </row>
    <row r="24" spans="1:7" s="335" customFormat="1" ht="13.5" customHeight="1">
      <c r="A24" s="386" t="s">
        <v>1039</v>
      </c>
      <c r="B24" s="359" t="s">
        <v>3241</v>
      </c>
      <c r="C24" s="387">
        <f ca="1">ROUND(IF('数据-取费表'!B22&lt;=1,C19*F22*('数据-取费表'!B19/2+'数据-取费表'!B21),C19*(POWER((1+F22),('数据-取费表'!B19/2+'数据-取费表'!B21))-1)),0)</f>
        <v>1301</v>
      </c>
      <c r="D24" s="388"/>
      <c r="E24" s="388"/>
      <c r="F24" s="389"/>
      <c r="G24" s="390" t="s">
        <v>3242</v>
      </c>
    </row>
    <row r="25" spans="1:7" s="335" customFormat="1" ht="24">
      <c r="A25" s="386" t="s">
        <v>1041</v>
      </c>
      <c r="B25" s="359" t="s">
        <v>3243</v>
      </c>
      <c r="C25" s="387">
        <f ca="1">ROUND(IF('数据-取费表'!B22&lt;=1,C20*F22*'数据-取费表'!B23/2,C20*(POWER((1+F22),'数据-取费表'!B23/2)-1)),0)</f>
        <v>52</v>
      </c>
      <c r="D25" s="388"/>
      <c r="E25" s="391"/>
      <c r="F25" s="389"/>
      <c r="G25" s="392" t="s">
        <v>3244</v>
      </c>
    </row>
    <row r="26" spans="1:7" s="335" customFormat="1">
      <c r="A26" s="386" t="s">
        <v>1084</v>
      </c>
      <c r="B26" s="359" t="s">
        <v>3245</v>
      </c>
      <c r="C26" s="388">
        <f ca="1">ROUND(IF('数据-取费表'!B22&lt;=1,F21*F22*'数据-取费表'!B23/2,F21*(POWER((1+F22),'数据-取费表'!B23/2)-1)),4)</f>
        <v>1.6000000000000001E-3</v>
      </c>
      <c r="D26" s="388"/>
      <c r="E26" s="391"/>
      <c r="F26" s="389"/>
      <c r="G26" s="393"/>
    </row>
    <row r="27" spans="1:7" s="335" customFormat="1" ht="24.75">
      <c r="A27" s="376" t="s">
        <v>1270</v>
      </c>
      <c r="B27" s="394" t="s">
        <v>3246</v>
      </c>
      <c r="C27" s="395">
        <f>C28</f>
        <v>5029</v>
      </c>
      <c r="D27" s="381">
        <f>C29</f>
        <v>4.4999999999999997E-3</v>
      </c>
      <c r="E27" s="382" t="s">
        <v>3236</v>
      </c>
      <c r="F27" s="396">
        <f>'数据-取费表'!Q16</f>
        <v>0.15</v>
      </c>
      <c r="G27" s="397" t="s">
        <v>3247</v>
      </c>
    </row>
    <row r="28" spans="1:7" s="335" customFormat="1" ht="13.5" customHeight="1">
      <c r="A28" s="386" t="s">
        <v>1037</v>
      </c>
      <c r="B28" s="398" t="s">
        <v>3248</v>
      </c>
      <c r="C28" s="399">
        <f>ROUND((C5+C19+C20)*F27*'数据-取费表'!B21/'数据-取费表'!B20,0)</f>
        <v>5029</v>
      </c>
      <c r="D28" s="381"/>
      <c r="E28" s="382"/>
      <c r="F28" s="396"/>
      <c r="G28" s="397"/>
    </row>
    <row r="29" spans="1:7" s="335" customFormat="1" ht="13.5" customHeight="1">
      <c r="A29" s="386" t="s">
        <v>1039</v>
      </c>
      <c r="B29" s="398" t="s">
        <v>3249</v>
      </c>
      <c r="C29" s="388">
        <f>ROUND(C21*F27*'数据-取费表'!B21/'数据-取费表'!B20,4)</f>
        <v>4.4999999999999997E-3</v>
      </c>
      <c r="D29" s="381"/>
      <c r="E29" s="382"/>
      <c r="F29" s="396"/>
      <c r="G29" s="397"/>
    </row>
    <row r="30" spans="1:7" s="335" customFormat="1" ht="13.5" customHeight="1">
      <c r="A30" s="376" t="s">
        <v>3250</v>
      </c>
      <c r="B30" s="354" t="s">
        <v>3251</v>
      </c>
      <c r="C30" s="381">
        <f>F30</f>
        <v>5.5000000000000007E-2</v>
      </c>
      <c r="D30" s="382" t="s">
        <v>3252</v>
      </c>
      <c r="E30" s="391"/>
      <c r="F30" s="385">
        <f>'数据-取费表'!B41</f>
        <v>5.5000000000000007E-2</v>
      </c>
      <c r="G30" s="383" t="s">
        <v>3253</v>
      </c>
    </row>
    <row r="31" spans="1:7" ht="16.5" customHeight="1">
      <c r="A31" s="400">
        <v>1</v>
      </c>
      <c r="B31" s="354" t="s">
        <v>3254</v>
      </c>
      <c r="C31" s="355">
        <f ca="1">ROUND((C5+C19+C20+C22+C27)/(1-C21-D22-D27-C30/(1+'数据-取费表'!B42)),0)</f>
        <v>46247</v>
      </c>
      <c r="D31" s="401"/>
      <c r="E31" s="355"/>
      <c r="F31" s="402"/>
      <c r="G31" s="383" t="s">
        <v>3255</v>
      </c>
    </row>
    <row r="32" spans="1:7" s="334" customFormat="1" ht="15.75">
      <c r="A32" s="403" t="s">
        <v>3256</v>
      </c>
      <c r="B32" s="404"/>
      <c r="C32" s="404"/>
      <c r="D32" s="404"/>
      <c r="E32" s="404"/>
      <c r="F32" s="404"/>
      <c r="G32" s="405"/>
    </row>
    <row r="33" spans="1:7" s="335" customFormat="1" ht="13.5" customHeight="1">
      <c r="A33" s="353" t="s">
        <v>1033</v>
      </c>
      <c r="B33" s="354" t="s">
        <v>3257</v>
      </c>
      <c r="C33" s="406">
        <f>SUM(C34:C38)</f>
        <v>551623</v>
      </c>
      <c r="D33" s="378"/>
      <c r="E33" s="356"/>
      <c r="F33" s="391"/>
      <c r="G33" s="383"/>
    </row>
    <row r="34" spans="1:7" s="337" customFormat="1" ht="13.5" customHeight="1">
      <c r="A34" s="386" t="s">
        <v>1037</v>
      </c>
      <c r="B34" s="359" t="s">
        <v>3258</v>
      </c>
      <c r="C34" s="364">
        <f>IF(F34=100%,'数据-取费表'!M16-SUMIF('数据-取费表'!C:C,"公共配套",'数据-取费表'!M:M),'数据-取费表'!O16-SUMIF('数据-取费表'!C:C,"公共配套",'数据-取费表'!O:O))</f>
        <v>477595</v>
      </c>
      <c r="D34" s="361"/>
      <c r="E34" s="364"/>
      <c r="F34" s="407">
        <f>IF('数据-取费表'!B24=0,1,'数据-取费表'!N16)</f>
        <v>1</v>
      </c>
      <c r="G34" s="363" t="s">
        <v>3259</v>
      </c>
    </row>
    <row r="35" spans="1:7" ht="13.5" customHeight="1">
      <c r="A35" s="386" t="s">
        <v>1039</v>
      </c>
      <c r="B35" s="359" t="s">
        <v>3260</v>
      </c>
      <c r="C35" s="364">
        <f>ROUND(C34*F35,0)</f>
        <v>47760</v>
      </c>
      <c r="D35" s="364"/>
      <c r="E35" s="364"/>
      <c r="F35" s="408">
        <f>'数据-取费表'!B33</f>
        <v>0.1</v>
      </c>
      <c r="G35" s="363" t="s">
        <v>3261</v>
      </c>
    </row>
    <row r="36" spans="1:7" ht="24">
      <c r="A36" s="386" t="s">
        <v>1041</v>
      </c>
      <c r="B36" s="359" t="s">
        <v>3262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3263</v>
      </c>
    </row>
    <row r="37" spans="1:7" s="337" customFormat="1" ht="13.5" customHeight="1">
      <c r="A37" s="386" t="s">
        <v>1084</v>
      </c>
      <c r="B37" s="359" t="s">
        <v>3264</v>
      </c>
      <c r="C37" s="399">
        <f>ROUND(E37*D37*F34/10000,0)</f>
        <v>11940</v>
      </c>
      <c r="D37" s="361">
        <f>'数据-汇总表'!E3</f>
        <v>596993.59</v>
      </c>
      <c r="E37" s="399">
        <f>'数据-取费表'!B35</f>
        <v>200</v>
      </c>
      <c r="F37" s="408"/>
      <c r="G37" s="410" t="s">
        <v>3265</v>
      </c>
    </row>
    <row r="38" spans="1:7" ht="13.5" customHeight="1">
      <c r="A38" s="386" t="s">
        <v>1106</v>
      </c>
      <c r="B38" s="359" t="s">
        <v>3223</v>
      </c>
      <c r="C38" s="364">
        <f>ROUND(C34*F38,0)</f>
        <v>14328</v>
      </c>
      <c r="D38" s="364"/>
      <c r="E38" s="364"/>
      <c r="F38" s="408">
        <f>'数据-取费表'!B36</f>
        <v>0.03</v>
      </c>
      <c r="G38" s="363" t="s">
        <v>3261</v>
      </c>
    </row>
    <row r="39" spans="1:7" s="335" customFormat="1" ht="13.5" customHeight="1">
      <c r="A39" s="376" t="s">
        <v>1209</v>
      </c>
      <c r="B39" s="354" t="s">
        <v>3233</v>
      </c>
      <c r="C39" s="378">
        <f>ROUND(C33*F20,0)</f>
        <v>16549</v>
      </c>
      <c r="D39" s="378"/>
      <c r="E39" s="378"/>
      <c r="F39" s="379"/>
      <c r="G39" s="380" t="s">
        <v>3266</v>
      </c>
    </row>
    <row r="40" spans="1:7" s="335" customFormat="1" ht="13.5" customHeight="1">
      <c r="A40" s="376" t="s">
        <v>1246</v>
      </c>
      <c r="B40" s="354" t="s">
        <v>3235</v>
      </c>
      <c r="C40" s="411">
        <f>F21</f>
        <v>0.03</v>
      </c>
      <c r="D40" s="382" t="s">
        <v>3267</v>
      </c>
      <c r="E40" s="378"/>
      <c r="F40" s="379"/>
      <c r="G40" s="383" t="s">
        <v>3268</v>
      </c>
    </row>
    <row r="41" spans="1:7" s="335" customFormat="1" ht="13.5" customHeight="1">
      <c r="A41" s="376" t="s">
        <v>1251</v>
      </c>
      <c r="B41" s="354" t="s">
        <v>3238</v>
      </c>
      <c r="C41" s="378">
        <f ca="1">ROUND(SUM(C42:C43),0)</f>
        <v>30164</v>
      </c>
      <c r="D41" s="381">
        <f ca="1">C44</f>
        <v>1.6000000000000001E-3</v>
      </c>
      <c r="E41" s="382" t="s">
        <v>3267</v>
      </c>
      <c r="F41" s="385"/>
      <c r="G41" s="380" t="str">
        <f>IF('数据-取费表'!B22&lt;=1,"单利计息","复利计息")</f>
        <v>复利计息</v>
      </c>
    </row>
    <row r="42" spans="1:7" ht="13.5" customHeight="1">
      <c r="A42" s="386" t="s">
        <v>1037</v>
      </c>
      <c r="B42" s="359" t="s">
        <v>3239</v>
      </c>
      <c r="C42" s="388">
        <f ca="1">ROUND(IF('数据-取费表'!B22&lt;=1,C33*F22*'数据-取费表'!B21/2,C33*(POWER((1+F22),'数据-取费表'!B21/2)-1)),0)</f>
        <v>29285</v>
      </c>
      <c r="D42" s="388"/>
      <c r="E42" s="388"/>
      <c r="F42" s="389"/>
      <c r="G42" s="3471" t="s">
        <v>3269</v>
      </c>
    </row>
    <row r="43" spans="1:7" ht="13.5" customHeight="1">
      <c r="A43" s="386" t="s">
        <v>1039</v>
      </c>
      <c r="B43" s="359" t="s">
        <v>3241</v>
      </c>
      <c r="C43" s="388">
        <f ca="1">ROUND(IF('数据-取费表'!B22&lt;=1,C39*F22*'数据-取费表'!B21/2,C39*(POWER((1+F22),'数据-取费表'!B21/2)-1)),0)</f>
        <v>879</v>
      </c>
      <c r="D43" s="388"/>
      <c r="E43" s="388"/>
      <c r="F43" s="389"/>
      <c r="G43" s="3472"/>
    </row>
    <row r="44" spans="1:7" ht="13.5" customHeight="1">
      <c r="A44" s="386" t="s">
        <v>1041</v>
      </c>
      <c r="B44" s="359" t="s">
        <v>3243</v>
      </c>
      <c r="C44" s="388">
        <f ca="1">ROUND(IF('数据-取费表'!B22&lt;=1,C40*F22*'数据-取费表'!B21/2,C40*(POWER((1+F22),'数据-取费表'!B21/2)-1)),4)</f>
        <v>1.6000000000000001E-3</v>
      </c>
      <c r="D44" s="388"/>
      <c r="E44" s="388"/>
      <c r="F44" s="389"/>
      <c r="G44" s="3473"/>
    </row>
    <row r="45" spans="1:7" s="335" customFormat="1" ht="13.5" customHeight="1">
      <c r="A45" s="376" t="s">
        <v>1261</v>
      </c>
      <c r="B45" s="394" t="s">
        <v>3246</v>
      </c>
      <c r="C45" s="395">
        <f>C46</f>
        <v>85226</v>
      </c>
      <c r="D45" s="381">
        <f>C47</f>
        <v>4.4999999999999997E-3</v>
      </c>
      <c r="E45" s="382" t="s">
        <v>3267</v>
      </c>
      <c r="F45" s="396"/>
      <c r="G45" s="397" t="s">
        <v>3270</v>
      </c>
    </row>
    <row r="46" spans="1:7" s="335" customFormat="1" ht="13.5" customHeight="1">
      <c r="A46" s="386" t="s">
        <v>1037</v>
      </c>
      <c r="B46" s="398" t="s">
        <v>3271</v>
      </c>
      <c r="C46" s="399">
        <f>ROUND((C33+C39)*F27,0)</f>
        <v>85226</v>
      </c>
      <c r="D46" s="412"/>
      <c r="E46" s="382"/>
      <c r="F46" s="396"/>
      <c r="G46" s="397"/>
    </row>
    <row r="47" spans="1:7" s="335" customFormat="1" ht="13.5" customHeight="1">
      <c r="A47" s="386" t="s">
        <v>1039</v>
      </c>
      <c r="B47" s="398" t="s">
        <v>3272</v>
      </c>
      <c r="C47" s="388">
        <f>ROUND(C40*F27,4)</f>
        <v>4.4999999999999997E-3</v>
      </c>
      <c r="D47" s="412"/>
      <c r="E47" s="382"/>
      <c r="F47" s="396"/>
      <c r="G47" s="397"/>
    </row>
    <row r="48" spans="1:7" s="335" customFormat="1" ht="13.5" customHeight="1">
      <c r="A48" s="376" t="s">
        <v>1270</v>
      </c>
      <c r="B48" s="354" t="s">
        <v>3251</v>
      </c>
      <c r="C48" s="411">
        <f>F30</f>
        <v>5.5000000000000007E-2</v>
      </c>
      <c r="D48" s="382" t="s">
        <v>3273</v>
      </c>
      <c r="E48" s="378"/>
      <c r="F48" s="385"/>
      <c r="G48" s="383" t="s">
        <v>3274</v>
      </c>
    </row>
    <row r="49" spans="1:7" ht="16.5" customHeight="1">
      <c r="A49" s="376" t="s">
        <v>3250</v>
      </c>
      <c r="B49" s="354" t="s">
        <v>3275</v>
      </c>
      <c r="C49" s="378">
        <f ca="1">ROUND((C33+C39+C41+C45)/(1-C40-D41-D45-C48/(1+'数据-取费表'!B42)),0)</f>
        <v>749915</v>
      </c>
      <c r="D49" s="378"/>
      <c r="E49" s="378"/>
      <c r="F49" s="413"/>
      <c r="G49" s="383" t="s">
        <v>3276</v>
      </c>
    </row>
    <row r="50" spans="1:7" s="337" customFormat="1" ht="24">
      <c r="A50" s="376" t="s">
        <v>3277</v>
      </c>
      <c r="B50" s="354" t="s">
        <v>3278</v>
      </c>
      <c r="C50" s="378"/>
      <c r="D50" s="378"/>
      <c r="E50" s="378"/>
      <c r="F50" s="413">
        <f>IF('数据-取费表'!B24=0,'数据-取费表'!N16,1)</f>
        <v>0.82</v>
      </c>
      <c r="G50" s="397" t="s">
        <v>3279</v>
      </c>
    </row>
    <row r="51" spans="1:7" ht="16.5" customHeight="1">
      <c r="A51" s="376" t="s">
        <v>3280</v>
      </c>
      <c r="B51" s="354" t="s">
        <v>3281</v>
      </c>
      <c r="C51" s="378">
        <f ca="1">ROUND(C49*F50,0)</f>
        <v>614930</v>
      </c>
      <c r="D51" s="378"/>
      <c r="E51" s="378"/>
      <c r="F51" s="413"/>
      <c r="G51" s="383" t="s">
        <v>3282</v>
      </c>
    </row>
    <row r="52" spans="1:7" s="334" customFormat="1" ht="15.75">
      <c r="A52" s="414" t="s">
        <v>3283</v>
      </c>
      <c r="B52" s="415"/>
      <c r="C52" s="416">
        <f ca="1">C31+C51</f>
        <v>661177</v>
      </c>
      <c r="D52" s="415"/>
      <c r="E52" s="415"/>
      <c r="F52" s="415"/>
      <c r="G52" s="417"/>
    </row>
    <row r="55" spans="1:7" ht="15">
      <c r="B55" s="418" t="s">
        <v>3284</v>
      </c>
      <c r="C55" s="419"/>
    </row>
    <row r="56" spans="1:7">
      <c r="B56" s="420" t="s">
        <v>3285</v>
      </c>
      <c r="C56" s="421">
        <f ca="1">ROUND(C51/C52,3)</f>
        <v>0.93</v>
      </c>
    </row>
    <row r="57" spans="1:7">
      <c r="B57" s="420" t="s">
        <v>3286</v>
      </c>
      <c r="C57" s="422">
        <f ca="1">1-C56</f>
        <v>6.9999999999999951E-2</v>
      </c>
    </row>
  </sheetData>
  <mergeCells count="1">
    <mergeCell ref="G42:G44"/>
  </mergeCells>
  <phoneticPr fontId="237"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30" t="s">
        <v>3287</v>
      </c>
      <c r="B1" s="3630"/>
    </row>
    <row r="2" spans="1:7">
      <c r="A2" s="299"/>
      <c r="B2" s="299"/>
    </row>
    <row r="3" spans="1:7">
      <c r="A3" s="299"/>
      <c r="B3" s="299"/>
      <c r="C3" s="300" t="s">
        <v>559</v>
      </c>
      <c r="D3" s="300" t="s">
        <v>2967</v>
      </c>
      <c r="E3" s="300" t="s">
        <v>412</v>
      </c>
      <c r="F3" s="300" t="s">
        <v>408</v>
      </c>
      <c r="G3" s="300" t="s">
        <v>280</v>
      </c>
    </row>
    <row r="4" spans="1:7">
      <c r="A4" s="301" t="s">
        <v>3288</v>
      </c>
      <c r="B4" s="302" t="s">
        <v>3289</v>
      </c>
      <c r="C4" s="300"/>
      <c r="D4" s="300"/>
      <c r="E4" s="300"/>
      <c r="F4" s="300"/>
      <c r="G4" s="300"/>
    </row>
    <row r="5" spans="1:7">
      <c r="A5" s="303" t="s">
        <v>230</v>
      </c>
      <c r="B5" s="304" t="s">
        <v>3290</v>
      </c>
      <c r="C5" s="305">
        <v>9.8000000000000004E-2</v>
      </c>
      <c r="D5" s="305">
        <v>8.6999999999999994E-2</v>
      </c>
      <c r="E5" s="305">
        <v>8.6999999999999994E-2</v>
      </c>
      <c r="F5" s="305">
        <v>9.8000000000000004E-2</v>
      </c>
      <c r="G5" s="306">
        <v>9.5000000000000001E-2</v>
      </c>
    </row>
    <row r="6" spans="1:7">
      <c r="A6" s="307" t="s">
        <v>230</v>
      </c>
      <c r="B6" s="308" t="s">
        <v>3291</v>
      </c>
      <c r="C6" s="309">
        <v>9.8000000000000004E-2</v>
      </c>
      <c r="D6" s="309">
        <v>9.8000000000000004E-2</v>
      </c>
      <c r="E6" s="309">
        <v>9.8000000000000004E-2</v>
      </c>
      <c r="F6" s="309">
        <v>0.1</v>
      </c>
      <c r="G6" s="310">
        <v>9.9000000000000005E-2</v>
      </c>
    </row>
    <row r="7" spans="1:7">
      <c r="A7" s="307" t="s">
        <v>230</v>
      </c>
      <c r="B7" s="308" t="s">
        <v>3292</v>
      </c>
      <c r="C7" s="309">
        <v>9.7000000000000003E-2</v>
      </c>
      <c r="D7" s="309">
        <v>9.7000000000000003E-2</v>
      </c>
      <c r="E7" s="309">
        <v>9.6000000000000002E-2</v>
      </c>
      <c r="F7" s="309">
        <v>0.1</v>
      </c>
      <c r="G7" s="310">
        <v>9.8000000000000004E-2</v>
      </c>
    </row>
    <row r="8" spans="1:7">
      <c r="A8" s="307" t="s">
        <v>230</v>
      </c>
      <c r="B8" s="308" t="s">
        <v>3293</v>
      </c>
      <c r="C8" s="309">
        <v>8.1000000000000003E-2</v>
      </c>
      <c r="D8" s="309">
        <v>8.2000000000000003E-2</v>
      </c>
      <c r="E8" s="309">
        <v>7.0000000000000007E-2</v>
      </c>
      <c r="F8" s="309">
        <v>9.6000000000000002E-2</v>
      </c>
      <c r="G8" s="310">
        <v>8.8999999999999996E-2</v>
      </c>
    </row>
    <row r="9" spans="1:7">
      <c r="A9" s="311" t="s">
        <v>230</v>
      </c>
      <c r="B9" s="312" t="s">
        <v>3294</v>
      </c>
      <c r="C9" s="313">
        <v>0.1</v>
      </c>
      <c r="D9" s="313">
        <v>0.1</v>
      </c>
      <c r="E9" s="313">
        <v>0.1</v>
      </c>
      <c r="F9" s="314"/>
      <c r="G9" s="315">
        <v>0.1</v>
      </c>
    </row>
    <row r="10" spans="1:7">
      <c r="A10" s="303" t="s">
        <v>241</v>
      </c>
      <c r="B10" s="304" t="s">
        <v>3295</v>
      </c>
      <c r="C10" s="305">
        <v>6.7000000000000004E-2</v>
      </c>
      <c r="D10" s="305">
        <v>7.9000000000000001E-2</v>
      </c>
      <c r="E10" s="305">
        <v>7.9000000000000001E-2</v>
      </c>
      <c r="F10" s="305">
        <v>0.1</v>
      </c>
      <c r="G10" s="306">
        <v>9.0999999999999998E-2</v>
      </c>
    </row>
    <row r="11" spans="1:7">
      <c r="A11" s="307" t="s">
        <v>241</v>
      </c>
      <c r="B11" s="308" t="s">
        <v>3296</v>
      </c>
      <c r="C11" s="309">
        <v>0.05</v>
      </c>
      <c r="D11" s="309">
        <v>5.2999999999999999E-2</v>
      </c>
      <c r="E11" s="309">
        <v>6.3E-2</v>
      </c>
      <c r="F11" s="309">
        <v>0.1</v>
      </c>
      <c r="G11" s="310">
        <v>7.1999999999999995E-2</v>
      </c>
    </row>
    <row r="12" spans="1:7">
      <c r="A12" s="307" t="s">
        <v>241</v>
      </c>
      <c r="B12" s="308" t="s">
        <v>3297</v>
      </c>
      <c r="C12" s="309">
        <v>5.2999999999999999E-2</v>
      </c>
      <c r="D12" s="309">
        <v>0.09</v>
      </c>
      <c r="E12" s="309">
        <v>7.1999999999999995E-2</v>
      </c>
      <c r="F12" s="309">
        <v>0.1</v>
      </c>
      <c r="G12" s="310">
        <v>9.7000000000000003E-2</v>
      </c>
    </row>
    <row r="13" spans="1:7">
      <c r="A13" s="307" t="s">
        <v>241</v>
      </c>
      <c r="B13" s="308" t="s">
        <v>3298</v>
      </c>
      <c r="C13" s="309">
        <v>9.7000000000000003E-2</v>
      </c>
      <c r="D13" s="309">
        <v>9.1999999999999998E-2</v>
      </c>
      <c r="E13" s="309">
        <v>9.5000000000000001E-2</v>
      </c>
      <c r="F13" s="309">
        <v>0.1</v>
      </c>
      <c r="G13" s="310">
        <v>9.7000000000000003E-2</v>
      </c>
    </row>
    <row r="14" spans="1:7">
      <c r="A14" s="307" t="s">
        <v>241</v>
      </c>
      <c r="B14" s="308" t="s">
        <v>3299</v>
      </c>
      <c r="C14" s="309">
        <v>9.7000000000000003E-2</v>
      </c>
      <c r="D14" s="309">
        <v>9.7000000000000003E-2</v>
      </c>
      <c r="E14" s="309">
        <v>9.7000000000000003E-2</v>
      </c>
      <c r="F14" s="309">
        <v>0.1</v>
      </c>
      <c r="G14" s="310">
        <v>9.8000000000000004E-2</v>
      </c>
    </row>
    <row r="15" spans="1:7">
      <c r="A15" s="307" t="s">
        <v>241</v>
      </c>
      <c r="B15" s="308" t="s">
        <v>3300</v>
      </c>
      <c r="C15" s="309">
        <v>9.8000000000000004E-2</v>
      </c>
      <c r="D15" s="309">
        <v>9.0999999999999998E-2</v>
      </c>
      <c r="E15" s="309">
        <v>0.06</v>
      </c>
      <c r="F15" s="309">
        <v>0.1</v>
      </c>
      <c r="G15" s="310">
        <v>9.7000000000000003E-2</v>
      </c>
    </row>
    <row r="16" spans="1:7">
      <c r="A16" s="307" t="s">
        <v>241</v>
      </c>
      <c r="B16" s="308" t="s">
        <v>3301</v>
      </c>
      <c r="C16" s="309">
        <v>9.8000000000000004E-2</v>
      </c>
      <c r="D16" s="309">
        <v>9.7000000000000003E-2</v>
      </c>
      <c r="E16" s="309">
        <v>9.5000000000000001E-2</v>
      </c>
      <c r="F16" s="309">
        <v>0.1</v>
      </c>
      <c r="G16" s="310">
        <v>9.9000000000000005E-2</v>
      </c>
    </row>
    <row r="17" spans="1:7">
      <c r="A17" s="307" t="s">
        <v>241</v>
      </c>
      <c r="B17" s="308" t="s">
        <v>3302</v>
      </c>
      <c r="C17" s="309">
        <v>8.8999999999999996E-2</v>
      </c>
      <c r="D17" s="309">
        <v>9.1999999999999998E-2</v>
      </c>
      <c r="E17" s="309">
        <v>6.0999999999999999E-2</v>
      </c>
      <c r="F17" s="309">
        <v>0.1</v>
      </c>
      <c r="G17" s="310">
        <v>9.7000000000000003E-2</v>
      </c>
    </row>
    <row r="18" spans="1:7">
      <c r="A18" s="307" t="s">
        <v>241</v>
      </c>
      <c r="B18" s="308" t="s">
        <v>3303</v>
      </c>
      <c r="C18" s="309">
        <v>9.8000000000000004E-2</v>
      </c>
      <c r="D18" s="309">
        <v>9.8000000000000004E-2</v>
      </c>
      <c r="E18" s="309">
        <v>9.8000000000000004E-2</v>
      </c>
      <c r="F18" s="316"/>
      <c r="G18" s="310">
        <v>9.9000000000000005E-2</v>
      </c>
    </row>
    <row r="19" spans="1:7">
      <c r="A19" s="307" t="s">
        <v>241</v>
      </c>
      <c r="B19" s="308" t="s">
        <v>3304</v>
      </c>
      <c r="C19" s="309">
        <v>9.9000000000000005E-2</v>
      </c>
      <c r="D19" s="309">
        <v>7.3999999999999996E-2</v>
      </c>
      <c r="E19" s="309">
        <v>8.1000000000000003E-2</v>
      </c>
      <c r="F19" s="316"/>
      <c r="G19" s="310">
        <v>9.2999999999999999E-2</v>
      </c>
    </row>
    <row r="20" spans="1:7">
      <c r="A20" s="307" t="s">
        <v>241</v>
      </c>
      <c r="B20" s="308" t="s">
        <v>3305</v>
      </c>
      <c r="C20" s="309">
        <v>0.1</v>
      </c>
      <c r="D20" s="309">
        <v>8.8999999999999996E-2</v>
      </c>
      <c r="E20" s="309">
        <v>8.8999999999999996E-2</v>
      </c>
      <c r="F20" s="316"/>
      <c r="G20" s="310">
        <v>9.5000000000000001E-2</v>
      </c>
    </row>
    <row r="21" spans="1:7">
      <c r="A21" s="307" t="s">
        <v>241</v>
      </c>
      <c r="B21" s="308" t="s">
        <v>3306</v>
      </c>
      <c r="C21" s="309">
        <v>0.1</v>
      </c>
      <c r="D21" s="309">
        <v>9.0999999999999998E-2</v>
      </c>
      <c r="E21" s="309">
        <v>8.2000000000000003E-2</v>
      </c>
      <c r="F21" s="316"/>
      <c r="G21" s="310">
        <v>9.7000000000000003E-2</v>
      </c>
    </row>
    <row r="22" spans="1:7">
      <c r="A22" s="307" t="s">
        <v>241</v>
      </c>
      <c r="B22" s="308" t="s">
        <v>3307</v>
      </c>
      <c r="C22" s="309">
        <v>9.5000000000000001E-2</v>
      </c>
      <c r="D22" s="309">
        <v>9.9000000000000005E-2</v>
      </c>
      <c r="E22" s="309">
        <v>9.8000000000000004E-2</v>
      </c>
      <c r="F22" s="316"/>
      <c r="G22" s="310">
        <v>0.1</v>
      </c>
    </row>
    <row r="23" spans="1:7">
      <c r="A23" s="307" t="s">
        <v>241</v>
      </c>
      <c r="B23" s="308" t="s">
        <v>3308</v>
      </c>
      <c r="C23" s="309">
        <v>9.9000000000000005E-2</v>
      </c>
      <c r="D23" s="309">
        <v>0.1</v>
      </c>
      <c r="E23" s="309">
        <v>0.1</v>
      </c>
      <c r="F23" s="316"/>
      <c r="G23" s="310">
        <v>0.1</v>
      </c>
    </row>
    <row r="24" spans="1:7">
      <c r="A24" s="307" t="s">
        <v>241</v>
      </c>
      <c r="B24" s="308" t="s">
        <v>3309</v>
      </c>
      <c r="C24" s="309">
        <v>9.5000000000000001E-2</v>
      </c>
      <c r="D24" s="309">
        <v>0.1</v>
      </c>
      <c r="E24" s="309">
        <v>9.8000000000000004E-2</v>
      </c>
      <c r="F24" s="316"/>
      <c r="G24" s="310">
        <v>0.1</v>
      </c>
    </row>
    <row r="25" spans="1:7">
      <c r="A25" s="307" t="s">
        <v>241</v>
      </c>
      <c r="B25" s="308" t="s">
        <v>3310</v>
      </c>
      <c r="C25" s="309">
        <v>0.05</v>
      </c>
      <c r="D25" s="309">
        <v>9.6000000000000002E-2</v>
      </c>
      <c r="E25" s="309">
        <v>9.6000000000000002E-2</v>
      </c>
      <c r="F25" s="316"/>
      <c r="G25" s="310">
        <v>9.6000000000000002E-2</v>
      </c>
    </row>
    <row r="26" spans="1:7">
      <c r="A26" s="307" t="s">
        <v>241</v>
      </c>
      <c r="B26" s="308" t="s">
        <v>3311</v>
      </c>
      <c r="C26" s="309">
        <v>6.3E-2</v>
      </c>
      <c r="D26" s="309">
        <v>9.9000000000000005E-2</v>
      </c>
      <c r="E26" s="309">
        <v>9.8000000000000004E-2</v>
      </c>
      <c r="F26" s="316"/>
      <c r="G26" s="310">
        <v>0.1</v>
      </c>
    </row>
    <row r="27" spans="1:7">
      <c r="A27" s="307" t="s">
        <v>241</v>
      </c>
      <c r="B27" s="308" t="s">
        <v>3312</v>
      </c>
      <c r="C27" s="309">
        <v>5.1999999999999998E-2</v>
      </c>
      <c r="D27" s="309">
        <v>9.5000000000000001E-2</v>
      </c>
      <c r="E27" s="309">
        <v>6.4000000000000001E-2</v>
      </c>
      <c r="F27" s="316"/>
      <c r="G27" s="310">
        <v>9.7000000000000003E-2</v>
      </c>
    </row>
    <row r="28" spans="1:7">
      <c r="A28" s="307" t="s">
        <v>241</v>
      </c>
      <c r="B28" s="308" t="s">
        <v>3313</v>
      </c>
      <c r="C28" s="316"/>
      <c r="D28" s="309">
        <v>6.3E-2</v>
      </c>
      <c r="E28" s="309">
        <v>5.1999999999999998E-2</v>
      </c>
      <c r="F28" s="316"/>
      <c r="G28" s="310">
        <v>6.3E-2</v>
      </c>
    </row>
    <row r="29" spans="1:7">
      <c r="A29" s="311" t="s">
        <v>241</v>
      </c>
      <c r="B29" s="312" t="s">
        <v>3314</v>
      </c>
      <c r="C29" s="317"/>
      <c r="D29" s="313">
        <v>5.1999999999999998E-2</v>
      </c>
      <c r="E29" s="313">
        <v>7.0000000000000007E-2</v>
      </c>
      <c r="F29" s="317"/>
      <c r="G29" s="315">
        <v>7.0999999999999994E-2</v>
      </c>
    </row>
    <row r="30" spans="1:7">
      <c r="A30" s="318" t="s">
        <v>251</v>
      </c>
      <c r="B30" s="304" t="s">
        <v>3315</v>
      </c>
      <c r="C30" s="305">
        <v>6.6000000000000003E-2</v>
      </c>
      <c r="D30" s="305">
        <v>6.6000000000000003E-2</v>
      </c>
      <c r="E30" s="305">
        <v>5.7000000000000002E-2</v>
      </c>
      <c r="F30" s="305">
        <v>0.1</v>
      </c>
      <c r="G30" s="306">
        <v>6.8000000000000005E-2</v>
      </c>
    </row>
    <row r="31" spans="1:7">
      <c r="A31" s="319" t="s">
        <v>251</v>
      </c>
      <c r="B31" s="308" t="s">
        <v>3316</v>
      </c>
      <c r="C31" s="309">
        <v>5.5E-2</v>
      </c>
      <c r="D31" s="309">
        <v>8.2000000000000003E-2</v>
      </c>
      <c r="E31" s="309">
        <v>6.4000000000000001E-2</v>
      </c>
      <c r="F31" s="309">
        <v>0.1</v>
      </c>
      <c r="G31" s="310">
        <v>9.5000000000000001E-2</v>
      </c>
    </row>
    <row r="32" spans="1:7">
      <c r="A32" s="319" t="s">
        <v>251</v>
      </c>
      <c r="B32" s="308" t="s">
        <v>3317</v>
      </c>
      <c r="C32" s="309">
        <v>8.2000000000000003E-2</v>
      </c>
      <c r="D32" s="309">
        <v>8.6999999999999994E-2</v>
      </c>
      <c r="E32" s="309">
        <v>9.5000000000000001E-2</v>
      </c>
      <c r="F32" s="309">
        <v>0.1</v>
      </c>
      <c r="G32" s="310">
        <v>9.6000000000000002E-2</v>
      </c>
    </row>
    <row r="33" spans="1:7">
      <c r="A33" s="319" t="s">
        <v>251</v>
      </c>
      <c r="B33" s="308" t="s">
        <v>3318</v>
      </c>
      <c r="C33" s="309">
        <v>9.9000000000000005E-2</v>
      </c>
      <c r="D33" s="309">
        <v>9.1999999999999998E-2</v>
      </c>
      <c r="E33" s="309">
        <v>8.6999999999999994E-2</v>
      </c>
      <c r="F33" s="309">
        <v>0.1</v>
      </c>
      <c r="G33" s="310">
        <v>9.7000000000000003E-2</v>
      </c>
    </row>
    <row r="34" spans="1:7">
      <c r="A34" s="319" t="s">
        <v>251</v>
      </c>
      <c r="B34" s="308" t="s">
        <v>3319</v>
      </c>
      <c r="C34" s="309">
        <v>8.4000000000000005E-2</v>
      </c>
      <c r="D34" s="309">
        <v>9.7000000000000003E-2</v>
      </c>
      <c r="E34" s="309">
        <v>7.0999999999999994E-2</v>
      </c>
      <c r="F34" s="309">
        <v>0.1</v>
      </c>
      <c r="G34" s="310">
        <v>9.8000000000000004E-2</v>
      </c>
    </row>
    <row r="35" spans="1:7">
      <c r="A35" s="319" t="s">
        <v>251</v>
      </c>
      <c r="B35" s="308" t="s">
        <v>3320</v>
      </c>
      <c r="C35" s="309">
        <v>8.3000000000000004E-2</v>
      </c>
      <c r="D35" s="309">
        <v>9.7000000000000003E-2</v>
      </c>
      <c r="E35" s="309">
        <v>6.0999999999999999E-2</v>
      </c>
      <c r="F35" s="309">
        <v>0.1</v>
      </c>
      <c r="G35" s="310">
        <v>9.9000000000000005E-2</v>
      </c>
    </row>
    <row r="36" spans="1:7">
      <c r="A36" s="319" t="s">
        <v>251</v>
      </c>
      <c r="B36" s="308" t="s">
        <v>3321</v>
      </c>
      <c r="C36" s="309">
        <v>9.7000000000000003E-2</v>
      </c>
      <c r="D36" s="309">
        <v>9.7000000000000003E-2</v>
      </c>
      <c r="E36" s="309">
        <v>7.8E-2</v>
      </c>
      <c r="F36" s="309">
        <v>0.1</v>
      </c>
      <c r="G36" s="310">
        <v>9.9000000000000005E-2</v>
      </c>
    </row>
    <row r="37" spans="1:7">
      <c r="A37" s="319" t="s">
        <v>251</v>
      </c>
      <c r="B37" s="308" t="s">
        <v>3322</v>
      </c>
      <c r="C37" s="309">
        <v>9.7000000000000003E-2</v>
      </c>
      <c r="D37" s="309">
        <v>9.5000000000000001E-2</v>
      </c>
      <c r="E37" s="309">
        <v>7.8E-2</v>
      </c>
      <c r="F37" s="309">
        <v>0.1</v>
      </c>
      <c r="G37" s="310">
        <v>9.7000000000000003E-2</v>
      </c>
    </row>
    <row r="38" spans="1:7">
      <c r="A38" s="319" t="s">
        <v>251</v>
      </c>
      <c r="B38" s="308" t="s">
        <v>3323</v>
      </c>
      <c r="C38" s="309">
        <v>9.7000000000000003E-2</v>
      </c>
      <c r="D38" s="309">
        <v>7.6999999999999999E-2</v>
      </c>
      <c r="E38" s="309">
        <v>7.0000000000000007E-2</v>
      </c>
      <c r="F38" s="309">
        <v>0.1</v>
      </c>
      <c r="G38" s="310">
        <v>7.6999999999999999E-2</v>
      </c>
    </row>
    <row r="39" spans="1:7">
      <c r="A39" s="319" t="s">
        <v>251</v>
      </c>
      <c r="B39" s="308" t="s">
        <v>3324</v>
      </c>
      <c r="C39" s="309">
        <v>9.5000000000000001E-2</v>
      </c>
      <c r="D39" s="309">
        <v>7.6999999999999999E-2</v>
      </c>
      <c r="E39" s="309">
        <v>6.6000000000000003E-2</v>
      </c>
      <c r="F39" s="309">
        <v>0.1</v>
      </c>
      <c r="G39" s="310">
        <v>8.5999999999999993E-2</v>
      </c>
    </row>
    <row r="40" spans="1:7">
      <c r="A40" s="319" t="s">
        <v>251</v>
      </c>
      <c r="B40" s="308" t="s">
        <v>3325</v>
      </c>
      <c r="C40" s="309">
        <v>7.6999999999999999E-2</v>
      </c>
      <c r="D40" s="309">
        <v>7.8E-2</v>
      </c>
      <c r="E40" s="309">
        <v>8.2000000000000003E-2</v>
      </c>
      <c r="F40" s="320"/>
      <c r="G40" s="310">
        <v>7.8E-2</v>
      </c>
    </row>
    <row r="41" spans="1:7">
      <c r="A41" s="319" t="s">
        <v>251</v>
      </c>
      <c r="B41" s="308" t="s">
        <v>3326</v>
      </c>
      <c r="C41" s="309">
        <v>7.8E-2</v>
      </c>
      <c r="D41" s="309">
        <v>7.8E-2</v>
      </c>
      <c r="E41" s="309">
        <v>8.2000000000000003E-2</v>
      </c>
      <c r="F41" s="320"/>
      <c r="G41" s="310">
        <v>8.5999999999999993E-2</v>
      </c>
    </row>
    <row r="42" spans="1:7">
      <c r="A42" s="319" t="s">
        <v>251</v>
      </c>
      <c r="B42" s="308" t="s">
        <v>3327</v>
      </c>
      <c r="C42" s="309">
        <v>7.8E-2</v>
      </c>
      <c r="D42" s="309">
        <v>9.6000000000000002E-2</v>
      </c>
      <c r="E42" s="309">
        <v>7.1999999999999995E-2</v>
      </c>
      <c r="F42" s="320"/>
      <c r="G42" s="310">
        <v>9.8000000000000004E-2</v>
      </c>
    </row>
    <row r="43" spans="1:7">
      <c r="A43" s="319" t="s">
        <v>251</v>
      </c>
      <c r="B43" s="308" t="s">
        <v>3328</v>
      </c>
      <c r="C43" s="309">
        <v>7.8E-2</v>
      </c>
      <c r="D43" s="309">
        <v>9.9000000000000005E-2</v>
      </c>
      <c r="E43" s="309">
        <v>9.6000000000000002E-2</v>
      </c>
      <c r="F43" s="320"/>
      <c r="G43" s="310">
        <v>0.1</v>
      </c>
    </row>
    <row r="44" spans="1:7">
      <c r="A44" s="319" t="s">
        <v>251</v>
      </c>
      <c r="B44" s="308" t="s">
        <v>3329</v>
      </c>
      <c r="C44" s="309">
        <v>9.6000000000000002E-2</v>
      </c>
      <c r="D44" s="309">
        <v>0.1</v>
      </c>
      <c r="E44" s="309">
        <v>9.8000000000000004E-2</v>
      </c>
      <c r="F44" s="320"/>
      <c r="G44" s="310">
        <v>0.1</v>
      </c>
    </row>
    <row r="45" spans="1:7">
      <c r="A45" s="319" t="s">
        <v>251</v>
      </c>
      <c r="B45" s="308" t="s">
        <v>3330</v>
      </c>
      <c r="C45" s="309">
        <v>9.9000000000000005E-2</v>
      </c>
      <c r="D45" s="309">
        <v>9.8000000000000004E-2</v>
      </c>
      <c r="E45" s="309">
        <v>9.5000000000000001E-2</v>
      </c>
      <c r="F45" s="320"/>
      <c r="G45" s="310">
        <v>9.8000000000000004E-2</v>
      </c>
    </row>
    <row r="46" spans="1:7">
      <c r="A46" s="319" t="s">
        <v>251</v>
      </c>
      <c r="B46" s="308" t="s">
        <v>3331</v>
      </c>
      <c r="C46" s="309">
        <v>0.1</v>
      </c>
      <c r="D46" s="309">
        <v>9.9000000000000005E-2</v>
      </c>
      <c r="E46" s="309">
        <v>9.6000000000000002E-2</v>
      </c>
      <c r="F46" s="320"/>
      <c r="G46" s="310">
        <v>0.1</v>
      </c>
    </row>
    <row r="47" spans="1:7">
      <c r="A47" s="319" t="s">
        <v>251</v>
      </c>
      <c r="B47" s="308" t="s">
        <v>3332</v>
      </c>
      <c r="C47" s="309">
        <v>9.8000000000000004E-2</v>
      </c>
      <c r="D47" s="309">
        <v>8.6999999999999994E-2</v>
      </c>
      <c r="E47" s="309">
        <v>5.8999999999999997E-2</v>
      </c>
      <c r="F47" s="320"/>
      <c r="G47" s="310">
        <v>9.6000000000000002E-2</v>
      </c>
    </row>
    <row r="48" spans="1:7">
      <c r="A48" s="319" t="s">
        <v>251</v>
      </c>
      <c r="B48" s="308" t="s">
        <v>3333</v>
      </c>
      <c r="C48" s="309">
        <v>9.9000000000000005E-2</v>
      </c>
      <c r="D48" s="309">
        <v>9.8000000000000004E-2</v>
      </c>
      <c r="E48" s="309">
        <v>9.5000000000000001E-2</v>
      </c>
      <c r="F48" s="320"/>
      <c r="G48" s="310">
        <v>9.8000000000000004E-2</v>
      </c>
    </row>
    <row r="49" spans="1:7">
      <c r="A49" s="319" t="s">
        <v>251</v>
      </c>
      <c r="B49" s="308" t="s">
        <v>3334</v>
      </c>
      <c r="C49" s="309">
        <v>8.7999999999999995E-2</v>
      </c>
      <c r="D49" s="309">
        <v>9.9000000000000005E-2</v>
      </c>
      <c r="E49" s="309">
        <v>7.0000000000000007E-2</v>
      </c>
      <c r="F49" s="320"/>
      <c r="G49" s="310">
        <v>0.1</v>
      </c>
    </row>
    <row r="50" spans="1:7">
      <c r="A50" s="319" t="s">
        <v>251</v>
      </c>
      <c r="B50" s="308" t="s">
        <v>3335</v>
      </c>
      <c r="C50" s="309">
        <v>9.8000000000000004E-2</v>
      </c>
      <c r="D50" s="309">
        <v>7.2999999999999995E-2</v>
      </c>
      <c r="E50" s="309">
        <v>7.0999999999999994E-2</v>
      </c>
      <c r="F50" s="320"/>
      <c r="G50" s="310">
        <v>7.2999999999999995E-2</v>
      </c>
    </row>
    <row r="51" spans="1:7">
      <c r="A51" s="319" t="s">
        <v>251</v>
      </c>
      <c r="B51" s="308" t="s">
        <v>3336</v>
      </c>
      <c r="C51" s="309">
        <v>9.9000000000000005E-2</v>
      </c>
      <c r="D51" s="309">
        <v>8.5000000000000006E-2</v>
      </c>
      <c r="E51" s="309">
        <v>6.3E-2</v>
      </c>
      <c r="F51" s="320"/>
      <c r="G51" s="310">
        <v>9.6000000000000002E-2</v>
      </c>
    </row>
    <row r="52" spans="1:7">
      <c r="A52" s="319" t="s">
        <v>251</v>
      </c>
      <c r="B52" s="308" t="s">
        <v>3337</v>
      </c>
      <c r="C52" s="309">
        <v>7.3999999999999996E-2</v>
      </c>
      <c r="D52" s="309">
        <v>9.6000000000000002E-2</v>
      </c>
      <c r="E52" s="309">
        <v>0.05</v>
      </c>
      <c r="F52" s="320"/>
      <c r="G52" s="310">
        <v>9.8000000000000004E-2</v>
      </c>
    </row>
    <row r="53" spans="1:7">
      <c r="A53" s="319" t="s">
        <v>251</v>
      </c>
      <c r="B53" s="308" t="s">
        <v>3338</v>
      </c>
      <c r="C53" s="309">
        <v>8.5999999999999993E-2</v>
      </c>
      <c r="D53" s="320"/>
      <c r="E53" s="309">
        <v>9.1999999999999998E-2</v>
      </c>
      <c r="F53" s="320"/>
      <c r="G53" s="321"/>
    </row>
    <row r="54" spans="1:7">
      <c r="A54" s="322" t="s">
        <v>251</v>
      </c>
      <c r="B54" s="312" t="s">
        <v>3339</v>
      </c>
      <c r="C54" s="313">
        <v>9.6000000000000002E-2</v>
      </c>
      <c r="D54" s="314"/>
      <c r="E54" s="323"/>
      <c r="F54" s="314"/>
      <c r="G54" s="324"/>
    </row>
    <row r="55" spans="1:7">
      <c r="A55" s="318" t="s">
        <v>259</v>
      </c>
      <c r="B55" s="304" t="s">
        <v>3340</v>
      </c>
      <c r="C55" s="305">
        <v>9.6000000000000002E-2</v>
      </c>
      <c r="D55" s="305">
        <v>8.4000000000000005E-2</v>
      </c>
      <c r="E55" s="305">
        <v>9.1999999999999998E-2</v>
      </c>
      <c r="F55" s="305">
        <v>0.1</v>
      </c>
      <c r="G55" s="306">
        <v>9.5000000000000001E-2</v>
      </c>
    </row>
    <row r="56" spans="1:7">
      <c r="A56" s="319" t="s">
        <v>259</v>
      </c>
      <c r="B56" s="308" t="s">
        <v>3341</v>
      </c>
      <c r="C56" s="309">
        <v>8.4000000000000005E-2</v>
      </c>
      <c r="D56" s="309">
        <v>9.1999999999999998E-2</v>
      </c>
      <c r="E56" s="309">
        <v>9.5000000000000001E-2</v>
      </c>
      <c r="F56" s="309">
        <v>9.1999999999999998E-2</v>
      </c>
      <c r="G56" s="310">
        <v>9.6000000000000002E-2</v>
      </c>
    </row>
    <row r="57" spans="1:7">
      <c r="A57" s="319" t="s">
        <v>259</v>
      </c>
      <c r="B57" s="308" t="s">
        <v>3342</v>
      </c>
      <c r="C57" s="309">
        <v>9.9000000000000005E-2</v>
      </c>
      <c r="D57" s="309">
        <v>9.6000000000000002E-2</v>
      </c>
      <c r="E57" s="309">
        <v>9.1999999999999998E-2</v>
      </c>
      <c r="F57" s="309">
        <v>0.1</v>
      </c>
      <c r="G57" s="310">
        <v>9.8000000000000004E-2</v>
      </c>
    </row>
    <row r="58" spans="1:7">
      <c r="A58" s="319" t="s">
        <v>259</v>
      </c>
      <c r="B58" s="308" t="s">
        <v>3343</v>
      </c>
      <c r="C58" s="309">
        <v>9.8000000000000004E-2</v>
      </c>
      <c r="D58" s="309">
        <v>9.5000000000000001E-2</v>
      </c>
      <c r="E58" s="309">
        <v>5.7000000000000002E-2</v>
      </c>
      <c r="F58" s="309">
        <v>0.1</v>
      </c>
      <c r="G58" s="310">
        <v>9.6000000000000002E-2</v>
      </c>
    </row>
    <row r="59" spans="1:7">
      <c r="A59" s="319" t="s">
        <v>259</v>
      </c>
      <c r="B59" s="308" t="s">
        <v>3344</v>
      </c>
      <c r="C59" s="309">
        <v>9.5000000000000001E-2</v>
      </c>
      <c r="D59" s="309">
        <v>0.1</v>
      </c>
      <c r="E59" s="309">
        <v>7.4999999999999997E-2</v>
      </c>
      <c r="F59" s="309">
        <v>0.1</v>
      </c>
      <c r="G59" s="310">
        <v>0.1</v>
      </c>
    </row>
    <row r="60" spans="1:7">
      <c r="A60" s="319" t="s">
        <v>259</v>
      </c>
      <c r="B60" s="308" t="s">
        <v>3345</v>
      </c>
      <c r="C60" s="309">
        <v>0.1</v>
      </c>
      <c r="D60" s="309">
        <v>9.7000000000000003E-2</v>
      </c>
      <c r="E60" s="309">
        <v>0.1</v>
      </c>
      <c r="F60" s="309">
        <v>0.1</v>
      </c>
      <c r="G60" s="310">
        <v>9.7000000000000003E-2</v>
      </c>
    </row>
    <row r="61" spans="1:7">
      <c r="A61" s="319" t="s">
        <v>259</v>
      </c>
      <c r="B61" s="308" t="s">
        <v>3346</v>
      </c>
      <c r="C61" s="309">
        <v>9.7000000000000003E-2</v>
      </c>
      <c r="D61" s="309">
        <v>0.1</v>
      </c>
      <c r="E61" s="309">
        <v>9.2999999999999999E-2</v>
      </c>
      <c r="F61" s="309">
        <v>0.1</v>
      </c>
      <c r="G61" s="310">
        <v>0.1</v>
      </c>
    </row>
    <row r="62" spans="1:7">
      <c r="A62" s="319" t="s">
        <v>259</v>
      </c>
      <c r="B62" s="308" t="s">
        <v>3347</v>
      </c>
      <c r="C62" s="309">
        <v>0.1</v>
      </c>
      <c r="D62" s="309">
        <v>9.7000000000000003E-2</v>
      </c>
      <c r="E62" s="309">
        <v>8.8999999999999996E-2</v>
      </c>
      <c r="F62" s="309">
        <v>0.1</v>
      </c>
      <c r="G62" s="310">
        <v>9.8000000000000004E-2</v>
      </c>
    </row>
    <row r="63" spans="1:7">
      <c r="A63" s="319" t="s">
        <v>259</v>
      </c>
      <c r="B63" s="308" t="s">
        <v>3348</v>
      </c>
      <c r="C63" s="309">
        <v>9.7000000000000003E-2</v>
      </c>
      <c r="D63" s="309">
        <v>9.7000000000000003E-2</v>
      </c>
      <c r="E63" s="309">
        <v>9.9000000000000005E-2</v>
      </c>
      <c r="F63" s="309">
        <v>0.1</v>
      </c>
      <c r="G63" s="310">
        <v>9.7000000000000003E-2</v>
      </c>
    </row>
    <row r="64" spans="1:7">
      <c r="A64" s="319" t="s">
        <v>259</v>
      </c>
      <c r="B64" s="308" t="s">
        <v>3349</v>
      </c>
      <c r="C64" s="309">
        <v>9.7000000000000003E-2</v>
      </c>
      <c r="D64" s="309">
        <v>7.3999999999999996E-2</v>
      </c>
      <c r="E64" s="309">
        <v>7.8E-2</v>
      </c>
      <c r="F64" s="309">
        <v>0.1</v>
      </c>
      <c r="G64" s="310">
        <v>8.8999999999999996E-2</v>
      </c>
    </row>
    <row r="65" spans="1:7">
      <c r="A65" s="319" t="s">
        <v>259</v>
      </c>
      <c r="B65" s="308" t="s">
        <v>3350</v>
      </c>
      <c r="C65" s="309">
        <v>7.2999999999999995E-2</v>
      </c>
      <c r="D65" s="309">
        <v>9.8000000000000004E-2</v>
      </c>
      <c r="E65" s="309">
        <v>9.5000000000000001E-2</v>
      </c>
      <c r="F65" s="309">
        <v>0.1</v>
      </c>
      <c r="G65" s="310">
        <v>9.9000000000000005E-2</v>
      </c>
    </row>
    <row r="66" spans="1:7">
      <c r="A66" s="319" t="s">
        <v>259</v>
      </c>
      <c r="B66" s="308" t="s">
        <v>3351</v>
      </c>
      <c r="C66" s="309">
        <v>9.8000000000000004E-2</v>
      </c>
      <c r="D66" s="309">
        <v>9.5000000000000001E-2</v>
      </c>
      <c r="E66" s="309">
        <v>0.05</v>
      </c>
      <c r="F66" s="309">
        <v>0.1</v>
      </c>
      <c r="G66" s="310">
        <v>9.7000000000000003E-2</v>
      </c>
    </row>
    <row r="67" spans="1:7">
      <c r="A67" s="319" t="s">
        <v>259</v>
      </c>
      <c r="B67" s="308" t="s">
        <v>3352</v>
      </c>
      <c r="C67" s="309">
        <v>9.5000000000000001E-2</v>
      </c>
      <c r="D67" s="309">
        <v>9.7000000000000003E-2</v>
      </c>
      <c r="E67" s="309">
        <v>9.7000000000000003E-2</v>
      </c>
      <c r="F67" s="309">
        <v>0.1</v>
      </c>
      <c r="G67" s="310">
        <v>9.9000000000000005E-2</v>
      </c>
    </row>
    <row r="68" spans="1:7">
      <c r="A68" s="319" t="s">
        <v>259</v>
      </c>
      <c r="B68" s="308" t="s">
        <v>3353</v>
      </c>
      <c r="C68" s="309">
        <v>9.7000000000000003E-2</v>
      </c>
      <c r="D68" s="309">
        <v>6.8000000000000005E-2</v>
      </c>
      <c r="E68" s="309">
        <v>6.6000000000000003E-2</v>
      </c>
      <c r="F68" s="309">
        <v>0.1</v>
      </c>
      <c r="G68" s="310">
        <v>8.4000000000000005E-2</v>
      </c>
    </row>
    <row r="69" spans="1:7">
      <c r="A69" s="319" t="s">
        <v>259</v>
      </c>
      <c r="B69" s="308" t="s">
        <v>3354</v>
      </c>
      <c r="C69" s="309">
        <v>6.8000000000000005E-2</v>
      </c>
      <c r="D69" s="309">
        <v>9.8000000000000004E-2</v>
      </c>
      <c r="E69" s="309">
        <v>9.5000000000000001E-2</v>
      </c>
      <c r="F69" s="309">
        <v>0.1</v>
      </c>
      <c r="G69" s="310">
        <v>0.1</v>
      </c>
    </row>
    <row r="70" spans="1:7">
      <c r="A70" s="319" t="s">
        <v>259</v>
      </c>
      <c r="B70" s="308" t="s">
        <v>3355</v>
      </c>
      <c r="C70" s="309">
        <v>9.8000000000000004E-2</v>
      </c>
      <c r="D70" s="309">
        <v>8.8999999999999996E-2</v>
      </c>
      <c r="E70" s="309">
        <v>5.8999999999999997E-2</v>
      </c>
      <c r="F70" s="309">
        <v>0.1</v>
      </c>
      <c r="G70" s="310">
        <v>9.6000000000000002E-2</v>
      </c>
    </row>
    <row r="71" spans="1:7">
      <c r="A71" s="319" t="s">
        <v>259</v>
      </c>
      <c r="B71" s="308" t="s">
        <v>3356</v>
      </c>
      <c r="C71" s="309">
        <v>8.8999999999999996E-2</v>
      </c>
      <c r="D71" s="309">
        <v>9.9000000000000005E-2</v>
      </c>
      <c r="E71" s="309">
        <v>9.6000000000000002E-2</v>
      </c>
      <c r="F71" s="309">
        <v>0.1</v>
      </c>
      <c r="G71" s="310">
        <v>0.1</v>
      </c>
    </row>
    <row r="72" spans="1:7">
      <c r="A72" s="319" t="s">
        <v>259</v>
      </c>
      <c r="B72" s="308" t="s">
        <v>3357</v>
      </c>
      <c r="C72" s="309">
        <v>9.9000000000000005E-2</v>
      </c>
      <c r="D72" s="309">
        <v>0.1</v>
      </c>
      <c r="E72" s="309">
        <v>7.0000000000000007E-2</v>
      </c>
      <c r="F72" s="320"/>
      <c r="G72" s="310">
        <v>0.1</v>
      </c>
    </row>
    <row r="73" spans="1:7">
      <c r="A73" s="319" t="s">
        <v>259</v>
      </c>
      <c r="B73" s="308" t="s">
        <v>3358</v>
      </c>
      <c r="C73" s="309">
        <v>0.1</v>
      </c>
      <c r="D73" s="309">
        <v>0.1</v>
      </c>
      <c r="E73" s="309">
        <v>9.6000000000000002E-2</v>
      </c>
      <c r="F73" s="320"/>
      <c r="G73" s="310">
        <v>0.1</v>
      </c>
    </row>
    <row r="74" spans="1:7">
      <c r="A74" s="319" t="s">
        <v>259</v>
      </c>
      <c r="B74" s="308" t="s">
        <v>3359</v>
      </c>
      <c r="C74" s="309">
        <v>0.1</v>
      </c>
      <c r="D74" s="309">
        <v>0.1</v>
      </c>
      <c r="E74" s="309">
        <v>9.8000000000000004E-2</v>
      </c>
      <c r="F74" s="320"/>
      <c r="G74" s="310">
        <v>0.1</v>
      </c>
    </row>
    <row r="75" spans="1:7">
      <c r="A75" s="319" t="s">
        <v>259</v>
      </c>
      <c r="B75" s="308" t="s">
        <v>3360</v>
      </c>
      <c r="C75" s="309">
        <v>0.1</v>
      </c>
      <c r="D75" s="309">
        <v>9.9000000000000005E-2</v>
      </c>
      <c r="E75" s="309">
        <v>9.8000000000000004E-2</v>
      </c>
      <c r="F75" s="320"/>
      <c r="G75" s="310">
        <v>0.1</v>
      </c>
    </row>
    <row r="76" spans="1:7">
      <c r="A76" s="319" t="s">
        <v>259</v>
      </c>
      <c r="B76" s="308" t="s">
        <v>3361</v>
      </c>
      <c r="C76" s="309">
        <v>9.9000000000000005E-2</v>
      </c>
      <c r="D76" s="309">
        <v>0.1</v>
      </c>
      <c r="E76" s="309">
        <v>9.7000000000000003E-2</v>
      </c>
      <c r="F76" s="320"/>
      <c r="G76" s="310">
        <v>0.1</v>
      </c>
    </row>
    <row r="77" spans="1:7">
      <c r="A77" s="319" t="s">
        <v>259</v>
      </c>
      <c r="B77" s="308" t="s">
        <v>3362</v>
      </c>
      <c r="C77" s="309">
        <v>0.1</v>
      </c>
      <c r="D77" s="309">
        <v>0.1</v>
      </c>
      <c r="E77" s="309">
        <v>9.6000000000000002E-2</v>
      </c>
      <c r="F77" s="320"/>
      <c r="G77" s="310">
        <v>0.1</v>
      </c>
    </row>
    <row r="78" spans="1:7">
      <c r="A78" s="319" t="s">
        <v>259</v>
      </c>
      <c r="B78" s="308" t="s">
        <v>3363</v>
      </c>
      <c r="C78" s="309">
        <v>0.1</v>
      </c>
      <c r="D78" s="309">
        <v>8.5000000000000006E-2</v>
      </c>
      <c r="E78" s="309">
        <v>9.6000000000000002E-2</v>
      </c>
      <c r="F78" s="320"/>
      <c r="G78" s="310">
        <v>9.6000000000000002E-2</v>
      </c>
    </row>
    <row r="79" spans="1:7">
      <c r="A79" s="319" t="s">
        <v>259</v>
      </c>
      <c r="B79" s="308" t="s">
        <v>3364</v>
      </c>
      <c r="C79" s="309">
        <v>0.05</v>
      </c>
      <c r="D79" s="309">
        <v>9.6000000000000002E-2</v>
      </c>
      <c r="E79" s="309">
        <v>9.5000000000000001E-2</v>
      </c>
      <c r="F79" s="320"/>
      <c r="G79" s="310">
        <v>9.8000000000000004E-2</v>
      </c>
    </row>
    <row r="80" spans="1:7">
      <c r="A80" s="319" t="s">
        <v>259</v>
      </c>
      <c r="B80" s="308" t="s">
        <v>3365</v>
      </c>
      <c r="C80" s="309">
        <v>8.5999999999999993E-2</v>
      </c>
      <c r="D80" s="325"/>
      <c r="E80" s="309">
        <v>0.1</v>
      </c>
      <c r="F80" s="320"/>
      <c r="G80" s="321"/>
    </row>
    <row r="81" spans="1:7">
      <c r="A81" s="319" t="s">
        <v>259</v>
      </c>
      <c r="B81" s="308" t="s">
        <v>3366</v>
      </c>
      <c r="C81" s="309">
        <v>9.6000000000000002E-2</v>
      </c>
      <c r="D81" s="320"/>
      <c r="E81" s="309">
        <v>9.8000000000000004E-2</v>
      </c>
      <c r="F81" s="320"/>
      <c r="G81" s="321"/>
    </row>
    <row r="82" spans="1:7">
      <c r="A82" s="319" t="s">
        <v>259</v>
      </c>
      <c r="B82" s="308" t="s">
        <v>3367</v>
      </c>
      <c r="C82" s="325"/>
      <c r="D82" s="320"/>
      <c r="E82" s="309">
        <v>7.6999999999999999E-2</v>
      </c>
      <c r="F82" s="320"/>
      <c r="G82" s="321"/>
    </row>
    <row r="83" spans="1:7">
      <c r="A83" s="319" t="s">
        <v>259</v>
      </c>
      <c r="B83" s="308" t="s">
        <v>3368</v>
      </c>
      <c r="C83" s="320"/>
      <c r="D83" s="320"/>
      <c r="E83" s="320"/>
      <c r="F83" s="309">
        <v>0.1</v>
      </c>
      <c r="G83" s="326"/>
    </row>
    <row r="84" spans="1:7">
      <c r="A84" s="319" t="s">
        <v>259</v>
      </c>
      <c r="B84" s="308" t="s">
        <v>3369</v>
      </c>
      <c r="C84" s="320"/>
      <c r="D84" s="320"/>
      <c r="E84" s="320"/>
      <c r="F84" s="309">
        <v>0.1</v>
      </c>
      <c r="G84" s="326"/>
    </row>
    <row r="85" spans="1:7">
      <c r="A85" s="319" t="s">
        <v>259</v>
      </c>
      <c r="B85" s="308" t="s">
        <v>3370</v>
      </c>
      <c r="C85" s="320"/>
      <c r="D85" s="320"/>
      <c r="E85" s="320"/>
      <c r="F85" s="309">
        <v>0.1</v>
      </c>
      <c r="G85" s="326"/>
    </row>
    <row r="86" spans="1:7">
      <c r="A86" s="322" t="s">
        <v>259</v>
      </c>
      <c r="B86" s="312" t="s">
        <v>3371</v>
      </c>
      <c r="C86" s="313">
        <v>9.8000000000000004E-2</v>
      </c>
      <c r="D86" s="313">
        <v>9.8000000000000004E-2</v>
      </c>
      <c r="E86" s="313">
        <v>9.6000000000000002E-2</v>
      </c>
      <c r="F86" s="323"/>
      <c r="G86" s="315">
        <v>0.1</v>
      </c>
    </row>
    <row r="87" spans="1:7">
      <c r="A87" s="318" t="s">
        <v>267</v>
      </c>
      <c r="B87" s="304" t="s">
        <v>3372</v>
      </c>
      <c r="C87" s="305">
        <v>0.1</v>
      </c>
      <c r="D87" s="305">
        <v>0.1</v>
      </c>
      <c r="E87" s="305">
        <v>9.8000000000000004E-2</v>
      </c>
      <c r="F87" s="305">
        <v>0.1</v>
      </c>
      <c r="G87" s="306">
        <v>0.1</v>
      </c>
    </row>
    <row r="88" spans="1:7">
      <c r="A88" s="319" t="s">
        <v>267</v>
      </c>
      <c r="B88" s="308" t="s">
        <v>3373</v>
      </c>
      <c r="C88" s="309">
        <v>9.0999999999999998E-2</v>
      </c>
      <c r="D88" s="309">
        <v>9.1999999999999998E-2</v>
      </c>
      <c r="E88" s="309">
        <v>0.1</v>
      </c>
      <c r="F88" s="309">
        <v>0.1</v>
      </c>
      <c r="G88" s="310">
        <v>9.6000000000000002E-2</v>
      </c>
    </row>
    <row r="89" spans="1:7">
      <c r="A89" s="319" t="s">
        <v>267</v>
      </c>
      <c r="B89" s="308" t="s">
        <v>3374</v>
      </c>
      <c r="C89" s="309">
        <v>0.1</v>
      </c>
      <c r="D89" s="309">
        <v>0.1</v>
      </c>
      <c r="E89" s="309">
        <v>6.7000000000000004E-2</v>
      </c>
      <c r="F89" s="309">
        <v>9.2999999999999999E-2</v>
      </c>
      <c r="G89" s="310">
        <v>0.1</v>
      </c>
    </row>
    <row r="90" spans="1:7">
      <c r="A90" s="319" t="s">
        <v>267</v>
      </c>
      <c r="B90" s="308" t="s">
        <v>3375</v>
      </c>
      <c r="C90" s="309">
        <v>9.6000000000000002E-2</v>
      </c>
      <c r="D90" s="309">
        <v>9.6000000000000002E-2</v>
      </c>
      <c r="E90" s="309">
        <v>0.1</v>
      </c>
      <c r="F90" s="309">
        <v>0.1</v>
      </c>
      <c r="G90" s="310">
        <v>9.8000000000000004E-2</v>
      </c>
    </row>
    <row r="91" spans="1:7">
      <c r="A91" s="319" t="s">
        <v>267</v>
      </c>
      <c r="B91" s="308" t="s">
        <v>3376</v>
      </c>
      <c r="C91" s="309">
        <v>7.6999999999999999E-2</v>
      </c>
      <c r="D91" s="309">
        <v>7.6999999999999999E-2</v>
      </c>
      <c r="E91" s="309">
        <v>9.6000000000000002E-2</v>
      </c>
      <c r="F91" s="309">
        <v>0.1</v>
      </c>
      <c r="G91" s="310">
        <v>7.6999999999999999E-2</v>
      </c>
    </row>
    <row r="92" spans="1:7">
      <c r="A92" s="319" t="s">
        <v>267</v>
      </c>
      <c r="B92" s="308" t="s">
        <v>3377</v>
      </c>
      <c r="C92" s="309">
        <v>0.1</v>
      </c>
      <c r="D92" s="309">
        <v>0.1</v>
      </c>
      <c r="E92" s="309">
        <v>9.1999999999999998E-2</v>
      </c>
      <c r="F92" s="309">
        <v>0.1</v>
      </c>
      <c r="G92" s="310">
        <v>0.1</v>
      </c>
    </row>
    <row r="93" spans="1:7">
      <c r="A93" s="319" t="s">
        <v>267</v>
      </c>
      <c r="B93" s="308" t="s">
        <v>3378</v>
      </c>
      <c r="C93" s="309">
        <v>9.8000000000000004E-2</v>
      </c>
      <c r="D93" s="309">
        <v>9.8000000000000004E-2</v>
      </c>
      <c r="E93" s="309">
        <v>9.6000000000000002E-2</v>
      </c>
      <c r="F93" s="309">
        <v>0.1</v>
      </c>
      <c r="G93" s="310">
        <v>9.9000000000000005E-2</v>
      </c>
    </row>
    <row r="94" spans="1:7">
      <c r="A94" s="319" t="s">
        <v>267</v>
      </c>
      <c r="B94" s="308" t="s">
        <v>3379</v>
      </c>
      <c r="C94" s="309">
        <v>8.7999999999999995E-2</v>
      </c>
      <c r="D94" s="309">
        <v>8.7999999999999995E-2</v>
      </c>
      <c r="E94" s="309">
        <v>9.6000000000000002E-2</v>
      </c>
      <c r="F94" s="309">
        <v>0.1</v>
      </c>
      <c r="G94" s="310">
        <v>8.7999999999999995E-2</v>
      </c>
    </row>
    <row r="95" spans="1:7">
      <c r="A95" s="319" t="s">
        <v>267</v>
      </c>
      <c r="B95" s="308" t="s">
        <v>3380</v>
      </c>
      <c r="C95" s="309">
        <v>9.6000000000000002E-2</v>
      </c>
      <c r="D95" s="309">
        <v>9.6000000000000002E-2</v>
      </c>
      <c r="E95" s="309">
        <v>0.1</v>
      </c>
      <c r="F95" s="309">
        <v>0.1</v>
      </c>
      <c r="G95" s="310">
        <v>9.8000000000000004E-2</v>
      </c>
    </row>
    <row r="96" spans="1:7">
      <c r="A96" s="319" t="s">
        <v>267</v>
      </c>
      <c r="B96" s="308" t="s">
        <v>3381</v>
      </c>
      <c r="C96" s="309">
        <v>9.7000000000000003E-2</v>
      </c>
      <c r="D96" s="309">
        <v>9.7000000000000003E-2</v>
      </c>
      <c r="E96" s="309">
        <v>0.1</v>
      </c>
      <c r="F96" s="309">
        <v>0.1</v>
      </c>
      <c r="G96" s="310">
        <v>9.8000000000000004E-2</v>
      </c>
    </row>
    <row r="97" spans="1:7">
      <c r="A97" s="319" t="s">
        <v>267</v>
      </c>
      <c r="B97" s="308" t="s">
        <v>3382</v>
      </c>
      <c r="C97" s="309">
        <v>9.6000000000000002E-2</v>
      </c>
      <c r="D97" s="309">
        <v>9.6000000000000002E-2</v>
      </c>
      <c r="E97" s="309">
        <v>9.9000000000000005E-2</v>
      </c>
      <c r="F97" s="309">
        <v>0.1</v>
      </c>
      <c r="G97" s="310">
        <v>9.8000000000000004E-2</v>
      </c>
    </row>
    <row r="98" spans="1:7">
      <c r="A98" s="319" t="s">
        <v>267</v>
      </c>
      <c r="B98" s="308" t="s">
        <v>3383</v>
      </c>
      <c r="C98" s="309">
        <v>9.8000000000000004E-2</v>
      </c>
      <c r="D98" s="309">
        <v>9.8000000000000004E-2</v>
      </c>
      <c r="E98" s="309">
        <v>0.1</v>
      </c>
      <c r="F98" s="309">
        <v>0.1</v>
      </c>
      <c r="G98" s="310">
        <v>9.9000000000000005E-2</v>
      </c>
    </row>
    <row r="99" spans="1:7">
      <c r="A99" s="319" t="s">
        <v>267</v>
      </c>
      <c r="B99" s="308" t="s">
        <v>3384</v>
      </c>
      <c r="C99" s="309">
        <v>9.6000000000000002E-2</v>
      </c>
      <c r="D99" s="309">
        <v>9.6000000000000002E-2</v>
      </c>
      <c r="E99" s="309">
        <v>0.1</v>
      </c>
      <c r="F99" s="309">
        <v>0.1</v>
      </c>
      <c r="G99" s="310">
        <v>9.7000000000000003E-2</v>
      </c>
    </row>
    <row r="100" spans="1:7">
      <c r="A100" s="319" t="s">
        <v>267</v>
      </c>
      <c r="B100" s="308" t="s">
        <v>3385</v>
      </c>
      <c r="C100" s="309">
        <v>0.1</v>
      </c>
      <c r="D100" s="309">
        <v>0.1</v>
      </c>
      <c r="E100" s="309">
        <v>9.7000000000000003E-2</v>
      </c>
      <c r="F100" s="309">
        <v>9.8000000000000004E-2</v>
      </c>
      <c r="G100" s="310">
        <v>0.1</v>
      </c>
    </row>
    <row r="101" spans="1:7">
      <c r="A101" s="319" t="s">
        <v>267</v>
      </c>
      <c r="B101" s="308" t="s">
        <v>3386</v>
      </c>
      <c r="C101" s="309">
        <v>0.1</v>
      </c>
      <c r="D101" s="309">
        <v>0.1</v>
      </c>
      <c r="E101" s="309">
        <v>9.5000000000000001E-2</v>
      </c>
      <c r="F101" s="309">
        <v>0.1</v>
      </c>
      <c r="G101" s="310">
        <v>0.1</v>
      </c>
    </row>
    <row r="102" spans="1:7">
      <c r="A102" s="319" t="s">
        <v>267</v>
      </c>
      <c r="B102" s="308" t="s">
        <v>3387</v>
      </c>
      <c r="C102" s="309">
        <v>0.1</v>
      </c>
      <c r="D102" s="309">
        <v>0.1</v>
      </c>
      <c r="E102" s="309">
        <v>9.9000000000000005E-2</v>
      </c>
      <c r="F102" s="309">
        <v>9.7000000000000003E-2</v>
      </c>
      <c r="G102" s="310">
        <v>0.1</v>
      </c>
    </row>
    <row r="103" spans="1:7">
      <c r="A103" s="319" t="s">
        <v>267</v>
      </c>
      <c r="B103" s="308" t="s">
        <v>3388</v>
      </c>
      <c r="C103" s="309">
        <v>0.1</v>
      </c>
      <c r="D103" s="309">
        <v>0.1</v>
      </c>
      <c r="E103" s="309">
        <v>9.8000000000000004E-2</v>
      </c>
      <c r="F103" s="309">
        <v>0.1</v>
      </c>
      <c r="G103" s="310">
        <v>0.1</v>
      </c>
    </row>
    <row r="104" spans="1:7">
      <c r="A104" s="319" t="s">
        <v>267</v>
      </c>
      <c r="B104" s="308" t="s">
        <v>3389</v>
      </c>
      <c r="C104" s="309">
        <v>0.1</v>
      </c>
      <c r="D104" s="309">
        <v>0.1</v>
      </c>
      <c r="E104" s="309">
        <v>9.8000000000000004E-2</v>
      </c>
      <c r="F104" s="309">
        <v>0.1</v>
      </c>
      <c r="G104" s="310">
        <v>0.1</v>
      </c>
    </row>
    <row r="105" spans="1:7">
      <c r="A105" s="319" t="s">
        <v>267</v>
      </c>
      <c r="B105" s="308" t="s">
        <v>3390</v>
      </c>
      <c r="C105" s="309">
        <v>9.8000000000000004E-2</v>
      </c>
      <c r="D105" s="309">
        <v>9.8000000000000004E-2</v>
      </c>
      <c r="E105" s="309">
        <v>9.8000000000000004E-2</v>
      </c>
      <c r="F105" s="309">
        <v>0.1</v>
      </c>
      <c r="G105" s="310">
        <v>9.9000000000000005E-2</v>
      </c>
    </row>
    <row r="106" spans="1:7">
      <c r="A106" s="319" t="s">
        <v>267</v>
      </c>
      <c r="B106" s="308" t="s">
        <v>3391</v>
      </c>
      <c r="C106" s="309">
        <v>9.7000000000000003E-2</v>
      </c>
      <c r="D106" s="309">
        <v>9.7000000000000003E-2</v>
      </c>
      <c r="E106" s="309">
        <v>9.7000000000000003E-2</v>
      </c>
      <c r="F106" s="309">
        <v>0.1</v>
      </c>
      <c r="G106" s="310">
        <v>9.9000000000000005E-2</v>
      </c>
    </row>
    <row r="107" spans="1:7">
      <c r="A107" s="319" t="s">
        <v>267</v>
      </c>
      <c r="B107" s="308" t="s">
        <v>3392</v>
      </c>
      <c r="C107" s="309">
        <v>0.1</v>
      </c>
      <c r="D107" s="309">
        <v>0.1</v>
      </c>
      <c r="E107" s="309">
        <v>8.5999999999999993E-2</v>
      </c>
      <c r="F107" s="309">
        <v>0.09</v>
      </c>
      <c r="G107" s="310">
        <v>0.1</v>
      </c>
    </row>
    <row r="108" spans="1:7">
      <c r="A108" s="319" t="s">
        <v>267</v>
      </c>
      <c r="B108" s="308" t="s">
        <v>3393</v>
      </c>
      <c r="C108" s="309">
        <v>0.1</v>
      </c>
      <c r="D108" s="309">
        <v>0.1</v>
      </c>
      <c r="E108" s="309">
        <v>9.6000000000000002E-2</v>
      </c>
      <c r="F108" s="320"/>
      <c r="G108" s="310">
        <v>0.1</v>
      </c>
    </row>
    <row r="109" spans="1:7">
      <c r="A109" s="319" t="s">
        <v>267</v>
      </c>
      <c r="B109" s="308" t="s">
        <v>3394</v>
      </c>
      <c r="C109" s="309">
        <v>0.1</v>
      </c>
      <c r="D109" s="309">
        <v>0.1</v>
      </c>
      <c r="E109" s="309">
        <v>0.1</v>
      </c>
      <c r="F109" s="320"/>
      <c r="G109" s="310">
        <v>0.1</v>
      </c>
    </row>
    <row r="110" spans="1:7">
      <c r="A110" s="319" t="s">
        <v>267</v>
      </c>
      <c r="B110" s="308" t="s">
        <v>3395</v>
      </c>
      <c r="C110" s="309">
        <v>0.1</v>
      </c>
      <c r="D110" s="309">
        <v>0.1</v>
      </c>
      <c r="E110" s="309">
        <v>0.1</v>
      </c>
      <c r="F110" s="320"/>
      <c r="G110" s="310">
        <v>0.1</v>
      </c>
    </row>
    <row r="111" spans="1:7">
      <c r="A111" s="319" t="s">
        <v>267</v>
      </c>
      <c r="B111" s="308" t="s">
        <v>3396</v>
      </c>
      <c r="C111" s="309">
        <v>0.1</v>
      </c>
      <c r="D111" s="309">
        <v>0.1</v>
      </c>
      <c r="E111" s="309">
        <v>9.5000000000000001E-2</v>
      </c>
      <c r="F111" s="320"/>
      <c r="G111" s="310">
        <v>0.1</v>
      </c>
    </row>
    <row r="112" spans="1:7">
      <c r="A112" s="319" t="s">
        <v>267</v>
      </c>
      <c r="B112" s="308" t="s">
        <v>3397</v>
      </c>
      <c r="C112" s="309">
        <v>9.7000000000000003E-2</v>
      </c>
      <c r="D112" s="309">
        <v>9.7000000000000003E-2</v>
      </c>
      <c r="E112" s="309">
        <v>0.05</v>
      </c>
      <c r="F112" s="320"/>
      <c r="G112" s="310">
        <v>9.8000000000000004E-2</v>
      </c>
    </row>
    <row r="113" spans="1:7">
      <c r="A113" s="319" t="s">
        <v>267</v>
      </c>
      <c r="B113" s="308" t="s">
        <v>3398</v>
      </c>
      <c r="C113" s="309">
        <v>0.1</v>
      </c>
      <c r="D113" s="309">
        <v>0.1</v>
      </c>
      <c r="E113" s="320"/>
      <c r="F113" s="320"/>
      <c r="G113" s="310">
        <v>0.1</v>
      </c>
    </row>
    <row r="114" spans="1:7">
      <c r="A114" s="319" t="s">
        <v>267</v>
      </c>
      <c r="B114" s="308" t="s">
        <v>3399</v>
      </c>
      <c r="C114" s="309">
        <v>9.7000000000000003E-2</v>
      </c>
      <c r="D114" s="309">
        <v>9.7000000000000003E-2</v>
      </c>
      <c r="E114" s="320"/>
      <c r="F114" s="320"/>
      <c r="G114" s="310">
        <v>9.9000000000000005E-2</v>
      </c>
    </row>
    <row r="115" spans="1:7">
      <c r="A115" s="319" t="s">
        <v>267</v>
      </c>
      <c r="B115" s="308" t="s">
        <v>3400</v>
      </c>
      <c r="C115" s="309">
        <v>0.1</v>
      </c>
      <c r="D115" s="309">
        <v>0.1</v>
      </c>
      <c r="E115" s="320"/>
      <c r="F115" s="320"/>
      <c r="G115" s="310">
        <v>0.1</v>
      </c>
    </row>
    <row r="116" spans="1:7">
      <c r="A116" s="319" t="s">
        <v>267</v>
      </c>
      <c r="B116" s="308" t="s">
        <v>3401</v>
      </c>
      <c r="C116" s="309">
        <v>0.1</v>
      </c>
      <c r="D116" s="309">
        <v>0.1</v>
      </c>
      <c r="E116" s="320"/>
      <c r="F116" s="320"/>
      <c r="G116" s="310">
        <v>0.1</v>
      </c>
    </row>
    <row r="117" spans="1:7">
      <c r="A117" s="319" t="s">
        <v>267</v>
      </c>
      <c r="B117" s="308" t="s">
        <v>3402</v>
      </c>
      <c r="C117" s="309">
        <v>9.7000000000000003E-2</v>
      </c>
      <c r="D117" s="309">
        <v>9.7000000000000003E-2</v>
      </c>
      <c r="E117" s="320"/>
      <c r="F117" s="320"/>
      <c r="G117" s="310">
        <v>9.7000000000000003E-2</v>
      </c>
    </row>
    <row r="118" spans="1:7">
      <c r="A118" s="319" t="s">
        <v>267</v>
      </c>
      <c r="B118" s="308" t="s">
        <v>3403</v>
      </c>
      <c r="C118" s="309">
        <v>0.1</v>
      </c>
      <c r="D118" s="309">
        <v>0.1</v>
      </c>
      <c r="E118" s="320"/>
      <c r="F118" s="320"/>
      <c r="G118" s="310">
        <v>0.1</v>
      </c>
    </row>
    <row r="119" spans="1:7">
      <c r="A119" s="319" t="s">
        <v>267</v>
      </c>
      <c r="B119" s="308" t="s">
        <v>3404</v>
      </c>
      <c r="C119" s="309">
        <v>5.0999999999999997E-2</v>
      </c>
      <c r="D119" s="309">
        <v>5.1999999999999998E-2</v>
      </c>
      <c r="E119" s="320"/>
      <c r="F119" s="325"/>
      <c r="G119" s="310">
        <v>0.06</v>
      </c>
    </row>
    <row r="120" spans="1:7">
      <c r="A120" s="319" t="s">
        <v>267</v>
      </c>
      <c r="B120" s="308" t="s">
        <v>3405</v>
      </c>
      <c r="C120" s="320"/>
      <c r="D120" s="320"/>
      <c r="E120" s="320"/>
      <c r="F120" s="309">
        <v>0.1</v>
      </c>
      <c r="G120" s="326"/>
    </row>
    <row r="121" spans="1:7">
      <c r="A121" s="319" t="s">
        <v>267</v>
      </c>
      <c r="B121" s="308" t="s">
        <v>3406</v>
      </c>
      <c r="C121" s="320"/>
      <c r="D121" s="320"/>
      <c r="E121" s="320"/>
      <c r="F121" s="309">
        <v>0.1</v>
      </c>
      <c r="G121" s="326"/>
    </row>
    <row r="122" spans="1:7">
      <c r="A122" s="319" t="s">
        <v>267</v>
      </c>
      <c r="B122" s="308" t="s">
        <v>3407</v>
      </c>
      <c r="C122" s="309">
        <v>0.1</v>
      </c>
      <c r="D122" s="309">
        <v>0.1</v>
      </c>
      <c r="E122" s="309">
        <v>9.8000000000000004E-2</v>
      </c>
      <c r="F122" s="309">
        <v>0.1</v>
      </c>
      <c r="G122" s="310">
        <v>0.1</v>
      </c>
    </row>
    <row r="123" spans="1:7">
      <c r="A123" s="319" t="s">
        <v>267</v>
      </c>
      <c r="B123" s="308" t="s">
        <v>3408</v>
      </c>
      <c r="C123" s="309">
        <v>0.1</v>
      </c>
      <c r="D123" s="309">
        <v>0.1</v>
      </c>
      <c r="E123" s="309">
        <v>9.8000000000000004E-2</v>
      </c>
      <c r="F123" s="309">
        <v>0.1</v>
      </c>
      <c r="G123" s="310">
        <v>0.1</v>
      </c>
    </row>
    <row r="124" spans="1:7">
      <c r="A124" s="319" t="s">
        <v>267</v>
      </c>
      <c r="B124" s="308" t="s">
        <v>3409</v>
      </c>
      <c r="C124" s="309">
        <v>0.1</v>
      </c>
      <c r="D124" s="309">
        <v>0.1</v>
      </c>
      <c r="E124" s="309">
        <v>9.8000000000000004E-2</v>
      </c>
      <c r="F124" s="325"/>
      <c r="G124" s="310">
        <v>0.1</v>
      </c>
    </row>
    <row r="125" spans="1:7">
      <c r="A125" s="319" t="s">
        <v>267</v>
      </c>
      <c r="B125" s="308" t="s">
        <v>3410</v>
      </c>
      <c r="C125" s="309">
        <v>9.8000000000000004E-2</v>
      </c>
      <c r="D125" s="309">
        <v>9.8000000000000004E-2</v>
      </c>
      <c r="E125" s="309">
        <v>9.6000000000000002E-2</v>
      </c>
      <c r="F125" s="325"/>
      <c r="G125" s="310">
        <v>0.1</v>
      </c>
    </row>
    <row r="126" spans="1:7">
      <c r="A126" s="322" t="s">
        <v>267</v>
      </c>
      <c r="B126" s="312" t="s">
        <v>3411</v>
      </c>
      <c r="C126" s="313">
        <v>0.1</v>
      </c>
      <c r="D126" s="313">
        <v>0.1</v>
      </c>
      <c r="E126" s="313">
        <v>9.8000000000000004E-2</v>
      </c>
      <c r="F126" s="313">
        <v>0.1</v>
      </c>
      <c r="G126" s="315">
        <v>0.1</v>
      </c>
    </row>
    <row r="127" spans="1:7">
      <c r="A127" s="318" t="s">
        <v>273</v>
      </c>
      <c r="B127" s="304" t="s">
        <v>3412</v>
      </c>
      <c r="C127" s="305">
        <v>0.121</v>
      </c>
      <c r="D127" s="305">
        <v>0.121</v>
      </c>
      <c r="E127" s="305">
        <v>0.107</v>
      </c>
      <c r="F127" s="305">
        <v>0.13</v>
      </c>
      <c r="G127" s="306">
        <v>0.122</v>
      </c>
    </row>
    <row r="128" spans="1:7">
      <c r="A128" s="319" t="s">
        <v>273</v>
      </c>
      <c r="B128" s="308" t="s">
        <v>3413</v>
      </c>
      <c r="C128" s="309">
        <v>0.11600000000000001</v>
      </c>
      <c r="D128" s="309">
        <v>0.11700000000000001</v>
      </c>
      <c r="E128" s="309">
        <v>0.104</v>
      </c>
      <c r="F128" s="309">
        <v>0.13</v>
      </c>
      <c r="G128" s="310">
        <v>0.11700000000000001</v>
      </c>
    </row>
    <row r="129" spans="1:7">
      <c r="A129" s="319" t="s">
        <v>273</v>
      </c>
      <c r="B129" s="308" t="s">
        <v>3414</v>
      </c>
      <c r="C129" s="309">
        <v>0.107</v>
      </c>
      <c r="D129" s="309">
        <v>0.108</v>
      </c>
      <c r="E129" s="309">
        <v>0.1</v>
      </c>
      <c r="F129" s="309">
        <v>0.13</v>
      </c>
      <c r="G129" s="310">
        <v>0.11700000000000001</v>
      </c>
    </row>
    <row r="130" spans="1:7">
      <c r="A130" s="319" t="s">
        <v>273</v>
      </c>
      <c r="B130" s="308" t="s">
        <v>3415</v>
      </c>
      <c r="C130" s="309">
        <v>0.13</v>
      </c>
      <c r="D130" s="309">
        <v>0.13</v>
      </c>
      <c r="E130" s="309">
        <v>0.126</v>
      </c>
      <c r="F130" s="309">
        <v>0.13</v>
      </c>
      <c r="G130" s="310">
        <v>0.13</v>
      </c>
    </row>
    <row r="131" spans="1:7">
      <c r="A131" s="319" t="s">
        <v>273</v>
      </c>
      <c r="B131" s="308" t="s">
        <v>3416</v>
      </c>
      <c r="C131" s="309">
        <v>0.13</v>
      </c>
      <c r="D131" s="309">
        <v>0.13</v>
      </c>
      <c r="E131" s="309">
        <v>0.13</v>
      </c>
      <c r="F131" s="309">
        <v>0.13</v>
      </c>
      <c r="G131" s="310">
        <v>0.13</v>
      </c>
    </row>
    <row r="132" spans="1:7">
      <c r="A132" s="319" t="s">
        <v>273</v>
      </c>
      <c r="B132" s="308" t="s">
        <v>3417</v>
      </c>
      <c r="C132" s="309">
        <v>0.13</v>
      </c>
      <c r="D132" s="309">
        <v>0.13</v>
      </c>
      <c r="E132" s="309">
        <v>0.126</v>
      </c>
      <c r="F132" s="309">
        <v>0.13</v>
      </c>
      <c r="G132" s="310">
        <v>0.13</v>
      </c>
    </row>
    <row r="133" spans="1:7">
      <c r="A133" s="319" t="s">
        <v>273</v>
      </c>
      <c r="B133" s="308" t="s">
        <v>3418</v>
      </c>
      <c r="C133" s="309">
        <v>0.111</v>
      </c>
      <c r="D133" s="309">
        <v>0.111</v>
      </c>
      <c r="E133" s="309">
        <v>0.10199999999999999</v>
      </c>
      <c r="F133" s="309">
        <v>0.13</v>
      </c>
      <c r="G133" s="310">
        <v>0.121</v>
      </c>
    </row>
    <row r="134" spans="1:7">
      <c r="A134" s="319" t="s">
        <v>273</v>
      </c>
      <c r="B134" s="308" t="s">
        <v>3419</v>
      </c>
      <c r="C134" s="309">
        <v>0.121</v>
      </c>
      <c r="D134" s="309">
        <v>0.121</v>
      </c>
      <c r="E134" s="309">
        <v>0.1</v>
      </c>
      <c r="F134" s="309">
        <v>0.13</v>
      </c>
      <c r="G134" s="310">
        <v>0.123</v>
      </c>
    </row>
    <row r="135" spans="1:7">
      <c r="A135" s="319" t="s">
        <v>273</v>
      </c>
      <c r="B135" s="308" t="s">
        <v>3420</v>
      </c>
      <c r="C135" s="309">
        <v>0.105</v>
      </c>
      <c r="D135" s="309">
        <v>0.106</v>
      </c>
      <c r="E135" s="309">
        <v>0.1</v>
      </c>
      <c r="F135" s="309">
        <v>0.13</v>
      </c>
      <c r="G135" s="310">
        <v>0.115</v>
      </c>
    </row>
    <row r="136" spans="1:7">
      <c r="A136" s="319" t="s">
        <v>273</v>
      </c>
      <c r="B136" s="308" t="s">
        <v>3421</v>
      </c>
      <c r="C136" s="309">
        <v>0.127</v>
      </c>
      <c r="D136" s="309">
        <v>0.127</v>
      </c>
      <c r="E136" s="309">
        <v>0.121</v>
      </c>
      <c r="F136" s="309">
        <v>0.123</v>
      </c>
      <c r="G136" s="310">
        <v>0.129</v>
      </c>
    </row>
    <row r="137" spans="1:7">
      <c r="A137" s="319" t="s">
        <v>273</v>
      </c>
      <c r="B137" s="308" t="s">
        <v>3422</v>
      </c>
      <c r="C137" s="309">
        <v>0.13</v>
      </c>
      <c r="D137" s="309">
        <v>0.13</v>
      </c>
      <c r="E137" s="309">
        <v>0.129</v>
      </c>
      <c r="F137" s="309">
        <v>0.13</v>
      </c>
      <c r="G137" s="310">
        <v>0.13</v>
      </c>
    </row>
    <row r="138" spans="1:7">
      <c r="A138" s="319" t="s">
        <v>273</v>
      </c>
      <c r="B138" s="308" t="s">
        <v>3423</v>
      </c>
      <c r="C138" s="309">
        <v>0.13</v>
      </c>
      <c r="D138" s="309">
        <v>0.13</v>
      </c>
      <c r="E138" s="309">
        <v>0.125</v>
      </c>
      <c r="F138" s="309">
        <v>0.13</v>
      </c>
      <c r="G138" s="310">
        <v>0.13</v>
      </c>
    </row>
    <row r="139" spans="1:7">
      <c r="A139" s="319" t="s">
        <v>273</v>
      </c>
      <c r="B139" s="308" t="s">
        <v>3424</v>
      </c>
      <c r="C139" s="309">
        <v>0.13</v>
      </c>
      <c r="D139" s="309">
        <v>0.13</v>
      </c>
      <c r="E139" s="309">
        <v>0.126</v>
      </c>
      <c r="F139" s="309">
        <v>0.13</v>
      </c>
      <c r="G139" s="310">
        <v>0.13</v>
      </c>
    </row>
    <row r="140" spans="1:7">
      <c r="A140" s="319" t="s">
        <v>273</v>
      </c>
      <c r="B140" s="308" t="s">
        <v>3425</v>
      </c>
      <c r="C140" s="309">
        <v>0.1</v>
      </c>
      <c r="D140" s="309">
        <v>0.1</v>
      </c>
      <c r="E140" s="309">
        <v>0.1</v>
      </c>
      <c r="F140" s="309">
        <v>0.123</v>
      </c>
      <c r="G140" s="310">
        <v>0.107</v>
      </c>
    </row>
    <row r="141" spans="1:7">
      <c r="A141" s="319" t="s">
        <v>273</v>
      </c>
      <c r="B141" s="308" t="s">
        <v>3426</v>
      </c>
      <c r="C141" s="309">
        <v>0.127</v>
      </c>
      <c r="D141" s="309">
        <v>0.127</v>
      </c>
      <c r="E141" s="309">
        <v>0.122</v>
      </c>
      <c r="F141" s="309">
        <v>0.1</v>
      </c>
      <c r="G141" s="310">
        <v>0.129</v>
      </c>
    </row>
    <row r="142" spans="1:7">
      <c r="A142" s="319" t="s">
        <v>273</v>
      </c>
      <c r="B142" s="308" t="s">
        <v>3427</v>
      </c>
      <c r="C142" s="309">
        <v>0.121</v>
      </c>
      <c r="D142" s="309">
        <v>0.122</v>
      </c>
      <c r="E142" s="309">
        <v>0.1</v>
      </c>
      <c r="F142" s="309">
        <v>0.123</v>
      </c>
      <c r="G142" s="310">
        <v>0.123</v>
      </c>
    </row>
    <row r="143" spans="1:7">
      <c r="A143" s="319" t="s">
        <v>273</v>
      </c>
      <c r="B143" s="308" t="s">
        <v>3428</v>
      </c>
      <c r="C143" s="309">
        <v>0.1</v>
      </c>
      <c r="D143" s="309">
        <v>0.1</v>
      </c>
      <c r="E143" s="309">
        <v>0.1</v>
      </c>
      <c r="F143" s="309">
        <v>0.13</v>
      </c>
      <c r="G143" s="310">
        <v>0.1</v>
      </c>
    </row>
    <row r="144" spans="1:7">
      <c r="A144" s="319" t="s">
        <v>273</v>
      </c>
      <c r="B144" s="308" t="s">
        <v>3429</v>
      </c>
      <c r="C144" s="309">
        <v>0.106</v>
      </c>
      <c r="D144" s="309">
        <v>0.105</v>
      </c>
      <c r="E144" s="309">
        <v>0.1</v>
      </c>
      <c r="F144" s="309">
        <v>0.13</v>
      </c>
      <c r="G144" s="310">
        <v>0.11799999999999999</v>
      </c>
    </row>
    <row r="145" spans="1:7">
      <c r="A145" s="319" t="s">
        <v>273</v>
      </c>
      <c r="B145" s="308" t="s">
        <v>3430</v>
      </c>
      <c r="C145" s="309">
        <v>0.123</v>
      </c>
      <c r="D145" s="309">
        <v>0.123</v>
      </c>
      <c r="E145" s="309">
        <v>0.11700000000000001</v>
      </c>
      <c r="F145" s="309">
        <v>0.13</v>
      </c>
      <c r="G145" s="310">
        <v>0.126</v>
      </c>
    </row>
    <row r="146" spans="1:7">
      <c r="A146" s="319" t="s">
        <v>273</v>
      </c>
      <c r="B146" s="308" t="s">
        <v>3431</v>
      </c>
      <c r="C146" s="309">
        <v>0.127</v>
      </c>
      <c r="D146" s="309">
        <v>0.127</v>
      </c>
      <c r="E146" s="309">
        <v>0.12</v>
      </c>
      <c r="F146" s="320"/>
      <c r="G146" s="310">
        <v>0.129</v>
      </c>
    </row>
    <row r="147" spans="1:7">
      <c r="A147" s="319" t="s">
        <v>273</v>
      </c>
      <c r="B147" s="308" t="s">
        <v>3432</v>
      </c>
      <c r="C147" s="309">
        <v>0.13</v>
      </c>
      <c r="D147" s="309">
        <v>0.13</v>
      </c>
      <c r="E147" s="309">
        <v>0.126</v>
      </c>
      <c r="F147" s="320"/>
      <c r="G147" s="310">
        <v>0.13</v>
      </c>
    </row>
    <row r="148" spans="1:7">
      <c r="A148" s="319" t="s">
        <v>273</v>
      </c>
      <c r="B148" s="308" t="s">
        <v>3433</v>
      </c>
      <c r="C148" s="309">
        <v>0.13</v>
      </c>
      <c r="D148" s="309">
        <v>0.13</v>
      </c>
      <c r="E148" s="309">
        <v>0.13</v>
      </c>
      <c r="F148" s="320"/>
      <c r="G148" s="310">
        <v>0.13</v>
      </c>
    </row>
    <row r="149" spans="1:7">
      <c r="A149" s="319" t="s">
        <v>273</v>
      </c>
      <c r="B149" s="308" t="s">
        <v>3434</v>
      </c>
      <c r="C149" s="309">
        <v>0.13</v>
      </c>
      <c r="D149" s="309">
        <v>0.13</v>
      </c>
      <c r="E149" s="309">
        <v>0.13</v>
      </c>
      <c r="F149" s="309">
        <v>0.13</v>
      </c>
      <c r="G149" s="310">
        <v>0.13</v>
      </c>
    </row>
    <row r="150" spans="1:7">
      <c r="A150" s="319" t="s">
        <v>273</v>
      </c>
      <c r="B150" s="308" t="s">
        <v>3435</v>
      </c>
      <c r="C150" s="309">
        <v>0.13</v>
      </c>
      <c r="D150" s="309">
        <v>0.13</v>
      </c>
      <c r="E150" s="309">
        <v>0.127</v>
      </c>
      <c r="F150" s="309">
        <v>0.13</v>
      </c>
      <c r="G150" s="310">
        <v>0.13</v>
      </c>
    </row>
    <row r="151" spans="1:7">
      <c r="A151" s="319" t="s">
        <v>273</v>
      </c>
      <c r="B151" s="308" t="s">
        <v>3436</v>
      </c>
      <c r="C151" s="309">
        <v>0.13</v>
      </c>
      <c r="D151" s="309">
        <v>0.13</v>
      </c>
      <c r="E151" s="309">
        <v>0.13</v>
      </c>
      <c r="F151" s="309">
        <v>0.13</v>
      </c>
      <c r="G151" s="310">
        <v>0.13</v>
      </c>
    </row>
    <row r="152" spans="1:7">
      <c r="A152" s="319" t="s">
        <v>273</v>
      </c>
      <c r="B152" s="308" t="s">
        <v>3437</v>
      </c>
      <c r="C152" s="309">
        <v>0.13</v>
      </c>
      <c r="D152" s="309">
        <v>0.13</v>
      </c>
      <c r="E152" s="309">
        <v>0.13</v>
      </c>
      <c r="F152" s="309">
        <v>0.13</v>
      </c>
      <c r="G152" s="310">
        <v>0.13</v>
      </c>
    </row>
    <row r="153" spans="1:7">
      <c r="A153" s="319" t="s">
        <v>273</v>
      </c>
      <c r="B153" s="308" t="s">
        <v>3438</v>
      </c>
      <c r="C153" s="309">
        <v>0.13</v>
      </c>
      <c r="D153" s="309">
        <v>0.13</v>
      </c>
      <c r="E153" s="309">
        <v>0.13</v>
      </c>
      <c r="F153" s="309">
        <v>0.13</v>
      </c>
      <c r="G153" s="310">
        <v>0.13</v>
      </c>
    </row>
    <row r="154" spans="1:7">
      <c r="A154" s="319" t="s">
        <v>273</v>
      </c>
      <c r="B154" s="308" t="s">
        <v>3439</v>
      </c>
      <c r="C154" s="309">
        <v>0.121</v>
      </c>
      <c r="D154" s="309">
        <v>0.121</v>
      </c>
      <c r="E154" s="309">
        <v>0.105</v>
      </c>
      <c r="F154" s="309">
        <v>0.121</v>
      </c>
      <c r="G154" s="310">
        <v>0.123</v>
      </c>
    </row>
    <row r="155" spans="1:7">
      <c r="A155" s="319" t="s">
        <v>273</v>
      </c>
      <c r="B155" s="308" t="s">
        <v>3440</v>
      </c>
      <c r="C155" s="309">
        <v>0.1</v>
      </c>
      <c r="D155" s="309">
        <v>0.1</v>
      </c>
      <c r="E155" s="309">
        <v>0.1</v>
      </c>
      <c r="F155" s="309">
        <v>0.1</v>
      </c>
      <c r="G155" s="310">
        <v>0.1</v>
      </c>
    </row>
    <row r="156" spans="1:7">
      <c r="A156" s="319" t="s">
        <v>273</v>
      </c>
      <c r="B156" s="308" t="s">
        <v>3441</v>
      </c>
      <c r="C156" s="309">
        <v>0.13</v>
      </c>
      <c r="D156" s="309">
        <v>0.13</v>
      </c>
      <c r="E156" s="309">
        <v>0.13</v>
      </c>
      <c r="F156" s="309">
        <v>0.13</v>
      </c>
      <c r="G156" s="310">
        <v>0.13</v>
      </c>
    </row>
    <row r="157" spans="1:7">
      <c r="A157" s="319" t="s">
        <v>273</v>
      </c>
      <c r="B157" s="308" t="s">
        <v>3442</v>
      </c>
      <c r="C157" s="309">
        <v>0.13</v>
      </c>
      <c r="D157" s="309">
        <v>0.13</v>
      </c>
      <c r="E157" s="309">
        <v>0.125</v>
      </c>
      <c r="F157" s="309">
        <v>0.13</v>
      </c>
      <c r="G157" s="310">
        <v>0.13</v>
      </c>
    </row>
    <row r="158" spans="1:7">
      <c r="A158" s="319" t="s">
        <v>273</v>
      </c>
      <c r="B158" s="308" t="s">
        <v>3443</v>
      </c>
      <c r="C158" s="309">
        <v>0.124</v>
      </c>
      <c r="D158" s="309">
        <v>0.124</v>
      </c>
      <c r="E158" s="309">
        <v>0.11700000000000001</v>
      </c>
      <c r="F158" s="309">
        <v>0.121</v>
      </c>
      <c r="G158" s="310">
        <v>0.124</v>
      </c>
    </row>
    <row r="159" spans="1:7">
      <c r="A159" s="319" t="s">
        <v>273</v>
      </c>
      <c r="B159" s="308" t="s">
        <v>3444</v>
      </c>
      <c r="C159" s="309">
        <v>0.127</v>
      </c>
      <c r="D159" s="309">
        <v>0.127</v>
      </c>
      <c r="E159" s="309">
        <v>0.122</v>
      </c>
      <c r="F159" s="309">
        <v>0.13</v>
      </c>
      <c r="G159" s="310">
        <v>0.129</v>
      </c>
    </row>
    <row r="160" spans="1:7">
      <c r="A160" s="319" t="s">
        <v>273</v>
      </c>
      <c r="B160" s="308" t="s">
        <v>511</v>
      </c>
      <c r="C160" s="309">
        <v>0.13</v>
      </c>
      <c r="D160" s="309">
        <v>0.13</v>
      </c>
      <c r="E160" s="309">
        <v>0.124</v>
      </c>
      <c r="F160" s="309">
        <v>0.126</v>
      </c>
      <c r="G160" s="310">
        <v>0.13</v>
      </c>
    </row>
    <row r="161" spans="1:7">
      <c r="A161" s="319" t="s">
        <v>273</v>
      </c>
      <c r="B161" s="308" t="s">
        <v>3445</v>
      </c>
      <c r="C161" s="309">
        <v>0.13</v>
      </c>
      <c r="D161" s="309">
        <v>0.13</v>
      </c>
      <c r="E161" s="309">
        <v>0.124</v>
      </c>
      <c r="F161" s="309">
        <v>0.127</v>
      </c>
      <c r="G161" s="310">
        <v>0.13</v>
      </c>
    </row>
    <row r="162" spans="1:7">
      <c r="A162" s="319" t="s">
        <v>273</v>
      </c>
      <c r="B162" s="308" t="s">
        <v>3446</v>
      </c>
      <c r="C162" s="309">
        <v>0.1</v>
      </c>
      <c r="D162" s="309">
        <v>0.1</v>
      </c>
      <c r="E162" s="309">
        <v>0.1</v>
      </c>
      <c r="F162" s="309">
        <v>0.121</v>
      </c>
      <c r="G162" s="310">
        <v>0.105</v>
      </c>
    </row>
    <row r="163" spans="1:7">
      <c r="A163" s="319" t="s">
        <v>273</v>
      </c>
      <c r="B163" s="308" t="s">
        <v>3447</v>
      </c>
      <c r="C163" s="309">
        <v>0.1</v>
      </c>
      <c r="D163" s="309">
        <v>0.1</v>
      </c>
      <c r="E163" s="309">
        <v>0.1</v>
      </c>
      <c r="F163" s="309">
        <v>0.1</v>
      </c>
      <c r="G163" s="310">
        <v>0.1</v>
      </c>
    </row>
    <row r="164" spans="1:7">
      <c r="A164" s="319" t="s">
        <v>273</v>
      </c>
      <c r="B164" s="308" t="s">
        <v>3448</v>
      </c>
      <c r="C164" s="325"/>
      <c r="D164" s="325"/>
      <c r="E164" s="325"/>
      <c r="F164" s="309">
        <v>0.1</v>
      </c>
      <c r="G164" s="321"/>
    </row>
    <row r="165" spans="1:7">
      <c r="A165" s="319" t="s">
        <v>273</v>
      </c>
      <c r="B165" s="308" t="s">
        <v>3449</v>
      </c>
      <c r="C165" s="309">
        <v>0.126</v>
      </c>
      <c r="D165" s="309">
        <v>0.126</v>
      </c>
      <c r="E165" s="309">
        <v>0.11899999999999999</v>
      </c>
      <c r="F165" s="309">
        <v>0.13</v>
      </c>
      <c r="G165" s="310">
        <v>0.128</v>
      </c>
    </row>
    <row r="166" spans="1:7">
      <c r="A166" s="319" t="s">
        <v>273</v>
      </c>
      <c r="B166" s="308" t="s">
        <v>3450</v>
      </c>
      <c r="C166" s="309">
        <v>0.129</v>
      </c>
      <c r="D166" s="309">
        <v>0.129</v>
      </c>
      <c r="E166" s="309">
        <v>0.123</v>
      </c>
      <c r="F166" s="309">
        <v>0.128</v>
      </c>
      <c r="G166" s="310">
        <v>0.13</v>
      </c>
    </row>
    <row r="167" spans="1:7">
      <c r="A167" s="319" t="s">
        <v>273</v>
      </c>
      <c r="B167" s="308" t="s">
        <v>3451</v>
      </c>
      <c r="C167" s="309">
        <v>0.125</v>
      </c>
      <c r="D167" s="309">
        <v>0.125</v>
      </c>
      <c r="E167" s="309">
        <v>0.11700000000000001</v>
      </c>
      <c r="F167" s="309">
        <v>0.13</v>
      </c>
      <c r="G167" s="310">
        <v>0.126</v>
      </c>
    </row>
    <row r="168" spans="1:7">
      <c r="A168" s="319" t="s">
        <v>273</v>
      </c>
      <c r="B168" s="308" t="s">
        <v>3452</v>
      </c>
      <c r="C168" s="309">
        <v>0.128</v>
      </c>
      <c r="D168" s="309">
        <v>0.128</v>
      </c>
      <c r="E168" s="309">
        <v>0.123</v>
      </c>
      <c r="F168" s="320"/>
      <c r="G168" s="310">
        <v>0.13</v>
      </c>
    </row>
    <row r="169" spans="1:7">
      <c r="A169" s="319" t="s">
        <v>273</v>
      </c>
      <c r="B169" s="308" t="s">
        <v>3453</v>
      </c>
      <c r="C169" s="325"/>
      <c r="D169" s="325"/>
      <c r="E169" s="325"/>
      <c r="F169" s="309">
        <v>0.05</v>
      </c>
      <c r="G169" s="321"/>
    </row>
    <row r="170" spans="1:7">
      <c r="A170" s="319" t="s">
        <v>273</v>
      </c>
      <c r="B170" s="308" t="s">
        <v>3454</v>
      </c>
      <c r="C170" s="325"/>
      <c r="D170" s="325"/>
      <c r="E170" s="325"/>
      <c r="F170" s="309">
        <v>0.05</v>
      </c>
      <c r="G170" s="321"/>
    </row>
    <row r="171" spans="1:7">
      <c r="A171" s="319" t="s">
        <v>273</v>
      </c>
      <c r="B171" s="308" t="s">
        <v>3455</v>
      </c>
      <c r="C171" s="325"/>
      <c r="D171" s="325"/>
      <c r="E171" s="325"/>
      <c r="F171" s="309">
        <v>0.05</v>
      </c>
      <c r="G171" s="326"/>
    </row>
    <row r="172" spans="1:7">
      <c r="A172" s="319" t="s">
        <v>273</v>
      </c>
      <c r="B172" s="308" t="s">
        <v>3456</v>
      </c>
      <c r="C172" s="325"/>
      <c r="D172" s="325"/>
      <c r="E172" s="325"/>
      <c r="F172" s="309">
        <v>0.05</v>
      </c>
      <c r="G172" s="326"/>
    </row>
    <row r="173" spans="1:7">
      <c r="A173" s="319" t="s">
        <v>273</v>
      </c>
      <c r="B173" s="308" t="s">
        <v>3457</v>
      </c>
      <c r="C173" s="325"/>
      <c r="D173" s="325"/>
      <c r="E173" s="325"/>
      <c r="F173" s="309">
        <v>0.05</v>
      </c>
      <c r="G173" s="321"/>
    </row>
    <row r="174" spans="1:7">
      <c r="A174" s="319" t="s">
        <v>273</v>
      </c>
      <c r="B174" s="308" t="s">
        <v>3458</v>
      </c>
      <c r="C174" s="325"/>
      <c r="D174" s="325"/>
      <c r="E174" s="325"/>
      <c r="F174" s="309">
        <v>0.05</v>
      </c>
      <c r="G174" s="321"/>
    </row>
    <row r="175" spans="1:7">
      <c r="A175" s="319" t="s">
        <v>273</v>
      </c>
      <c r="B175" s="308" t="s">
        <v>3459</v>
      </c>
      <c r="C175" s="325"/>
      <c r="D175" s="325"/>
      <c r="E175" s="325"/>
      <c r="F175" s="309">
        <v>0.05</v>
      </c>
      <c r="G175" s="321"/>
    </row>
    <row r="176" spans="1:7">
      <c r="A176" s="319" t="s">
        <v>273</v>
      </c>
      <c r="B176" s="308" t="s">
        <v>3460</v>
      </c>
      <c r="C176" s="325"/>
      <c r="D176" s="325"/>
      <c r="E176" s="325"/>
      <c r="F176" s="309">
        <v>0.05</v>
      </c>
      <c r="G176" s="321"/>
    </row>
    <row r="177" spans="1:7">
      <c r="A177" s="319" t="s">
        <v>273</v>
      </c>
      <c r="B177" s="308" t="s">
        <v>3461</v>
      </c>
      <c r="C177" s="320"/>
      <c r="D177" s="320"/>
      <c r="E177" s="320"/>
      <c r="F177" s="309">
        <v>0.05</v>
      </c>
      <c r="G177" s="326"/>
    </row>
    <row r="178" spans="1:7">
      <c r="A178" s="319" t="s">
        <v>273</v>
      </c>
      <c r="B178" s="308" t="s">
        <v>3462</v>
      </c>
      <c r="C178" s="320"/>
      <c r="D178" s="320"/>
      <c r="E178" s="320"/>
      <c r="F178" s="309">
        <v>0.05</v>
      </c>
      <c r="G178" s="326"/>
    </row>
    <row r="179" spans="1:7">
      <c r="A179" s="319" t="s">
        <v>273</v>
      </c>
      <c r="B179" s="308" t="s">
        <v>3463</v>
      </c>
      <c r="C179" s="320"/>
      <c r="D179" s="320"/>
      <c r="E179" s="320"/>
      <c r="F179" s="309">
        <v>0.05</v>
      </c>
      <c r="G179" s="326"/>
    </row>
    <row r="180" spans="1:7">
      <c r="A180" s="319" t="s">
        <v>273</v>
      </c>
      <c r="B180" s="308" t="s">
        <v>3464</v>
      </c>
      <c r="C180" s="320"/>
      <c r="D180" s="320"/>
      <c r="E180" s="320"/>
      <c r="F180" s="309">
        <v>0.05</v>
      </c>
      <c r="G180" s="326"/>
    </row>
    <row r="181" spans="1:7">
      <c r="A181" s="319" t="s">
        <v>273</v>
      </c>
      <c r="B181" s="308" t="s">
        <v>3465</v>
      </c>
      <c r="C181" s="320"/>
      <c r="D181" s="320"/>
      <c r="E181" s="320"/>
      <c r="F181" s="309">
        <v>0.05</v>
      </c>
      <c r="G181" s="326"/>
    </row>
    <row r="182" spans="1:7">
      <c r="A182" s="319" t="s">
        <v>273</v>
      </c>
      <c r="B182" s="308" t="s">
        <v>3466</v>
      </c>
      <c r="C182" s="320"/>
      <c r="D182" s="320"/>
      <c r="E182" s="320"/>
      <c r="F182" s="309">
        <v>0.05</v>
      </c>
      <c r="G182" s="326"/>
    </row>
    <row r="183" spans="1:7">
      <c r="A183" s="319" t="s">
        <v>273</v>
      </c>
      <c r="B183" s="308" t="s">
        <v>3467</v>
      </c>
      <c r="C183" s="320"/>
      <c r="D183" s="320"/>
      <c r="E183" s="320"/>
      <c r="F183" s="309">
        <v>0.05</v>
      </c>
      <c r="G183" s="326"/>
    </row>
    <row r="184" spans="1:7">
      <c r="A184" s="319" t="s">
        <v>273</v>
      </c>
      <c r="B184" s="308" t="s">
        <v>3468</v>
      </c>
      <c r="C184" s="320"/>
      <c r="D184" s="320"/>
      <c r="E184" s="320"/>
      <c r="F184" s="309">
        <v>0.05</v>
      </c>
      <c r="G184" s="326"/>
    </row>
    <row r="185" spans="1:7">
      <c r="A185" s="319" t="s">
        <v>273</v>
      </c>
      <c r="B185" s="308" t="s">
        <v>3469</v>
      </c>
      <c r="C185" s="320"/>
      <c r="D185" s="320"/>
      <c r="E185" s="320"/>
      <c r="F185" s="309">
        <v>0.05</v>
      </c>
      <c r="G185" s="326"/>
    </row>
    <row r="186" spans="1:7">
      <c r="A186" s="319" t="s">
        <v>273</v>
      </c>
      <c r="B186" s="308" t="s">
        <v>3470</v>
      </c>
      <c r="C186" s="320"/>
      <c r="D186" s="320"/>
      <c r="E186" s="320"/>
      <c r="F186" s="309">
        <v>0.05</v>
      </c>
      <c r="G186" s="326"/>
    </row>
    <row r="187" spans="1:7">
      <c r="A187" s="319" t="s">
        <v>273</v>
      </c>
      <c r="B187" s="308" t="s">
        <v>3471</v>
      </c>
      <c r="C187" s="320"/>
      <c r="D187" s="320"/>
      <c r="E187" s="320"/>
      <c r="F187" s="309">
        <v>0.05</v>
      </c>
      <c r="G187" s="326"/>
    </row>
    <row r="188" spans="1:7">
      <c r="A188" s="319" t="s">
        <v>273</v>
      </c>
      <c r="B188" s="308" t="s">
        <v>3472</v>
      </c>
      <c r="C188" s="320"/>
      <c r="D188" s="320"/>
      <c r="E188" s="320"/>
      <c r="F188" s="309">
        <v>0.05</v>
      </c>
      <c r="G188" s="326"/>
    </row>
    <row r="189" spans="1:7">
      <c r="A189" s="322" t="s">
        <v>273</v>
      </c>
      <c r="B189" s="312" t="s">
        <v>3473</v>
      </c>
      <c r="C189" s="314"/>
      <c r="D189" s="314"/>
      <c r="E189" s="314"/>
      <c r="F189" s="313">
        <v>0.05</v>
      </c>
      <c r="G189" s="327"/>
    </row>
    <row r="190" spans="1:7">
      <c r="A190" s="318" t="s">
        <v>278</v>
      </c>
      <c r="B190" s="304" t="s">
        <v>3474</v>
      </c>
      <c r="C190" s="305">
        <v>0.124</v>
      </c>
      <c r="D190" s="305">
        <v>0.124</v>
      </c>
      <c r="E190" s="305">
        <v>0.129</v>
      </c>
      <c r="F190" s="305">
        <v>0.13</v>
      </c>
      <c r="G190" s="306">
        <v>0.127</v>
      </c>
    </row>
    <row r="191" spans="1:7">
      <c r="A191" s="319" t="s">
        <v>278</v>
      </c>
      <c r="B191" s="308" t="s">
        <v>3475</v>
      </c>
      <c r="C191" s="309">
        <v>0.13</v>
      </c>
      <c r="D191" s="309">
        <v>0.13</v>
      </c>
      <c r="E191" s="309">
        <v>0.13</v>
      </c>
      <c r="F191" s="309">
        <v>0.13</v>
      </c>
      <c r="G191" s="310">
        <v>0.13</v>
      </c>
    </row>
    <row r="192" spans="1:7">
      <c r="A192" s="319" t="s">
        <v>278</v>
      </c>
      <c r="B192" s="308" t="s">
        <v>3476</v>
      </c>
      <c r="C192" s="309">
        <v>0.13</v>
      </c>
      <c r="D192" s="309">
        <v>0.13</v>
      </c>
      <c r="E192" s="309">
        <v>0.13</v>
      </c>
      <c r="F192" s="309">
        <v>0.13</v>
      </c>
      <c r="G192" s="310">
        <v>0.13</v>
      </c>
    </row>
    <row r="193" spans="1:7">
      <c r="A193" s="319" t="s">
        <v>278</v>
      </c>
      <c r="B193" s="308" t="s">
        <v>3477</v>
      </c>
      <c r="C193" s="309">
        <v>0.13</v>
      </c>
      <c r="D193" s="309">
        <v>0.13</v>
      </c>
      <c r="E193" s="309">
        <v>0.13</v>
      </c>
      <c r="F193" s="309">
        <v>0.13</v>
      </c>
      <c r="G193" s="310">
        <v>0.13</v>
      </c>
    </row>
    <row r="194" spans="1:7">
      <c r="A194" s="319" t="s">
        <v>278</v>
      </c>
      <c r="B194" s="308" t="s">
        <v>3478</v>
      </c>
      <c r="C194" s="309">
        <v>0.123</v>
      </c>
      <c r="D194" s="309">
        <v>0.123</v>
      </c>
      <c r="E194" s="309">
        <v>0.128</v>
      </c>
      <c r="F194" s="309">
        <v>0.13</v>
      </c>
      <c r="G194" s="310">
        <v>0.126</v>
      </c>
    </row>
    <row r="195" spans="1:7">
      <c r="A195" s="319" t="s">
        <v>278</v>
      </c>
      <c r="B195" s="308" t="s">
        <v>3479</v>
      </c>
      <c r="C195" s="309">
        <v>0.127</v>
      </c>
      <c r="D195" s="309">
        <v>0.127</v>
      </c>
      <c r="E195" s="309">
        <v>0.121</v>
      </c>
      <c r="F195" s="309">
        <v>0.129</v>
      </c>
      <c r="G195" s="310">
        <v>0.129</v>
      </c>
    </row>
    <row r="196" spans="1:7">
      <c r="A196" s="319" t="s">
        <v>278</v>
      </c>
      <c r="B196" s="308" t="s">
        <v>3480</v>
      </c>
      <c r="C196" s="309">
        <v>0.127</v>
      </c>
      <c r="D196" s="309">
        <v>0.128</v>
      </c>
      <c r="E196" s="309">
        <v>0.122</v>
      </c>
      <c r="F196" s="309">
        <v>0.13</v>
      </c>
      <c r="G196" s="310">
        <v>0.129</v>
      </c>
    </row>
    <row r="197" spans="1:7">
      <c r="A197" s="319" t="s">
        <v>278</v>
      </c>
      <c r="B197" s="308" t="s">
        <v>3481</v>
      </c>
      <c r="C197" s="309">
        <v>0.126</v>
      </c>
      <c r="D197" s="309">
        <v>0.126</v>
      </c>
      <c r="E197" s="309">
        <v>0.11899999999999999</v>
      </c>
      <c r="F197" s="309">
        <v>0.13</v>
      </c>
      <c r="G197" s="310">
        <v>0.128</v>
      </c>
    </row>
    <row r="198" spans="1:7">
      <c r="A198" s="319" t="s">
        <v>278</v>
      </c>
      <c r="B198" s="308" t="s">
        <v>3482</v>
      </c>
      <c r="C198" s="309">
        <v>0.13</v>
      </c>
      <c r="D198" s="309">
        <v>0.13</v>
      </c>
      <c r="E198" s="309">
        <v>0.126</v>
      </c>
      <c r="F198" s="325"/>
      <c r="G198" s="310">
        <v>0.13</v>
      </c>
    </row>
    <row r="199" spans="1:7">
      <c r="A199" s="319" t="s">
        <v>278</v>
      </c>
      <c r="B199" s="308" t="s">
        <v>3483</v>
      </c>
      <c r="C199" s="309">
        <v>0.13</v>
      </c>
      <c r="D199" s="309">
        <v>0.13</v>
      </c>
      <c r="E199" s="309">
        <v>0.13</v>
      </c>
      <c r="F199" s="309">
        <v>0.13</v>
      </c>
      <c r="G199" s="310">
        <v>0.13</v>
      </c>
    </row>
    <row r="200" spans="1:7">
      <c r="A200" s="319" t="s">
        <v>278</v>
      </c>
      <c r="B200" s="308" t="s">
        <v>3484</v>
      </c>
      <c r="C200" s="325"/>
      <c r="D200" s="325"/>
      <c r="E200" s="325"/>
      <c r="F200" s="309">
        <v>0.13</v>
      </c>
      <c r="G200" s="321"/>
    </row>
    <row r="201" spans="1:7">
      <c r="A201" s="319" t="s">
        <v>278</v>
      </c>
      <c r="B201" s="308" t="s">
        <v>3485</v>
      </c>
      <c r="C201" s="309">
        <v>0.13</v>
      </c>
      <c r="D201" s="309">
        <v>0.13</v>
      </c>
      <c r="E201" s="309">
        <v>0.13</v>
      </c>
      <c r="F201" s="309">
        <v>0.129</v>
      </c>
      <c r="G201" s="310">
        <v>0.13</v>
      </c>
    </row>
    <row r="202" spans="1:7">
      <c r="A202" s="319" t="s">
        <v>278</v>
      </c>
      <c r="B202" s="308" t="s">
        <v>3486</v>
      </c>
      <c r="C202" s="309">
        <v>0.13</v>
      </c>
      <c r="D202" s="309">
        <v>0.13</v>
      </c>
      <c r="E202" s="309">
        <v>0.13</v>
      </c>
      <c r="F202" s="309">
        <v>0.13</v>
      </c>
      <c r="G202" s="310">
        <v>0.13</v>
      </c>
    </row>
    <row r="203" spans="1:7">
      <c r="A203" s="319" t="s">
        <v>278</v>
      </c>
      <c r="B203" s="308" t="s">
        <v>3487</v>
      </c>
      <c r="C203" s="309">
        <v>0.129</v>
      </c>
      <c r="D203" s="309">
        <v>0.129</v>
      </c>
      <c r="E203" s="309">
        <v>0.13</v>
      </c>
      <c r="F203" s="309">
        <v>0.13</v>
      </c>
      <c r="G203" s="310">
        <v>0.13</v>
      </c>
    </row>
    <row r="204" spans="1:7">
      <c r="A204" s="319" t="s">
        <v>278</v>
      </c>
      <c r="B204" s="308" t="s">
        <v>3488</v>
      </c>
      <c r="C204" s="309">
        <v>0.129</v>
      </c>
      <c r="D204" s="309">
        <v>0.129</v>
      </c>
      <c r="E204" s="309">
        <v>0.123</v>
      </c>
      <c r="F204" s="309">
        <v>0.13</v>
      </c>
      <c r="G204" s="310">
        <v>0.13</v>
      </c>
    </row>
    <row r="205" spans="1:7">
      <c r="A205" s="319" t="s">
        <v>278</v>
      </c>
      <c r="B205" s="308" t="s">
        <v>3489</v>
      </c>
      <c r="C205" s="309">
        <v>0.13</v>
      </c>
      <c r="D205" s="309">
        <v>0.13</v>
      </c>
      <c r="E205" s="309">
        <v>0.13</v>
      </c>
      <c r="F205" s="309">
        <v>0.13</v>
      </c>
      <c r="G205" s="310">
        <v>0.13</v>
      </c>
    </row>
    <row r="206" spans="1:7">
      <c r="A206" s="319" t="s">
        <v>278</v>
      </c>
      <c r="B206" s="308" t="s">
        <v>3490</v>
      </c>
      <c r="C206" s="309">
        <v>0.13</v>
      </c>
      <c r="D206" s="309">
        <v>0.13</v>
      </c>
      <c r="E206" s="309">
        <v>0.13</v>
      </c>
      <c r="F206" s="309">
        <v>0.128</v>
      </c>
      <c r="G206" s="310">
        <v>0.13</v>
      </c>
    </row>
    <row r="207" spans="1:7">
      <c r="A207" s="319" t="s">
        <v>278</v>
      </c>
      <c r="B207" s="308" t="s">
        <v>3491</v>
      </c>
      <c r="C207" s="309">
        <v>0.13</v>
      </c>
      <c r="D207" s="309">
        <v>0.13</v>
      </c>
      <c r="E207" s="309">
        <v>0.13</v>
      </c>
      <c r="F207" s="309">
        <v>0.13</v>
      </c>
      <c r="G207" s="310">
        <v>0.13</v>
      </c>
    </row>
    <row r="208" spans="1:7">
      <c r="A208" s="319" t="s">
        <v>278</v>
      </c>
      <c r="B208" s="308" t="s">
        <v>3492</v>
      </c>
      <c r="C208" s="309">
        <v>0.13</v>
      </c>
      <c r="D208" s="309">
        <v>0.13</v>
      </c>
      <c r="E208" s="309">
        <v>0.13</v>
      </c>
      <c r="F208" s="309">
        <v>0.13</v>
      </c>
      <c r="G208" s="310">
        <v>0.13</v>
      </c>
    </row>
    <row r="209" spans="1:7">
      <c r="A209" s="319" t="s">
        <v>278</v>
      </c>
      <c r="B209" s="308" t="s">
        <v>3493</v>
      </c>
      <c r="C209" s="309">
        <v>0.13</v>
      </c>
      <c r="D209" s="309">
        <v>0.13</v>
      </c>
      <c r="E209" s="309">
        <v>0.13</v>
      </c>
      <c r="F209" s="309">
        <v>0.13</v>
      </c>
      <c r="G209" s="310">
        <v>0.13</v>
      </c>
    </row>
    <row r="210" spans="1:7">
      <c r="A210" s="319" t="s">
        <v>278</v>
      </c>
      <c r="B210" s="308" t="s">
        <v>3494</v>
      </c>
      <c r="C210" s="309">
        <v>0.121</v>
      </c>
      <c r="D210" s="309">
        <v>0.121</v>
      </c>
      <c r="E210" s="309">
        <v>0.125</v>
      </c>
      <c r="F210" s="309">
        <v>0.13</v>
      </c>
      <c r="G210" s="310">
        <v>0.123</v>
      </c>
    </row>
    <row r="211" spans="1:7">
      <c r="A211" s="319" t="s">
        <v>278</v>
      </c>
      <c r="B211" s="308" t="s">
        <v>3495</v>
      </c>
      <c r="C211" s="309">
        <v>0.123</v>
      </c>
      <c r="D211" s="309">
        <v>0.123</v>
      </c>
      <c r="E211" s="309">
        <v>0.127</v>
      </c>
      <c r="F211" s="309">
        <v>0.115</v>
      </c>
      <c r="G211" s="310">
        <v>0.126</v>
      </c>
    </row>
    <row r="212" spans="1:7">
      <c r="A212" s="319" t="s">
        <v>278</v>
      </c>
      <c r="B212" s="308" t="s">
        <v>3496</v>
      </c>
      <c r="C212" s="309">
        <v>0.126</v>
      </c>
      <c r="D212" s="309">
        <v>0.126</v>
      </c>
      <c r="E212" s="309">
        <v>0.13</v>
      </c>
      <c r="F212" s="309">
        <v>0.13</v>
      </c>
      <c r="G212" s="310">
        <v>0.129</v>
      </c>
    </row>
    <row r="213" spans="1:7">
      <c r="A213" s="319" t="s">
        <v>278</v>
      </c>
      <c r="B213" s="308" t="s">
        <v>3497</v>
      </c>
      <c r="C213" s="309">
        <v>0.129</v>
      </c>
      <c r="D213" s="309">
        <v>0.13</v>
      </c>
      <c r="E213" s="309">
        <v>0.127</v>
      </c>
      <c r="F213" s="309">
        <v>0.13</v>
      </c>
      <c r="G213" s="310">
        <v>0.13</v>
      </c>
    </row>
    <row r="214" spans="1:7">
      <c r="A214" s="319" t="s">
        <v>278</v>
      </c>
      <c r="B214" s="308" t="s">
        <v>3498</v>
      </c>
      <c r="C214" s="309">
        <v>0.128</v>
      </c>
      <c r="D214" s="309">
        <v>0.128</v>
      </c>
      <c r="E214" s="309">
        <v>0.13</v>
      </c>
      <c r="F214" s="309">
        <v>0.13</v>
      </c>
      <c r="G214" s="310">
        <v>0.13</v>
      </c>
    </row>
    <row r="215" spans="1:7">
      <c r="A215" s="319" t="s">
        <v>278</v>
      </c>
      <c r="B215" s="308" t="s">
        <v>3499</v>
      </c>
      <c r="C215" s="309">
        <v>0.13</v>
      </c>
      <c r="D215" s="309">
        <v>0.13</v>
      </c>
      <c r="E215" s="309">
        <v>0.13</v>
      </c>
      <c r="F215" s="309">
        <v>0.129</v>
      </c>
      <c r="G215" s="310">
        <v>0.13</v>
      </c>
    </row>
    <row r="216" spans="1:7">
      <c r="A216" s="319" t="s">
        <v>278</v>
      </c>
      <c r="B216" s="308" t="s">
        <v>3500</v>
      </c>
      <c r="C216" s="309">
        <v>0.13</v>
      </c>
      <c r="D216" s="309">
        <v>0.13</v>
      </c>
      <c r="E216" s="309">
        <v>0.13</v>
      </c>
      <c r="F216" s="309">
        <v>0.13</v>
      </c>
      <c r="G216" s="310">
        <v>0.13</v>
      </c>
    </row>
    <row r="217" spans="1:7">
      <c r="A217" s="319" t="s">
        <v>278</v>
      </c>
      <c r="B217" s="308" t="s">
        <v>3501</v>
      </c>
      <c r="C217" s="309">
        <v>0.129</v>
      </c>
      <c r="D217" s="309">
        <v>0.129</v>
      </c>
      <c r="E217" s="309">
        <v>0.13</v>
      </c>
      <c r="F217" s="309">
        <v>0.13</v>
      </c>
      <c r="G217" s="310">
        <v>0.13</v>
      </c>
    </row>
    <row r="218" spans="1:7">
      <c r="A218" s="319" t="s">
        <v>278</v>
      </c>
      <c r="B218" s="308" t="s">
        <v>3502</v>
      </c>
      <c r="C218" s="320"/>
      <c r="D218" s="320"/>
      <c r="E218" s="320"/>
      <c r="F218" s="309">
        <v>0.05</v>
      </c>
      <c r="G218" s="326"/>
    </row>
    <row r="219" spans="1:7">
      <c r="A219" s="319" t="s">
        <v>278</v>
      </c>
      <c r="B219" s="308" t="s">
        <v>3503</v>
      </c>
      <c r="C219" s="320"/>
      <c r="D219" s="320"/>
      <c r="E219" s="320"/>
      <c r="F219" s="309">
        <v>0.05</v>
      </c>
      <c r="G219" s="326"/>
    </row>
    <row r="220" spans="1:7">
      <c r="A220" s="319" t="s">
        <v>278</v>
      </c>
      <c r="B220" s="308" t="s">
        <v>3504</v>
      </c>
      <c r="C220" s="320"/>
      <c r="D220" s="320"/>
      <c r="E220" s="320"/>
      <c r="F220" s="309">
        <v>0.05</v>
      </c>
      <c r="G220" s="326"/>
    </row>
    <row r="221" spans="1:7">
      <c r="A221" s="319" t="s">
        <v>278</v>
      </c>
      <c r="B221" s="308" t="s">
        <v>3505</v>
      </c>
      <c r="C221" s="320"/>
      <c r="D221" s="320"/>
      <c r="E221" s="320"/>
      <c r="F221" s="309">
        <v>0.05</v>
      </c>
      <c r="G221" s="326"/>
    </row>
    <row r="222" spans="1:7">
      <c r="A222" s="319" t="s">
        <v>278</v>
      </c>
      <c r="B222" s="308" t="s">
        <v>3506</v>
      </c>
      <c r="C222" s="320"/>
      <c r="D222" s="320"/>
      <c r="E222" s="320"/>
      <c r="F222" s="309">
        <v>0.05</v>
      </c>
      <c r="G222" s="326"/>
    </row>
    <row r="223" spans="1:7">
      <c r="A223" s="319" t="s">
        <v>278</v>
      </c>
      <c r="B223" s="308" t="s">
        <v>3507</v>
      </c>
      <c r="C223" s="320"/>
      <c r="D223" s="320"/>
      <c r="E223" s="320"/>
      <c r="F223" s="309">
        <v>0.05</v>
      </c>
      <c r="G223" s="326"/>
    </row>
    <row r="224" spans="1:7">
      <c r="A224" s="319" t="s">
        <v>278</v>
      </c>
      <c r="B224" s="308" t="s">
        <v>3508</v>
      </c>
      <c r="C224" s="320"/>
      <c r="D224" s="320"/>
      <c r="E224" s="320"/>
      <c r="F224" s="309">
        <v>0.05</v>
      </c>
      <c r="G224" s="326"/>
    </row>
    <row r="225" spans="1:7">
      <c r="A225" s="319" t="s">
        <v>278</v>
      </c>
      <c r="B225" s="308" t="s">
        <v>3509</v>
      </c>
      <c r="C225" s="320"/>
      <c r="D225" s="320"/>
      <c r="E225" s="320"/>
      <c r="F225" s="309">
        <v>0.05</v>
      </c>
      <c r="G225" s="326"/>
    </row>
    <row r="226" spans="1:7">
      <c r="A226" s="319" t="s">
        <v>278</v>
      </c>
      <c r="B226" s="308" t="s">
        <v>3510</v>
      </c>
      <c r="C226" s="320"/>
      <c r="D226" s="320"/>
      <c r="E226" s="320"/>
      <c r="F226" s="309">
        <v>0.05</v>
      </c>
      <c r="G226" s="326"/>
    </row>
    <row r="227" spans="1:7">
      <c r="A227" s="319" t="s">
        <v>278</v>
      </c>
      <c r="B227" s="308" t="s">
        <v>3511</v>
      </c>
      <c r="C227" s="320"/>
      <c r="D227" s="320"/>
      <c r="E227" s="320"/>
      <c r="F227" s="309">
        <v>0.05</v>
      </c>
      <c r="G227" s="326"/>
    </row>
    <row r="228" spans="1:7">
      <c r="A228" s="319" t="s">
        <v>278</v>
      </c>
      <c r="B228" s="308" t="s">
        <v>3512</v>
      </c>
      <c r="C228" s="320"/>
      <c r="D228" s="320"/>
      <c r="E228" s="320"/>
      <c r="F228" s="309">
        <v>0.05</v>
      </c>
      <c r="G228" s="326"/>
    </row>
    <row r="229" spans="1:7">
      <c r="A229" s="319" t="s">
        <v>278</v>
      </c>
      <c r="B229" s="308" t="s">
        <v>3513</v>
      </c>
      <c r="C229" s="320"/>
      <c r="D229" s="320"/>
      <c r="E229" s="320"/>
      <c r="F229" s="309">
        <v>0.05</v>
      </c>
      <c r="G229" s="326"/>
    </row>
    <row r="230" spans="1:7">
      <c r="A230" s="319" t="s">
        <v>278</v>
      </c>
      <c r="B230" s="308" t="s">
        <v>3514</v>
      </c>
      <c r="C230" s="320"/>
      <c r="D230" s="320"/>
      <c r="E230" s="320"/>
      <c r="F230" s="309">
        <v>0.05</v>
      </c>
      <c r="G230" s="326"/>
    </row>
    <row r="231" spans="1:7">
      <c r="A231" s="319" t="s">
        <v>278</v>
      </c>
      <c r="B231" s="308" t="s">
        <v>3515</v>
      </c>
      <c r="C231" s="320"/>
      <c r="D231" s="320"/>
      <c r="E231" s="320"/>
      <c r="F231" s="309">
        <v>0.05</v>
      </c>
      <c r="G231" s="326"/>
    </row>
    <row r="232" spans="1:7">
      <c r="A232" s="319" t="s">
        <v>278</v>
      </c>
      <c r="B232" s="308" t="s">
        <v>3516</v>
      </c>
      <c r="C232" s="320"/>
      <c r="D232" s="320"/>
      <c r="E232" s="320"/>
      <c r="F232" s="309">
        <v>0.05</v>
      </c>
      <c r="G232" s="326"/>
    </row>
    <row r="233" spans="1:7">
      <c r="A233" s="322" t="s">
        <v>278</v>
      </c>
      <c r="B233" s="312" t="s">
        <v>3517</v>
      </c>
      <c r="C233" s="314"/>
      <c r="D233" s="314"/>
      <c r="E233" s="314"/>
      <c r="F233" s="313">
        <v>0.05</v>
      </c>
      <c r="G233" s="327"/>
    </row>
    <row r="234" spans="1:7">
      <c r="A234" s="318" t="s">
        <v>284</v>
      </c>
      <c r="B234" s="304" t="s">
        <v>3518</v>
      </c>
      <c r="C234" s="305">
        <v>0.13</v>
      </c>
      <c r="D234" s="305">
        <v>0.128</v>
      </c>
      <c r="E234" s="305">
        <v>0.14199999999999999</v>
      </c>
      <c r="F234" s="305">
        <v>0.14699999999999999</v>
      </c>
      <c r="G234" s="306">
        <v>0.14000000000000001</v>
      </c>
    </row>
    <row r="235" spans="1:7">
      <c r="A235" s="319" t="s">
        <v>284</v>
      </c>
      <c r="B235" s="308" t="s">
        <v>3519</v>
      </c>
      <c r="C235" s="309">
        <v>0.13600000000000001</v>
      </c>
      <c r="D235" s="309">
        <v>0.13800000000000001</v>
      </c>
      <c r="E235" s="309">
        <v>0.14499999999999999</v>
      </c>
      <c r="F235" s="309">
        <v>0.14299999999999999</v>
      </c>
      <c r="G235" s="310">
        <v>0.14099999999999999</v>
      </c>
    </row>
    <row r="236" spans="1:7">
      <c r="A236" s="319" t="s">
        <v>284</v>
      </c>
      <c r="B236" s="308" t="s">
        <v>3520</v>
      </c>
      <c r="C236" s="309">
        <v>0.15</v>
      </c>
      <c r="D236" s="309">
        <v>0.15</v>
      </c>
      <c r="E236" s="309">
        <v>0.15</v>
      </c>
      <c r="F236" s="309">
        <v>0.15</v>
      </c>
      <c r="G236" s="310">
        <v>0.15</v>
      </c>
    </row>
    <row r="237" spans="1:7">
      <c r="A237" s="319" t="s">
        <v>284</v>
      </c>
      <c r="B237" s="308" t="s">
        <v>3521</v>
      </c>
      <c r="C237" s="309">
        <v>0.15</v>
      </c>
      <c r="D237" s="309">
        <v>0.15</v>
      </c>
      <c r="E237" s="309">
        <v>0.15</v>
      </c>
      <c r="F237" s="309">
        <v>0.15</v>
      </c>
      <c r="G237" s="310">
        <v>0.15</v>
      </c>
    </row>
    <row r="238" spans="1:7">
      <c r="A238" s="319" t="s">
        <v>284</v>
      </c>
      <c r="B238" s="308" t="s">
        <v>3522</v>
      </c>
      <c r="C238" s="309">
        <v>0.14899999999999999</v>
      </c>
      <c r="D238" s="309">
        <v>0.14899999999999999</v>
      </c>
      <c r="E238" s="309">
        <v>0.15</v>
      </c>
      <c r="F238" s="309">
        <v>0.15</v>
      </c>
      <c r="G238" s="310">
        <v>0.15</v>
      </c>
    </row>
    <row r="239" spans="1:7">
      <c r="A239" s="319" t="s">
        <v>284</v>
      </c>
      <c r="B239" s="308" t="s">
        <v>3523</v>
      </c>
      <c r="C239" s="309">
        <v>0.15</v>
      </c>
      <c r="D239" s="309">
        <v>0.15</v>
      </c>
      <c r="E239" s="309">
        <v>0.15</v>
      </c>
      <c r="F239" s="309">
        <v>0.15</v>
      </c>
      <c r="G239" s="310">
        <v>0.15</v>
      </c>
    </row>
    <row r="240" spans="1:7">
      <c r="A240" s="319" t="s">
        <v>284</v>
      </c>
      <c r="B240" s="308" t="s">
        <v>3524</v>
      </c>
      <c r="C240" s="309">
        <v>0.15</v>
      </c>
      <c r="D240" s="309">
        <v>0.15</v>
      </c>
      <c r="E240" s="309">
        <v>0.15</v>
      </c>
      <c r="F240" s="309">
        <v>0.15</v>
      </c>
      <c r="G240" s="310">
        <v>0.15</v>
      </c>
    </row>
    <row r="241" spans="1:7">
      <c r="A241" s="319" t="s">
        <v>284</v>
      </c>
      <c r="B241" s="308" t="s">
        <v>3525</v>
      </c>
      <c r="C241" s="309">
        <v>0.14099999999999999</v>
      </c>
      <c r="D241" s="309">
        <v>0.14199999999999999</v>
      </c>
      <c r="E241" s="309">
        <v>0.14899999999999999</v>
      </c>
      <c r="F241" s="309">
        <v>0.15</v>
      </c>
      <c r="G241" s="310">
        <v>0.14399999999999999</v>
      </c>
    </row>
    <row r="242" spans="1:7">
      <c r="A242" s="319" t="s">
        <v>284</v>
      </c>
      <c r="B242" s="308" t="s">
        <v>3526</v>
      </c>
      <c r="C242" s="309">
        <v>0.14099999999999999</v>
      </c>
      <c r="D242" s="309">
        <v>0.14199999999999999</v>
      </c>
      <c r="E242" s="309">
        <v>0.14799999999999999</v>
      </c>
      <c r="F242" s="309">
        <v>0.127</v>
      </c>
      <c r="G242" s="310">
        <v>0.14399999999999999</v>
      </c>
    </row>
    <row r="243" spans="1:7">
      <c r="A243" s="319" t="s">
        <v>284</v>
      </c>
      <c r="B243" s="308" t="s">
        <v>3527</v>
      </c>
      <c r="C243" s="309">
        <v>0.14699999999999999</v>
      </c>
      <c r="D243" s="309">
        <v>0.14699999999999999</v>
      </c>
      <c r="E243" s="309">
        <v>0.15</v>
      </c>
      <c r="F243" s="309">
        <v>0.15</v>
      </c>
      <c r="G243" s="310">
        <v>0.14899999999999999</v>
      </c>
    </row>
    <row r="244" spans="1:7">
      <c r="A244" s="319" t="s">
        <v>284</v>
      </c>
      <c r="B244" s="308" t="s">
        <v>3528</v>
      </c>
      <c r="C244" s="309">
        <v>0.15</v>
      </c>
      <c r="D244" s="309">
        <v>0.15</v>
      </c>
      <c r="E244" s="309">
        <v>0.15</v>
      </c>
      <c r="F244" s="309">
        <v>0.15</v>
      </c>
      <c r="G244" s="310">
        <v>0.15</v>
      </c>
    </row>
    <row r="245" spans="1:7">
      <c r="A245" s="319" t="s">
        <v>284</v>
      </c>
      <c r="B245" s="308" t="s">
        <v>3529</v>
      </c>
      <c r="C245" s="309">
        <v>0.14199999999999999</v>
      </c>
      <c r="D245" s="309">
        <v>0.14199999999999999</v>
      </c>
      <c r="E245" s="309">
        <v>0.15</v>
      </c>
      <c r="F245" s="309">
        <v>0.15</v>
      </c>
      <c r="G245" s="310">
        <v>0.14499999999999999</v>
      </c>
    </row>
    <row r="246" spans="1:7">
      <c r="A246" s="319" t="s">
        <v>284</v>
      </c>
      <c r="B246" s="308" t="s">
        <v>3530</v>
      </c>
      <c r="C246" s="309">
        <v>0.14199999999999999</v>
      </c>
      <c r="D246" s="309">
        <v>0.14299999999999999</v>
      </c>
      <c r="E246" s="309">
        <v>0.15</v>
      </c>
      <c r="F246" s="309">
        <v>0.14199999999999999</v>
      </c>
      <c r="G246" s="310">
        <v>0.14399999999999999</v>
      </c>
    </row>
    <row r="247" spans="1:7">
      <c r="A247" s="319" t="s">
        <v>284</v>
      </c>
      <c r="B247" s="308" t="s">
        <v>3531</v>
      </c>
      <c r="C247" s="309">
        <v>0.14899999999999999</v>
      </c>
      <c r="D247" s="309">
        <v>0.14899999999999999</v>
      </c>
      <c r="E247" s="309">
        <v>0.15</v>
      </c>
      <c r="F247" s="309">
        <v>0.15</v>
      </c>
      <c r="G247" s="310">
        <v>0.15</v>
      </c>
    </row>
    <row r="248" spans="1:7">
      <c r="A248" s="319" t="s">
        <v>284</v>
      </c>
      <c r="B248" s="308" t="s">
        <v>3532</v>
      </c>
      <c r="C248" s="309">
        <v>0.14399999999999999</v>
      </c>
      <c r="D248" s="309">
        <v>0.14399999999999999</v>
      </c>
      <c r="E248" s="309">
        <v>0.14899999999999999</v>
      </c>
      <c r="F248" s="309">
        <v>0.14799999999999999</v>
      </c>
      <c r="G248" s="310">
        <v>0.14599999999999999</v>
      </c>
    </row>
    <row r="249" spans="1:7">
      <c r="A249" s="319" t="s">
        <v>284</v>
      </c>
      <c r="B249" s="308" t="s">
        <v>3533</v>
      </c>
      <c r="C249" s="309">
        <v>0.14000000000000001</v>
      </c>
      <c r="D249" s="309">
        <v>0.14000000000000001</v>
      </c>
      <c r="E249" s="309">
        <v>0.14699999999999999</v>
      </c>
      <c r="F249" s="309">
        <v>0.14899999999999999</v>
      </c>
      <c r="G249" s="310">
        <v>0.14199999999999999</v>
      </c>
    </row>
    <row r="250" spans="1:7">
      <c r="A250" s="319" t="s">
        <v>284</v>
      </c>
      <c r="B250" s="308" t="s">
        <v>3534</v>
      </c>
      <c r="C250" s="309">
        <v>0.14399999999999999</v>
      </c>
      <c r="D250" s="309">
        <v>0.14299999999999999</v>
      </c>
      <c r="E250" s="309">
        <v>0.14899999999999999</v>
      </c>
      <c r="F250" s="309">
        <v>0.15</v>
      </c>
      <c r="G250" s="310">
        <v>0.14599999999999999</v>
      </c>
    </row>
    <row r="251" spans="1:7">
      <c r="A251" s="319" t="s">
        <v>284</v>
      </c>
      <c r="B251" s="308" t="s">
        <v>3535</v>
      </c>
      <c r="C251" s="325"/>
      <c r="D251" s="320"/>
      <c r="E251" s="320"/>
      <c r="F251" s="309">
        <v>0.1</v>
      </c>
      <c r="G251" s="326"/>
    </row>
    <row r="252" spans="1:7">
      <c r="A252" s="319" t="s">
        <v>284</v>
      </c>
      <c r="B252" s="308" t="s">
        <v>3536</v>
      </c>
      <c r="C252" s="309">
        <v>0.14399999999999999</v>
      </c>
      <c r="D252" s="309">
        <v>0.14399999999999999</v>
      </c>
      <c r="E252" s="309">
        <v>0.15</v>
      </c>
      <c r="F252" s="309">
        <v>0.14899999999999999</v>
      </c>
      <c r="G252" s="310">
        <v>0.14599999999999999</v>
      </c>
    </row>
    <row r="253" spans="1:7">
      <c r="A253" s="319" t="s">
        <v>284</v>
      </c>
      <c r="B253" s="308" t="s">
        <v>3537</v>
      </c>
      <c r="C253" s="309">
        <v>0.14199999999999999</v>
      </c>
      <c r="D253" s="309">
        <v>0.14199999999999999</v>
      </c>
      <c r="E253" s="309">
        <v>0.14599999999999999</v>
      </c>
      <c r="F253" s="309">
        <v>0.14799999999999999</v>
      </c>
      <c r="G253" s="310">
        <v>0.14499999999999999</v>
      </c>
    </row>
    <row r="254" spans="1:7">
      <c r="A254" s="319" t="s">
        <v>284</v>
      </c>
      <c r="B254" s="308" t="s">
        <v>3538</v>
      </c>
      <c r="C254" s="309">
        <v>0.15</v>
      </c>
      <c r="D254" s="309">
        <v>0.15</v>
      </c>
      <c r="E254" s="309">
        <v>0.15</v>
      </c>
      <c r="F254" s="309">
        <v>0.15</v>
      </c>
      <c r="G254" s="310">
        <v>0.15</v>
      </c>
    </row>
    <row r="255" spans="1:7">
      <c r="A255" s="319" t="s">
        <v>284</v>
      </c>
      <c r="B255" s="308" t="s">
        <v>3539</v>
      </c>
      <c r="C255" s="309">
        <v>0.14299999999999999</v>
      </c>
      <c r="D255" s="309">
        <v>0.14299999999999999</v>
      </c>
      <c r="E255" s="309">
        <v>0.15</v>
      </c>
      <c r="F255" s="309">
        <v>0.15</v>
      </c>
      <c r="G255" s="310">
        <v>0.14499999999999999</v>
      </c>
    </row>
    <row r="256" spans="1:7">
      <c r="A256" s="319" t="s">
        <v>284</v>
      </c>
      <c r="B256" s="308" t="s">
        <v>3540</v>
      </c>
      <c r="C256" s="309">
        <v>0.15</v>
      </c>
      <c r="D256" s="309">
        <v>0.15</v>
      </c>
      <c r="E256" s="309">
        <v>0.15</v>
      </c>
      <c r="F256" s="309">
        <v>0.14599999999999999</v>
      </c>
      <c r="G256" s="310">
        <v>0.15</v>
      </c>
    </row>
    <row r="257" spans="1:7">
      <c r="A257" s="319" t="s">
        <v>284</v>
      </c>
      <c r="B257" s="308" t="s">
        <v>3541</v>
      </c>
      <c r="C257" s="309">
        <v>0.14199999999999999</v>
      </c>
      <c r="D257" s="309">
        <v>0.14299999999999999</v>
      </c>
      <c r="E257" s="309">
        <v>0.14799999999999999</v>
      </c>
      <c r="F257" s="309">
        <v>0.15</v>
      </c>
      <c r="G257" s="310">
        <v>0.14499999999999999</v>
      </c>
    </row>
    <row r="258" spans="1:7">
      <c r="A258" s="319" t="s">
        <v>284</v>
      </c>
      <c r="B258" s="308" t="s">
        <v>3542</v>
      </c>
      <c r="C258" s="309">
        <v>0.14299999999999999</v>
      </c>
      <c r="D258" s="309">
        <v>0.14299999999999999</v>
      </c>
      <c r="E258" s="309">
        <v>0.15</v>
      </c>
      <c r="F258" s="309">
        <v>0.14799999999999999</v>
      </c>
      <c r="G258" s="310">
        <v>0.14599999999999999</v>
      </c>
    </row>
    <row r="259" spans="1:7">
      <c r="A259" s="319" t="s">
        <v>284</v>
      </c>
      <c r="B259" s="308" t="s">
        <v>3543</v>
      </c>
      <c r="C259" s="309">
        <v>0.14399999999999999</v>
      </c>
      <c r="D259" s="309">
        <v>0.14399999999999999</v>
      </c>
      <c r="E259" s="309">
        <v>0.14899999999999999</v>
      </c>
      <c r="F259" s="309">
        <v>0.14699999999999999</v>
      </c>
      <c r="G259" s="310">
        <v>0.14599999999999999</v>
      </c>
    </row>
    <row r="260" spans="1:7">
      <c r="A260" s="319" t="s">
        <v>284</v>
      </c>
      <c r="B260" s="308" t="s">
        <v>3544</v>
      </c>
      <c r="C260" s="309">
        <v>0.109</v>
      </c>
      <c r="D260" s="309">
        <v>0.111</v>
      </c>
      <c r="E260" s="309">
        <v>0.13100000000000001</v>
      </c>
      <c r="F260" s="309">
        <v>0.126</v>
      </c>
      <c r="G260" s="310">
        <v>0.11899999999999999</v>
      </c>
    </row>
    <row r="261" spans="1:7">
      <c r="A261" s="319" t="s">
        <v>284</v>
      </c>
      <c r="B261" s="308" t="s">
        <v>3545</v>
      </c>
      <c r="C261" s="309">
        <v>0.1</v>
      </c>
      <c r="D261" s="309">
        <v>0.1</v>
      </c>
      <c r="E261" s="309">
        <v>0.11799999999999999</v>
      </c>
      <c r="F261" s="309">
        <v>0.108</v>
      </c>
      <c r="G261" s="310">
        <v>0.107</v>
      </c>
    </row>
    <row r="262" spans="1:7">
      <c r="A262" s="319" t="s">
        <v>284</v>
      </c>
      <c r="B262" s="308" t="s">
        <v>3546</v>
      </c>
      <c r="C262" s="309">
        <v>0.1</v>
      </c>
      <c r="D262" s="309">
        <v>0.1</v>
      </c>
      <c r="E262" s="309">
        <v>0.1</v>
      </c>
      <c r="F262" s="309">
        <v>0.14099999999999999</v>
      </c>
      <c r="G262" s="310">
        <v>0.1</v>
      </c>
    </row>
    <row r="263" spans="1:7">
      <c r="A263" s="319" t="s">
        <v>284</v>
      </c>
      <c r="B263" s="308" t="s">
        <v>3547</v>
      </c>
      <c r="C263" s="309">
        <v>0.14799999999999999</v>
      </c>
      <c r="D263" s="309">
        <v>0.14799999999999999</v>
      </c>
      <c r="E263" s="309">
        <v>0.15</v>
      </c>
      <c r="F263" s="309">
        <v>0.14699999999999999</v>
      </c>
      <c r="G263" s="310">
        <v>0.15</v>
      </c>
    </row>
    <row r="264" spans="1:7">
      <c r="A264" s="319" t="s">
        <v>284</v>
      </c>
      <c r="B264" s="308" t="s">
        <v>3548</v>
      </c>
      <c r="C264" s="309">
        <v>0.14299999999999999</v>
      </c>
      <c r="D264" s="309">
        <v>0.14299999999999999</v>
      </c>
      <c r="E264" s="309">
        <v>0.15</v>
      </c>
      <c r="F264" s="309">
        <v>0.14899999999999999</v>
      </c>
      <c r="G264" s="310">
        <v>0.14599999999999999</v>
      </c>
    </row>
    <row r="265" spans="1:7">
      <c r="A265" s="319" t="s">
        <v>284</v>
      </c>
      <c r="B265" s="308" t="s">
        <v>3549</v>
      </c>
      <c r="C265" s="320"/>
      <c r="D265" s="320"/>
      <c r="E265" s="320"/>
      <c r="F265" s="309">
        <v>0.05</v>
      </c>
      <c r="G265" s="326"/>
    </row>
    <row r="266" spans="1:7">
      <c r="A266" s="319" t="s">
        <v>284</v>
      </c>
      <c r="B266" s="308" t="s">
        <v>3550</v>
      </c>
      <c r="C266" s="320"/>
      <c r="D266" s="320"/>
      <c r="E266" s="320"/>
      <c r="F266" s="309">
        <v>0.05</v>
      </c>
      <c r="G266" s="326"/>
    </row>
    <row r="267" spans="1:7">
      <c r="A267" s="319" t="s">
        <v>284</v>
      </c>
      <c r="B267" s="308" t="s">
        <v>3551</v>
      </c>
      <c r="C267" s="320"/>
      <c r="D267" s="320"/>
      <c r="E267" s="320"/>
      <c r="F267" s="309">
        <v>0.05</v>
      </c>
      <c r="G267" s="326"/>
    </row>
    <row r="268" spans="1:7">
      <c r="A268" s="319" t="s">
        <v>284</v>
      </c>
      <c r="B268" s="308" t="s">
        <v>3552</v>
      </c>
      <c r="C268" s="320"/>
      <c r="D268" s="320"/>
      <c r="E268" s="320"/>
      <c r="F268" s="309">
        <v>0.05</v>
      </c>
      <c r="G268" s="326"/>
    </row>
    <row r="269" spans="1:7">
      <c r="A269" s="319" t="s">
        <v>284</v>
      </c>
      <c r="B269" s="308" t="s">
        <v>3553</v>
      </c>
      <c r="C269" s="320"/>
      <c r="D269" s="320"/>
      <c r="E269" s="320"/>
      <c r="F269" s="309">
        <v>0.05</v>
      </c>
      <c r="G269" s="326"/>
    </row>
    <row r="270" spans="1:7">
      <c r="A270" s="319" t="s">
        <v>284</v>
      </c>
      <c r="B270" s="308" t="s">
        <v>3554</v>
      </c>
      <c r="C270" s="320"/>
      <c r="D270" s="320"/>
      <c r="E270" s="320"/>
      <c r="F270" s="309">
        <v>0.05</v>
      </c>
      <c r="G270" s="326"/>
    </row>
    <row r="271" spans="1:7">
      <c r="A271" s="319" t="s">
        <v>284</v>
      </c>
      <c r="B271" s="308" t="s">
        <v>3555</v>
      </c>
      <c r="C271" s="320"/>
      <c r="D271" s="320"/>
      <c r="E271" s="320"/>
      <c r="F271" s="309">
        <v>0.05</v>
      </c>
      <c r="G271" s="326"/>
    </row>
    <row r="272" spans="1:7">
      <c r="A272" s="319" t="s">
        <v>284</v>
      </c>
      <c r="B272" s="308" t="s">
        <v>3556</v>
      </c>
      <c r="C272" s="320"/>
      <c r="D272" s="320"/>
      <c r="E272" s="320"/>
      <c r="F272" s="309">
        <v>0.05</v>
      </c>
      <c r="G272" s="326"/>
    </row>
    <row r="273" spans="1:7">
      <c r="A273" s="319" t="s">
        <v>284</v>
      </c>
      <c r="B273" s="308" t="s">
        <v>3557</v>
      </c>
      <c r="C273" s="320"/>
      <c r="D273" s="320"/>
      <c r="E273" s="320"/>
      <c r="F273" s="309">
        <v>0.05</v>
      </c>
      <c r="G273" s="326"/>
    </row>
    <row r="274" spans="1:7">
      <c r="A274" s="319" t="s">
        <v>284</v>
      </c>
      <c r="B274" s="308" t="s">
        <v>3558</v>
      </c>
      <c r="C274" s="320"/>
      <c r="D274" s="320"/>
      <c r="E274" s="320"/>
      <c r="F274" s="309">
        <v>0.05</v>
      </c>
      <c r="G274" s="326"/>
    </row>
    <row r="275" spans="1:7">
      <c r="A275" s="319" t="s">
        <v>284</v>
      </c>
      <c r="B275" s="308" t="s">
        <v>3559</v>
      </c>
      <c r="C275" s="320"/>
      <c r="D275" s="320"/>
      <c r="E275" s="320"/>
      <c r="F275" s="309">
        <v>0.05</v>
      </c>
      <c r="G275" s="326"/>
    </row>
    <row r="276" spans="1:7">
      <c r="A276" s="322" t="s">
        <v>284</v>
      </c>
      <c r="B276" s="312" t="s">
        <v>3560</v>
      </c>
      <c r="C276" s="314"/>
      <c r="D276" s="314"/>
      <c r="E276" s="314"/>
      <c r="F276" s="313">
        <v>0.05</v>
      </c>
      <c r="G276" s="327"/>
    </row>
    <row r="277" spans="1:7">
      <c r="A277" s="318" t="s">
        <v>288</v>
      </c>
      <c r="B277" s="304" t="s">
        <v>3561</v>
      </c>
      <c r="C277" s="305">
        <v>0.15</v>
      </c>
      <c r="D277" s="305">
        <v>0.15</v>
      </c>
      <c r="E277" s="305">
        <v>0.15</v>
      </c>
      <c r="F277" s="305">
        <v>0.15</v>
      </c>
      <c r="G277" s="306">
        <v>0.15</v>
      </c>
    </row>
    <row r="278" spans="1:7">
      <c r="A278" s="319" t="s">
        <v>288</v>
      </c>
      <c r="B278" s="308" t="s">
        <v>3562</v>
      </c>
      <c r="C278" s="309">
        <v>0.15</v>
      </c>
      <c r="D278" s="309">
        <v>0.15</v>
      </c>
      <c r="E278" s="309">
        <v>0.15</v>
      </c>
      <c r="F278" s="309">
        <v>0.15</v>
      </c>
      <c r="G278" s="310">
        <v>0.15</v>
      </c>
    </row>
    <row r="279" spans="1:7">
      <c r="A279" s="319" t="s">
        <v>288</v>
      </c>
      <c r="B279" s="308" t="s">
        <v>3563</v>
      </c>
      <c r="C279" s="309">
        <v>0.15</v>
      </c>
      <c r="D279" s="309">
        <v>0.15</v>
      </c>
      <c r="E279" s="309">
        <v>0.15</v>
      </c>
      <c r="F279" s="309">
        <v>0.15</v>
      </c>
      <c r="G279" s="310">
        <v>0.15</v>
      </c>
    </row>
    <row r="280" spans="1:7">
      <c r="A280" s="319" t="s">
        <v>288</v>
      </c>
      <c r="B280" s="308" t="s">
        <v>3564</v>
      </c>
      <c r="C280" s="309">
        <v>0.15</v>
      </c>
      <c r="D280" s="309">
        <v>0.15</v>
      </c>
      <c r="E280" s="309">
        <v>0.15</v>
      </c>
      <c r="F280" s="309">
        <v>0.15</v>
      </c>
      <c r="G280" s="310">
        <v>0.15</v>
      </c>
    </row>
    <row r="281" spans="1:7">
      <c r="A281" s="319" t="s">
        <v>288</v>
      </c>
      <c r="B281" s="308" t="s">
        <v>3565</v>
      </c>
      <c r="C281" s="309">
        <v>0.15</v>
      </c>
      <c r="D281" s="309">
        <v>0.15</v>
      </c>
      <c r="E281" s="309">
        <v>0.15</v>
      </c>
      <c r="F281" s="309">
        <v>0.15</v>
      </c>
      <c r="G281" s="310">
        <v>0.15</v>
      </c>
    </row>
    <row r="282" spans="1:7">
      <c r="A282" s="319" t="s">
        <v>288</v>
      </c>
      <c r="B282" s="308" t="s">
        <v>3566</v>
      </c>
      <c r="C282" s="309">
        <v>0.15</v>
      </c>
      <c r="D282" s="309">
        <v>0.15</v>
      </c>
      <c r="E282" s="309">
        <v>0.15</v>
      </c>
      <c r="F282" s="309">
        <v>0.14499999999999999</v>
      </c>
      <c r="G282" s="310">
        <v>0.15</v>
      </c>
    </row>
    <row r="283" spans="1:7">
      <c r="A283" s="319" t="s">
        <v>288</v>
      </c>
      <c r="B283" s="308" t="s">
        <v>3567</v>
      </c>
      <c r="C283" s="309">
        <v>0.15</v>
      </c>
      <c r="D283" s="309">
        <v>0.15</v>
      </c>
      <c r="E283" s="309">
        <v>0.15</v>
      </c>
      <c r="F283" s="309">
        <v>0.14199999999999999</v>
      </c>
      <c r="G283" s="310">
        <v>0.15</v>
      </c>
    </row>
    <row r="284" spans="1:7">
      <c r="A284" s="319" t="s">
        <v>288</v>
      </c>
      <c r="B284" s="308" t="s">
        <v>3568</v>
      </c>
      <c r="C284" s="309">
        <v>0.15</v>
      </c>
      <c r="D284" s="309">
        <v>0.15</v>
      </c>
      <c r="E284" s="309">
        <v>0.15</v>
      </c>
      <c r="F284" s="309">
        <v>0.15</v>
      </c>
      <c r="G284" s="310">
        <v>0.15</v>
      </c>
    </row>
    <row r="285" spans="1:7">
      <c r="A285" s="319" t="s">
        <v>288</v>
      </c>
      <c r="B285" s="308" t="s">
        <v>3569</v>
      </c>
      <c r="C285" s="309">
        <v>0.15</v>
      </c>
      <c r="D285" s="309">
        <v>0.15</v>
      </c>
      <c r="E285" s="309">
        <v>0.15</v>
      </c>
      <c r="F285" s="309">
        <v>0.15</v>
      </c>
      <c r="G285" s="310">
        <v>0.15</v>
      </c>
    </row>
    <row r="286" spans="1:7">
      <c r="A286" s="319" t="s">
        <v>288</v>
      </c>
      <c r="B286" s="308" t="s">
        <v>3570</v>
      </c>
      <c r="C286" s="309">
        <v>0.14499999999999999</v>
      </c>
      <c r="D286" s="309">
        <v>0.14499999999999999</v>
      </c>
      <c r="E286" s="309">
        <v>0.15</v>
      </c>
      <c r="F286" s="309">
        <v>0.14099999999999999</v>
      </c>
      <c r="G286" s="310">
        <v>0.14499999999999999</v>
      </c>
    </row>
    <row r="287" spans="1:7">
      <c r="A287" s="319" t="s">
        <v>288</v>
      </c>
      <c r="B287" s="308" t="s">
        <v>3571</v>
      </c>
      <c r="C287" s="309">
        <v>0.11</v>
      </c>
      <c r="D287" s="309">
        <v>0.111</v>
      </c>
      <c r="E287" s="309">
        <v>0.14099999999999999</v>
      </c>
      <c r="F287" s="309">
        <v>0.11</v>
      </c>
      <c r="G287" s="310">
        <v>0.12</v>
      </c>
    </row>
    <row r="288" spans="1:7">
      <c r="A288" s="319" t="s">
        <v>288</v>
      </c>
      <c r="B288" s="308" t="s">
        <v>3572</v>
      </c>
      <c r="C288" s="309">
        <v>0.14199999999999999</v>
      </c>
      <c r="D288" s="309">
        <v>0.14299999999999999</v>
      </c>
      <c r="E288" s="309">
        <v>0.15</v>
      </c>
      <c r="F288" s="309">
        <v>0.14199999999999999</v>
      </c>
      <c r="G288" s="310">
        <v>0.14399999999999999</v>
      </c>
    </row>
    <row r="289" spans="1:7">
      <c r="A289" s="319" t="s">
        <v>288</v>
      </c>
      <c r="B289" s="308" t="s">
        <v>3573</v>
      </c>
      <c r="C289" s="309">
        <v>0.14299999999999999</v>
      </c>
      <c r="D289" s="309">
        <v>0.14299999999999999</v>
      </c>
      <c r="E289" s="309">
        <v>0.14799999999999999</v>
      </c>
      <c r="F289" s="309">
        <v>0.14399999999999999</v>
      </c>
      <c r="G289" s="310">
        <v>0.14399999999999999</v>
      </c>
    </row>
    <row r="290" spans="1:7">
      <c r="A290" s="319" t="s">
        <v>288</v>
      </c>
      <c r="B290" s="308" t="s">
        <v>3574</v>
      </c>
      <c r="C290" s="309">
        <v>0.14799999999999999</v>
      </c>
      <c r="D290" s="309">
        <v>0.14899999999999999</v>
      </c>
      <c r="E290" s="309">
        <v>0.15</v>
      </c>
      <c r="F290" s="309">
        <v>0.127</v>
      </c>
      <c r="G290" s="310">
        <v>0.15</v>
      </c>
    </row>
    <row r="291" spans="1:7">
      <c r="A291" s="319" t="s">
        <v>288</v>
      </c>
      <c r="B291" s="308" t="s">
        <v>3575</v>
      </c>
      <c r="C291" s="309">
        <v>0.15</v>
      </c>
      <c r="D291" s="309">
        <v>0.15</v>
      </c>
      <c r="E291" s="309">
        <v>0.15</v>
      </c>
      <c r="F291" s="309">
        <v>0.14899999999999999</v>
      </c>
      <c r="G291" s="310">
        <v>0.15</v>
      </c>
    </row>
    <row r="292" spans="1:7">
      <c r="A292" s="319" t="s">
        <v>288</v>
      </c>
      <c r="B292" s="308" t="s">
        <v>3576</v>
      </c>
      <c r="C292" s="309">
        <v>0.15</v>
      </c>
      <c r="D292" s="309">
        <v>0.15</v>
      </c>
      <c r="E292" s="309">
        <v>0.15</v>
      </c>
      <c r="F292" s="309">
        <v>0.14399999999999999</v>
      </c>
      <c r="G292" s="310">
        <v>0.15</v>
      </c>
    </row>
    <row r="293" spans="1:7">
      <c r="A293" s="319" t="s">
        <v>288</v>
      </c>
      <c r="B293" s="308" t="s">
        <v>3577</v>
      </c>
      <c r="C293" s="309">
        <v>0.15</v>
      </c>
      <c r="D293" s="309">
        <v>0.15</v>
      </c>
      <c r="E293" s="309">
        <v>0.15</v>
      </c>
      <c r="F293" s="309">
        <v>0.14499999999999999</v>
      </c>
      <c r="G293" s="310">
        <v>0.15</v>
      </c>
    </row>
    <row r="294" spans="1:7">
      <c r="A294" s="319" t="s">
        <v>288</v>
      </c>
      <c r="B294" s="308" t="s">
        <v>3578</v>
      </c>
      <c r="C294" s="309">
        <v>0.15</v>
      </c>
      <c r="D294" s="309">
        <v>0.15</v>
      </c>
      <c r="E294" s="309">
        <v>0.15</v>
      </c>
      <c r="F294" s="309">
        <v>0.14899999999999999</v>
      </c>
      <c r="G294" s="310">
        <v>0.15</v>
      </c>
    </row>
    <row r="295" spans="1:7">
      <c r="A295" s="319" t="s">
        <v>288</v>
      </c>
      <c r="B295" s="308" t="s">
        <v>3579</v>
      </c>
      <c r="C295" s="309">
        <v>0.15</v>
      </c>
      <c r="D295" s="309">
        <v>0.15</v>
      </c>
      <c r="E295" s="309">
        <v>0.15</v>
      </c>
      <c r="F295" s="309">
        <v>0.14799999999999999</v>
      </c>
      <c r="G295" s="310">
        <v>0.15</v>
      </c>
    </row>
    <row r="296" spans="1:7">
      <c r="A296" s="319" t="s">
        <v>288</v>
      </c>
      <c r="B296" s="308" t="s">
        <v>3580</v>
      </c>
      <c r="C296" s="309">
        <v>0.15</v>
      </c>
      <c r="D296" s="309">
        <v>0.15</v>
      </c>
      <c r="E296" s="309">
        <v>0.15</v>
      </c>
      <c r="F296" s="309">
        <v>0.14399999999999999</v>
      </c>
      <c r="G296" s="310">
        <v>0.15</v>
      </c>
    </row>
    <row r="297" spans="1:7">
      <c r="A297" s="319" t="s">
        <v>288</v>
      </c>
      <c r="B297" s="308" t="s">
        <v>3581</v>
      </c>
      <c r="C297" s="309">
        <v>0.15</v>
      </c>
      <c r="D297" s="309">
        <v>0.15</v>
      </c>
      <c r="E297" s="309">
        <v>0.15</v>
      </c>
      <c r="F297" s="309">
        <v>0.14499999999999999</v>
      </c>
      <c r="G297" s="310">
        <v>0.15</v>
      </c>
    </row>
    <row r="298" spans="1:7">
      <c r="A298" s="319" t="s">
        <v>288</v>
      </c>
      <c r="B298" s="308" t="s">
        <v>3582</v>
      </c>
      <c r="C298" s="309">
        <v>0.15</v>
      </c>
      <c r="D298" s="309">
        <v>0.15</v>
      </c>
      <c r="E298" s="309">
        <v>0.15</v>
      </c>
      <c r="F298" s="309">
        <v>0.15</v>
      </c>
      <c r="G298" s="310">
        <v>0.15</v>
      </c>
    </row>
    <row r="299" spans="1:7">
      <c r="A299" s="319" t="s">
        <v>288</v>
      </c>
      <c r="B299" s="328" t="s">
        <v>3583</v>
      </c>
      <c r="C299" s="309">
        <v>0.15</v>
      </c>
      <c r="D299" s="309">
        <v>0.15</v>
      </c>
      <c r="E299" s="309">
        <v>0.15</v>
      </c>
      <c r="F299" s="309">
        <v>0.14499999999999999</v>
      </c>
      <c r="G299" s="310">
        <v>0.15</v>
      </c>
    </row>
    <row r="300" spans="1:7">
      <c r="A300" s="319" t="s">
        <v>288</v>
      </c>
      <c r="B300" s="328" t="s">
        <v>3584</v>
      </c>
      <c r="C300" s="309">
        <v>0.15</v>
      </c>
      <c r="D300" s="309">
        <v>0.15</v>
      </c>
      <c r="E300" s="309">
        <v>0.15</v>
      </c>
      <c r="F300" s="309">
        <v>0.14599999999999999</v>
      </c>
      <c r="G300" s="310">
        <v>0.15</v>
      </c>
    </row>
    <row r="301" spans="1:7">
      <c r="A301" s="319" t="s">
        <v>288</v>
      </c>
      <c r="B301" s="328" t="s">
        <v>3585</v>
      </c>
      <c r="C301" s="309">
        <v>0.126</v>
      </c>
      <c r="D301" s="309">
        <v>0.124</v>
      </c>
      <c r="E301" s="309">
        <v>0.14099999999999999</v>
      </c>
      <c r="F301" s="309">
        <v>0.14399999999999999</v>
      </c>
      <c r="G301" s="310">
        <v>0.13</v>
      </c>
    </row>
    <row r="302" spans="1:7">
      <c r="A302" s="319" t="s">
        <v>288</v>
      </c>
      <c r="B302" s="308" t="s">
        <v>3586</v>
      </c>
      <c r="C302" s="309">
        <v>0.15</v>
      </c>
      <c r="D302" s="309">
        <v>0.15</v>
      </c>
      <c r="E302" s="309">
        <v>0.15</v>
      </c>
      <c r="F302" s="309">
        <v>0.14699999999999999</v>
      </c>
      <c r="G302" s="310">
        <v>0.15</v>
      </c>
    </row>
    <row r="303" spans="1:7">
      <c r="A303" s="319" t="s">
        <v>288</v>
      </c>
      <c r="B303" s="308" t="s">
        <v>3587</v>
      </c>
      <c r="C303" s="309">
        <v>0.15</v>
      </c>
      <c r="D303" s="309">
        <v>0.15</v>
      </c>
      <c r="E303" s="309">
        <v>0.15</v>
      </c>
      <c r="F303" s="309">
        <v>0.14199999999999999</v>
      </c>
      <c r="G303" s="310">
        <v>0.15</v>
      </c>
    </row>
    <row r="304" spans="1:7">
      <c r="A304" s="319" t="s">
        <v>288</v>
      </c>
      <c r="B304" s="308" t="s">
        <v>3588</v>
      </c>
      <c r="C304" s="309">
        <v>0.15</v>
      </c>
      <c r="D304" s="309">
        <v>0.15</v>
      </c>
      <c r="E304" s="309">
        <v>0.15</v>
      </c>
      <c r="F304" s="309">
        <v>0.14499999999999999</v>
      </c>
      <c r="G304" s="310">
        <v>0.15</v>
      </c>
    </row>
    <row r="305" spans="1:7">
      <c r="A305" s="319" t="s">
        <v>288</v>
      </c>
      <c r="B305" s="308" t="s">
        <v>3589</v>
      </c>
      <c r="C305" s="309">
        <v>0.15</v>
      </c>
      <c r="D305" s="309">
        <v>0.15</v>
      </c>
      <c r="E305" s="309">
        <v>0.15</v>
      </c>
      <c r="F305" s="309">
        <v>0.111</v>
      </c>
      <c r="G305" s="310">
        <v>0.15</v>
      </c>
    </row>
    <row r="306" spans="1:7">
      <c r="A306" s="319" t="s">
        <v>288</v>
      </c>
      <c r="B306" s="308" t="s">
        <v>3590</v>
      </c>
      <c r="C306" s="309">
        <v>0.15</v>
      </c>
      <c r="D306" s="309">
        <v>0.15</v>
      </c>
      <c r="E306" s="309">
        <v>0.15</v>
      </c>
      <c r="F306" s="309">
        <v>0.126</v>
      </c>
      <c r="G306" s="310">
        <v>0.15</v>
      </c>
    </row>
    <row r="307" spans="1:7">
      <c r="A307" s="319" t="s">
        <v>288</v>
      </c>
      <c r="B307" s="308" t="s">
        <v>3591</v>
      </c>
      <c r="C307" s="309">
        <v>0.15</v>
      </c>
      <c r="D307" s="309">
        <v>0.15</v>
      </c>
      <c r="E307" s="309">
        <v>0.15</v>
      </c>
      <c r="F307" s="309">
        <v>0.12</v>
      </c>
      <c r="G307" s="310">
        <v>0.15</v>
      </c>
    </row>
    <row r="308" spans="1:7">
      <c r="A308" s="319" t="s">
        <v>288</v>
      </c>
      <c r="B308" s="308" t="s">
        <v>3592</v>
      </c>
      <c r="C308" s="309">
        <v>0.15</v>
      </c>
      <c r="D308" s="309">
        <v>0.15</v>
      </c>
      <c r="E308" s="309">
        <v>0.15</v>
      </c>
      <c r="F308" s="309">
        <v>0.13</v>
      </c>
      <c r="G308" s="310">
        <v>0.15</v>
      </c>
    </row>
    <row r="309" spans="1:7">
      <c r="A309" s="319" t="s">
        <v>288</v>
      </c>
      <c r="B309" s="308" t="s">
        <v>3593</v>
      </c>
      <c r="C309" s="309">
        <v>0.15</v>
      </c>
      <c r="D309" s="309">
        <v>0.15</v>
      </c>
      <c r="E309" s="309">
        <v>0.15</v>
      </c>
      <c r="F309" s="309">
        <v>0.14099999999999999</v>
      </c>
      <c r="G309" s="310">
        <v>0.15</v>
      </c>
    </row>
    <row r="310" spans="1:7">
      <c r="A310" s="319" t="s">
        <v>288</v>
      </c>
      <c r="B310" s="308" t="s">
        <v>3594</v>
      </c>
      <c r="C310" s="309">
        <v>0.15</v>
      </c>
      <c r="D310" s="309">
        <v>0.15</v>
      </c>
      <c r="E310" s="309">
        <v>0.15</v>
      </c>
      <c r="F310" s="309">
        <v>0.15</v>
      </c>
      <c r="G310" s="310">
        <v>0.15</v>
      </c>
    </row>
    <row r="311" spans="1:7">
      <c r="A311" s="319" t="s">
        <v>288</v>
      </c>
      <c r="B311" s="308" t="s">
        <v>3595</v>
      </c>
      <c r="C311" s="309">
        <v>0.13200000000000001</v>
      </c>
      <c r="D311" s="309">
        <v>0.13300000000000001</v>
      </c>
      <c r="E311" s="309">
        <v>0.14499999999999999</v>
      </c>
      <c r="F311" s="309">
        <v>0.14199999999999999</v>
      </c>
      <c r="G311" s="310">
        <v>0.14000000000000001</v>
      </c>
    </row>
    <row r="312" spans="1:7">
      <c r="A312" s="319" t="s">
        <v>288</v>
      </c>
      <c r="B312" s="308" t="s">
        <v>3596</v>
      </c>
      <c r="C312" s="309">
        <v>0.13800000000000001</v>
      </c>
      <c r="D312" s="309">
        <v>0.14000000000000001</v>
      </c>
      <c r="E312" s="309">
        <v>0.14599999999999999</v>
      </c>
      <c r="F312" s="309">
        <v>0.14899999999999999</v>
      </c>
      <c r="G312" s="310">
        <v>0.14199999999999999</v>
      </c>
    </row>
    <row r="313" spans="1:7">
      <c r="A313" s="319" t="s">
        <v>288</v>
      </c>
      <c r="B313" s="308" t="s">
        <v>3597</v>
      </c>
      <c r="C313" s="309">
        <v>0.125</v>
      </c>
      <c r="D313" s="309">
        <v>0.127</v>
      </c>
      <c r="E313" s="309">
        <v>0.14399999999999999</v>
      </c>
      <c r="F313" s="309">
        <v>0.115</v>
      </c>
      <c r="G313" s="310">
        <v>0.13600000000000001</v>
      </c>
    </row>
    <row r="314" spans="1:7">
      <c r="A314" s="319" t="s">
        <v>288</v>
      </c>
      <c r="B314" s="308" t="s">
        <v>3598</v>
      </c>
      <c r="C314" s="325"/>
      <c r="D314" s="325"/>
      <c r="E314" s="325"/>
      <c r="F314" s="309">
        <v>0.05</v>
      </c>
      <c r="G314" s="326"/>
    </row>
    <row r="315" spans="1:7">
      <c r="A315" s="319" t="s">
        <v>288</v>
      </c>
      <c r="B315" s="308" t="s">
        <v>3599</v>
      </c>
      <c r="C315" s="325"/>
      <c r="D315" s="325"/>
      <c r="E315" s="325"/>
      <c r="F315" s="309">
        <v>0.05</v>
      </c>
      <c r="G315" s="326"/>
    </row>
    <row r="316" spans="1:7">
      <c r="A316" s="319" t="s">
        <v>288</v>
      </c>
      <c r="B316" s="308" t="s">
        <v>3600</v>
      </c>
      <c r="C316" s="320"/>
      <c r="D316" s="320"/>
      <c r="E316" s="320"/>
      <c r="F316" s="309">
        <v>0.05</v>
      </c>
      <c r="G316" s="326"/>
    </row>
    <row r="317" spans="1:7">
      <c r="A317" s="319" t="s">
        <v>288</v>
      </c>
      <c r="B317" s="308" t="s">
        <v>3601</v>
      </c>
      <c r="C317" s="320"/>
      <c r="D317" s="320"/>
      <c r="E317" s="320"/>
      <c r="F317" s="309">
        <v>0.05</v>
      </c>
      <c r="G317" s="326"/>
    </row>
    <row r="318" spans="1:7">
      <c r="A318" s="319" t="s">
        <v>288</v>
      </c>
      <c r="B318" s="308" t="s">
        <v>3602</v>
      </c>
      <c r="C318" s="320"/>
      <c r="D318" s="320"/>
      <c r="E318" s="320"/>
      <c r="F318" s="309">
        <v>0.05</v>
      </c>
      <c r="G318" s="326"/>
    </row>
    <row r="319" spans="1:7">
      <c r="A319" s="319" t="s">
        <v>288</v>
      </c>
      <c r="B319" s="308" t="s">
        <v>3603</v>
      </c>
      <c r="C319" s="320"/>
      <c r="D319" s="320"/>
      <c r="E319" s="320"/>
      <c r="F319" s="309">
        <v>0.05</v>
      </c>
      <c r="G319" s="326"/>
    </row>
    <row r="320" spans="1:7">
      <c r="A320" s="319" t="s">
        <v>288</v>
      </c>
      <c r="B320" s="308" t="s">
        <v>3604</v>
      </c>
      <c r="C320" s="320"/>
      <c r="D320" s="320"/>
      <c r="E320" s="320"/>
      <c r="F320" s="309">
        <v>0.05</v>
      </c>
      <c r="G320" s="326"/>
    </row>
    <row r="321" spans="1:7">
      <c r="A321" s="319" t="s">
        <v>288</v>
      </c>
      <c r="B321" s="308" t="s">
        <v>3605</v>
      </c>
      <c r="C321" s="320"/>
      <c r="D321" s="320"/>
      <c r="E321" s="320"/>
      <c r="F321" s="309">
        <v>0.05</v>
      </c>
      <c r="G321" s="326"/>
    </row>
    <row r="322" spans="1:7">
      <c r="A322" s="319" t="s">
        <v>288</v>
      </c>
      <c r="B322" s="308" t="s">
        <v>3606</v>
      </c>
      <c r="C322" s="320"/>
      <c r="D322" s="320"/>
      <c r="E322" s="320"/>
      <c r="F322" s="309">
        <v>0.05</v>
      </c>
      <c r="G322" s="326"/>
    </row>
    <row r="323" spans="1:7">
      <c r="A323" s="319" t="s">
        <v>288</v>
      </c>
      <c r="B323" s="308" t="s">
        <v>3607</v>
      </c>
      <c r="C323" s="320"/>
      <c r="D323" s="320"/>
      <c r="E323" s="320"/>
      <c r="F323" s="309">
        <v>0.05</v>
      </c>
      <c r="G323" s="326"/>
    </row>
    <row r="324" spans="1:7">
      <c r="A324" s="319" t="s">
        <v>288</v>
      </c>
      <c r="B324" s="308" t="s">
        <v>3608</v>
      </c>
      <c r="C324" s="320"/>
      <c r="D324" s="320"/>
      <c r="E324" s="320"/>
      <c r="F324" s="309">
        <v>0.05</v>
      </c>
      <c r="G324" s="326"/>
    </row>
    <row r="325" spans="1:7">
      <c r="A325" s="319" t="s">
        <v>288</v>
      </c>
      <c r="B325" s="308" t="s">
        <v>3609</v>
      </c>
      <c r="C325" s="320"/>
      <c r="D325" s="320"/>
      <c r="E325" s="320"/>
      <c r="F325" s="309">
        <v>0.05</v>
      </c>
      <c r="G325" s="326"/>
    </row>
    <row r="326" spans="1:7">
      <c r="A326" s="322" t="s">
        <v>288</v>
      </c>
      <c r="B326" s="312" t="s">
        <v>3610</v>
      </c>
      <c r="C326" s="314"/>
      <c r="D326" s="314"/>
      <c r="E326" s="314"/>
      <c r="F326" s="313">
        <v>0.05</v>
      </c>
      <c r="G326" s="327"/>
    </row>
    <row r="327" spans="1:7">
      <c r="A327" s="318" t="s">
        <v>292</v>
      </c>
      <c r="B327" s="304" t="s">
        <v>3611</v>
      </c>
      <c r="C327" s="305">
        <v>0.15</v>
      </c>
      <c r="D327" s="305">
        <v>0.15</v>
      </c>
      <c r="E327" s="305">
        <v>0.15</v>
      </c>
      <c r="F327" s="305">
        <v>0.15</v>
      </c>
      <c r="G327" s="306">
        <v>0.15</v>
      </c>
    </row>
    <row r="328" spans="1:7">
      <c r="A328" s="319" t="s">
        <v>292</v>
      </c>
      <c r="B328" s="308" t="s">
        <v>3612</v>
      </c>
      <c r="C328" s="309">
        <v>0.15</v>
      </c>
      <c r="D328" s="309">
        <v>0.15</v>
      </c>
      <c r="E328" s="309">
        <v>0.15</v>
      </c>
      <c r="F328" s="309">
        <v>0.126</v>
      </c>
      <c r="G328" s="310">
        <v>0.15</v>
      </c>
    </row>
    <row r="329" spans="1:7">
      <c r="A329" s="319" t="s">
        <v>292</v>
      </c>
      <c r="B329" s="308" t="s">
        <v>3613</v>
      </c>
      <c r="C329" s="309">
        <v>0.15</v>
      </c>
      <c r="D329" s="309">
        <v>0.15</v>
      </c>
      <c r="E329" s="309">
        <v>0.15</v>
      </c>
      <c r="F329" s="309">
        <v>0.15</v>
      </c>
      <c r="G329" s="310">
        <v>0.15</v>
      </c>
    </row>
    <row r="330" spans="1:7">
      <c r="A330" s="319" t="s">
        <v>292</v>
      </c>
      <c r="B330" s="308" t="s">
        <v>3614</v>
      </c>
      <c r="C330" s="309">
        <v>0.15</v>
      </c>
      <c r="D330" s="309">
        <v>0.15</v>
      </c>
      <c r="E330" s="309">
        <v>0.15</v>
      </c>
      <c r="F330" s="309">
        <v>0.15</v>
      </c>
      <c r="G330" s="310">
        <v>0.15</v>
      </c>
    </row>
    <row r="331" spans="1:7">
      <c r="A331" s="319" t="s">
        <v>292</v>
      </c>
      <c r="B331" s="308" t="s">
        <v>3615</v>
      </c>
      <c r="C331" s="309">
        <v>0.15</v>
      </c>
      <c r="D331" s="309">
        <v>0.15</v>
      </c>
      <c r="E331" s="309">
        <v>0.15</v>
      </c>
      <c r="F331" s="309">
        <v>0.15</v>
      </c>
      <c r="G331" s="310">
        <v>0.15</v>
      </c>
    </row>
    <row r="332" spans="1:7">
      <c r="A332" s="319" t="s">
        <v>292</v>
      </c>
      <c r="B332" s="308" t="s">
        <v>3616</v>
      </c>
      <c r="C332" s="309">
        <v>0.15</v>
      </c>
      <c r="D332" s="309">
        <v>0.15</v>
      </c>
      <c r="E332" s="309">
        <v>0.15</v>
      </c>
      <c r="F332" s="309">
        <v>0.15</v>
      </c>
      <c r="G332" s="310">
        <v>0.15</v>
      </c>
    </row>
    <row r="333" spans="1:7">
      <c r="A333" s="319" t="s">
        <v>292</v>
      </c>
      <c r="B333" s="308" t="s">
        <v>3617</v>
      </c>
      <c r="C333" s="309">
        <v>0.14899999999999999</v>
      </c>
      <c r="D333" s="309">
        <v>0.14899999999999999</v>
      </c>
      <c r="E333" s="309">
        <v>0.15</v>
      </c>
      <c r="F333" s="309">
        <v>0.11600000000000001</v>
      </c>
      <c r="G333" s="310">
        <v>0.15</v>
      </c>
    </row>
    <row r="334" spans="1:7">
      <c r="A334" s="319" t="s">
        <v>292</v>
      </c>
      <c r="B334" s="308" t="s">
        <v>3618</v>
      </c>
      <c r="C334" s="309">
        <v>0.15</v>
      </c>
      <c r="D334" s="309">
        <v>0.15</v>
      </c>
      <c r="E334" s="309">
        <v>0.15</v>
      </c>
      <c r="F334" s="309">
        <v>0.13</v>
      </c>
      <c r="G334" s="310">
        <v>0.15</v>
      </c>
    </row>
    <row r="335" spans="1:7">
      <c r="A335" s="319" t="s">
        <v>292</v>
      </c>
      <c r="B335" s="308" t="s">
        <v>3619</v>
      </c>
      <c r="C335" s="309">
        <v>0.15</v>
      </c>
      <c r="D335" s="309">
        <v>0.15</v>
      </c>
      <c r="E335" s="309">
        <v>0.15</v>
      </c>
      <c r="F335" s="309">
        <v>0.14399999999999999</v>
      </c>
      <c r="G335" s="310">
        <v>0.15</v>
      </c>
    </row>
    <row r="336" spans="1:7">
      <c r="A336" s="319" t="s">
        <v>292</v>
      </c>
      <c r="B336" s="308" t="s">
        <v>3620</v>
      </c>
      <c r="C336" s="309">
        <v>0.15</v>
      </c>
      <c r="D336" s="309">
        <v>0.15</v>
      </c>
      <c r="E336" s="309">
        <v>0.15</v>
      </c>
      <c r="F336" s="309">
        <v>0.14199999999999999</v>
      </c>
      <c r="G336" s="310">
        <v>0.15</v>
      </c>
    </row>
    <row r="337" spans="1:7">
      <c r="A337" s="319" t="s">
        <v>292</v>
      </c>
      <c r="B337" s="308" t="s">
        <v>3621</v>
      </c>
      <c r="C337" s="309">
        <v>0.15</v>
      </c>
      <c r="D337" s="309">
        <v>0.15</v>
      </c>
      <c r="E337" s="309">
        <v>0.15</v>
      </c>
      <c r="F337" s="309">
        <v>0.14499999999999999</v>
      </c>
      <c r="G337" s="310">
        <v>0.15</v>
      </c>
    </row>
    <row r="338" spans="1:7">
      <c r="A338" s="319" t="s">
        <v>292</v>
      </c>
      <c r="B338" s="308" t="s">
        <v>3622</v>
      </c>
      <c r="C338" s="309">
        <v>0.15</v>
      </c>
      <c r="D338" s="309">
        <v>0.15</v>
      </c>
      <c r="E338" s="309">
        <v>0.15</v>
      </c>
      <c r="F338" s="309">
        <v>0.15</v>
      </c>
      <c r="G338" s="310">
        <v>0.15</v>
      </c>
    </row>
    <row r="339" spans="1:7">
      <c r="A339" s="319" t="s">
        <v>292</v>
      </c>
      <c r="B339" s="308" t="s">
        <v>3623</v>
      </c>
      <c r="C339" s="309">
        <v>0.15</v>
      </c>
      <c r="D339" s="309">
        <v>0.15</v>
      </c>
      <c r="E339" s="309">
        <v>0.15</v>
      </c>
      <c r="F339" s="309">
        <v>0.14699999999999999</v>
      </c>
      <c r="G339" s="310">
        <v>0.15</v>
      </c>
    </row>
    <row r="340" spans="1:7">
      <c r="A340" s="319" t="s">
        <v>292</v>
      </c>
      <c r="B340" s="308" t="s">
        <v>3624</v>
      </c>
      <c r="C340" s="309">
        <v>0.14599999999999999</v>
      </c>
      <c r="D340" s="309">
        <v>0.14599999999999999</v>
      </c>
      <c r="E340" s="309">
        <v>0.15</v>
      </c>
      <c r="F340" s="309">
        <v>0.14099999999999999</v>
      </c>
      <c r="G340" s="310">
        <v>0.14699999999999999</v>
      </c>
    </row>
    <row r="341" spans="1:7">
      <c r="A341" s="319" t="s">
        <v>292</v>
      </c>
      <c r="B341" s="308" t="s">
        <v>3625</v>
      </c>
      <c r="C341" s="309">
        <v>0.126</v>
      </c>
      <c r="D341" s="309">
        <v>0.124</v>
      </c>
      <c r="E341" s="309">
        <v>0.14099999999999999</v>
      </c>
      <c r="F341" s="309">
        <v>0.14399999999999999</v>
      </c>
      <c r="G341" s="310">
        <v>0.13</v>
      </c>
    </row>
    <row r="342" spans="1:7">
      <c r="A342" s="319" t="s">
        <v>292</v>
      </c>
      <c r="B342" s="308" t="s">
        <v>3626</v>
      </c>
      <c r="C342" s="309">
        <v>0.15</v>
      </c>
      <c r="D342" s="309">
        <v>0.15</v>
      </c>
      <c r="E342" s="309">
        <v>0.15</v>
      </c>
      <c r="F342" s="309">
        <v>0.14399999999999999</v>
      </c>
      <c r="G342" s="310">
        <v>0.15</v>
      </c>
    </row>
    <row r="343" spans="1:7">
      <c r="A343" s="319" t="s">
        <v>292</v>
      </c>
      <c r="B343" s="308" t="s">
        <v>3627</v>
      </c>
      <c r="C343" s="309">
        <v>0.15</v>
      </c>
      <c r="D343" s="309">
        <v>0.15</v>
      </c>
      <c r="E343" s="309">
        <v>0.15</v>
      </c>
      <c r="F343" s="309">
        <v>0.128</v>
      </c>
      <c r="G343" s="310">
        <v>0.15</v>
      </c>
    </row>
    <row r="344" spans="1:7">
      <c r="A344" s="319" t="s">
        <v>292</v>
      </c>
      <c r="B344" s="308" t="s">
        <v>3628</v>
      </c>
      <c r="C344" s="309">
        <v>0.15</v>
      </c>
      <c r="D344" s="309">
        <v>0.15</v>
      </c>
      <c r="E344" s="309">
        <v>0.15</v>
      </c>
      <c r="F344" s="309">
        <v>0.14799999999999999</v>
      </c>
      <c r="G344" s="310">
        <v>0.15</v>
      </c>
    </row>
    <row r="345" spans="1:7">
      <c r="A345" s="319" t="s">
        <v>292</v>
      </c>
      <c r="B345" s="308" t="s">
        <v>3629</v>
      </c>
      <c r="C345" s="309">
        <v>0.15</v>
      </c>
      <c r="D345" s="309">
        <v>0.15</v>
      </c>
      <c r="E345" s="309">
        <v>0.15</v>
      </c>
      <c r="F345" s="309">
        <v>0.13800000000000001</v>
      </c>
      <c r="G345" s="310">
        <v>0.15</v>
      </c>
    </row>
    <row r="346" spans="1:7">
      <c r="A346" s="319" t="s">
        <v>292</v>
      </c>
      <c r="B346" s="308" t="s">
        <v>3630</v>
      </c>
      <c r="C346" s="309">
        <v>0.15</v>
      </c>
      <c r="D346" s="309">
        <v>0.15</v>
      </c>
      <c r="E346" s="309">
        <v>0.15</v>
      </c>
      <c r="F346" s="309">
        <v>0.14399999999999999</v>
      </c>
      <c r="G346" s="310">
        <v>0.15</v>
      </c>
    </row>
    <row r="347" spans="1:7">
      <c r="A347" s="319" t="s">
        <v>292</v>
      </c>
      <c r="B347" s="308" t="s">
        <v>3631</v>
      </c>
      <c r="C347" s="309">
        <v>0.15</v>
      </c>
      <c r="D347" s="309">
        <v>0.15</v>
      </c>
      <c r="E347" s="309">
        <v>0.15</v>
      </c>
      <c r="F347" s="309">
        <v>0.14599999999999999</v>
      </c>
      <c r="G347" s="310">
        <v>0.15</v>
      </c>
    </row>
    <row r="348" spans="1:7">
      <c r="A348" s="319" t="s">
        <v>292</v>
      </c>
      <c r="B348" s="308" t="s">
        <v>3632</v>
      </c>
      <c r="C348" s="309">
        <v>0.15</v>
      </c>
      <c r="D348" s="309">
        <v>0.15</v>
      </c>
      <c r="E348" s="309">
        <v>0.15</v>
      </c>
      <c r="F348" s="309">
        <v>0.14399999999999999</v>
      </c>
      <c r="G348" s="310">
        <v>0.15</v>
      </c>
    </row>
    <row r="349" spans="1:7">
      <c r="A349" s="319" t="s">
        <v>292</v>
      </c>
      <c r="B349" s="308" t="s">
        <v>3633</v>
      </c>
      <c r="C349" s="309">
        <v>0.15</v>
      </c>
      <c r="D349" s="309">
        <v>0.15</v>
      </c>
      <c r="E349" s="309">
        <v>0.15</v>
      </c>
      <c r="F349" s="309">
        <v>0.15</v>
      </c>
      <c r="G349" s="310">
        <v>0.15</v>
      </c>
    </row>
    <row r="350" spans="1:7">
      <c r="A350" s="319" t="s">
        <v>292</v>
      </c>
      <c r="B350" s="308" t="s">
        <v>3634</v>
      </c>
      <c r="C350" s="309">
        <v>0.15</v>
      </c>
      <c r="D350" s="309">
        <v>0.15</v>
      </c>
      <c r="E350" s="309">
        <v>0.15</v>
      </c>
      <c r="F350" s="309">
        <v>0.14699999999999999</v>
      </c>
      <c r="G350" s="310">
        <v>0.15</v>
      </c>
    </row>
    <row r="351" spans="1:7">
      <c r="A351" s="319" t="s">
        <v>292</v>
      </c>
      <c r="B351" s="308" t="s">
        <v>3635</v>
      </c>
      <c r="C351" s="309">
        <v>0.15</v>
      </c>
      <c r="D351" s="309">
        <v>0.15</v>
      </c>
      <c r="E351" s="309">
        <v>0.15</v>
      </c>
      <c r="F351" s="309">
        <v>0.13</v>
      </c>
      <c r="G351" s="310">
        <v>0.15</v>
      </c>
    </row>
    <row r="352" spans="1:7">
      <c r="A352" s="319" t="s">
        <v>292</v>
      </c>
      <c r="B352" s="308" t="s">
        <v>3636</v>
      </c>
      <c r="C352" s="309">
        <v>0.15</v>
      </c>
      <c r="D352" s="309">
        <v>0.15</v>
      </c>
      <c r="E352" s="309">
        <v>0.15</v>
      </c>
      <c r="F352" s="309">
        <v>0.14599999999999999</v>
      </c>
      <c r="G352" s="310">
        <v>0.15</v>
      </c>
    </row>
    <row r="353" spans="1:7">
      <c r="A353" s="319" t="s">
        <v>292</v>
      </c>
      <c r="B353" s="308" t="s">
        <v>3637</v>
      </c>
      <c r="C353" s="309">
        <v>0.15</v>
      </c>
      <c r="D353" s="309">
        <v>0.15</v>
      </c>
      <c r="E353" s="309">
        <v>0.15</v>
      </c>
      <c r="F353" s="309">
        <v>0.14499999999999999</v>
      </c>
      <c r="G353" s="310">
        <v>0.15</v>
      </c>
    </row>
    <row r="354" spans="1:7">
      <c r="A354" s="319" t="s">
        <v>292</v>
      </c>
      <c r="B354" s="308" t="s">
        <v>3638</v>
      </c>
      <c r="C354" s="309">
        <v>0.15</v>
      </c>
      <c r="D354" s="309">
        <v>0.15</v>
      </c>
      <c r="E354" s="309">
        <v>0.15</v>
      </c>
      <c r="F354" s="309">
        <v>0.14099999999999999</v>
      </c>
      <c r="G354" s="310">
        <v>0.15</v>
      </c>
    </row>
    <row r="355" spans="1:7">
      <c r="A355" s="319" t="s">
        <v>292</v>
      </c>
      <c r="B355" s="308" t="s">
        <v>3639</v>
      </c>
      <c r="C355" s="309">
        <v>0.15</v>
      </c>
      <c r="D355" s="309">
        <v>0.15</v>
      </c>
      <c r="E355" s="309">
        <v>0.15</v>
      </c>
      <c r="F355" s="309">
        <v>0.15</v>
      </c>
      <c r="G355" s="310">
        <v>0.15</v>
      </c>
    </row>
    <row r="356" spans="1:7">
      <c r="A356" s="319" t="s">
        <v>292</v>
      </c>
      <c r="B356" s="308" t="s">
        <v>3640</v>
      </c>
      <c r="C356" s="309">
        <v>0.15</v>
      </c>
      <c r="D356" s="309">
        <v>0.15</v>
      </c>
      <c r="E356" s="309">
        <v>0.15</v>
      </c>
      <c r="F356" s="309">
        <v>0.15</v>
      </c>
      <c r="G356" s="310">
        <v>0.15</v>
      </c>
    </row>
    <row r="357" spans="1:7">
      <c r="A357" s="322" t="s">
        <v>292</v>
      </c>
      <c r="B357" s="312" t="s">
        <v>3641</v>
      </c>
      <c r="C357" s="313">
        <v>0.126</v>
      </c>
      <c r="D357" s="313">
        <v>0.127</v>
      </c>
      <c r="E357" s="313">
        <v>0.14299999999999999</v>
      </c>
      <c r="F357" s="313">
        <v>0.125</v>
      </c>
      <c r="G357" s="315">
        <v>0.129</v>
      </c>
    </row>
    <row r="358" spans="1:7">
      <c r="A358" s="318" t="s">
        <v>296</v>
      </c>
      <c r="B358" s="304" t="s">
        <v>3642</v>
      </c>
      <c r="C358" s="305">
        <v>0.15</v>
      </c>
      <c r="D358" s="305">
        <v>0.15</v>
      </c>
      <c r="E358" s="305">
        <v>0.15</v>
      </c>
      <c r="F358" s="305">
        <v>0.15</v>
      </c>
      <c r="G358" s="306">
        <v>0.15</v>
      </c>
    </row>
    <row r="359" spans="1:7">
      <c r="A359" s="319" t="s">
        <v>296</v>
      </c>
      <c r="B359" s="308" t="s">
        <v>3643</v>
      </c>
      <c r="C359" s="309">
        <v>0.1</v>
      </c>
      <c r="D359" s="309">
        <v>0.1</v>
      </c>
      <c r="E359" s="309">
        <v>0.1</v>
      </c>
      <c r="F359" s="309">
        <v>0.1</v>
      </c>
      <c r="G359" s="310">
        <v>0.1</v>
      </c>
    </row>
    <row r="360" spans="1:7">
      <c r="A360" s="319" t="s">
        <v>296</v>
      </c>
      <c r="B360" s="308" t="s">
        <v>3644</v>
      </c>
      <c r="C360" s="309">
        <v>0.15</v>
      </c>
      <c r="D360" s="309">
        <v>0.15</v>
      </c>
      <c r="E360" s="309">
        <v>0.15</v>
      </c>
      <c r="F360" s="309">
        <v>0.14899999999999999</v>
      </c>
      <c r="G360" s="310">
        <v>0.15</v>
      </c>
    </row>
    <row r="361" spans="1:7">
      <c r="A361" s="319" t="s">
        <v>296</v>
      </c>
      <c r="B361" s="308" t="s">
        <v>3645</v>
      </c>
      <c r="C361" s="309">
        <v>0.15</v>
      </c>
      <c r="D361" s="309">
        <v>0.15</v>
      </c>
      <c r="E361" s="309">
        <v>0.15</v>
      </c>
      <c r="F361" s="309">
        <v>0.115</v>
      </c>
      <c r="G361" s="310">
        <v>0.15</v>
      </c>
    </row>
    <row r="362" spans="1:7">
      <c r="A362" s="319" t="s">
        <v>296</v>
      </c>
      <c r="B362" s="308" t="s">
        <v>3646</v>
      </c>
      <c r="C362" s="309">
        <v>0.15</v>
      </c>
      <c r="D362" s="309">
        <v>0.15</v>
      </c>
      <c r="E362" s="309">
        <v>0.15</v>
      </c>
      <c r="F362" s="309">
        <v>0.106</v>
      </c>
      <c r="G362" s="310">
        <v>0.15</v>
      </c>
    </row>
    <row r="363" spans="1:7">
      <c r="A363" s="319" t="s">
        <v>296</v>
      </c>
      <c r="B363" s="308" t="s">
        <v>3647</v>
      </c>
      <c r="C363" s="309">
        <v>0.15</v>
      </c>
      <c r="D363" s="309">
        <v>0.15</v>
      </c>
      <c r="E363" s="309">
        <v>0.15</v>
      </c>
      <c r="F363" s="309">
        <v>0.14699999999999999</v>
      </c>
      <c r="G363" s="310">
        <v>0.15</v>
      </c>
    </row>
    <row r="364" spans="1:7">
      <c r="A364" s="319" t="s">
        <v>296</v>
      </c>
      <c r="B364" s="308" t="s">
        <v>3648</v>
      </c>
      <c r="C364" s="309">
        <v>0.15</v>
      </c>
      <c r="D364" s="309">
        <v>0.15</v>
      </c>
      <c r="E364" s="309">
        <v>0.15</v>
      </c>
      <c r="F364" s="309">
        <v>0.14799999999999999</v>
      </c>
      <c r="G364" s="310">
        <v>0.15</v>
      </c>
    </row>
    <row r="365" spans="1:7">
      <c r="A365" s="319" t="s">
        <v>296</v>
      </c>
      <c r="B365" s="308" t="s">
        <v>3649</v>
      </c>
      <c r="C365" s="309">
        <v>0.15</v>
      </c>
      <c r="D365" s="309">
        <v>0.15</v>
      </c>
      <c r="E365" s="309">
        <v>0.15</v>
      </c>
      <c r="F365" s="309">
        <v>0.15</v>
      </c>
      <c r="G365" s="310">
        <v>0.15</v>
      </c>
    </row>
    <row r="366" spans="1:7">
      <c r="A366" s="319" t="s">
        <v>296</v>
      </c>
      <c r="B366" s="308" t="s">
        <v>3650</v>
      </c>
      <c r="C366" s="309">
        <v>0.15</v>
      </c>
      <c r="D366" s="309">
        <v>0.15</v>
      </c>
      <c r="E366" s="309">
        <v>0.15</v>
      </c>
      <c r="F366" s="309">
        <v>0.15</v>
      </c>
      <c r="G366" s="310">
        <v>0.15</v>
      </c>
    </row>
    <row r="367" spans="1:7">
      <c r="A367" s="319" t="s">
        <v>296</v>
      </c>
      <c r="B367" s="308" t="s">
        <v>3651</v>
      </c>
      <c r="C367" s="309">
        <v>0.15</v>
      </c>
      <c r="D367" s="309">
        <v>0.15</v>
      </c>
      <c r="E367" s="309">
        <v>0.15</v>
      </c>
      <c r="F367" s="309">
        <v>0.14699999999999999</v>
      </c>
      <c r="G367" s="310">
        <v>0.15</v>
      </c>
    </row>
    <row r="368" spans="1:7">
      <c r="A368" s="319" t="s">
        <v>296</v>
      </c>
      <c r="B368" s="308" t="s">
        <v>3652</v>
      </c>
      <c r="C368" s="309">
        <v>0.15</v>
      </c>
      <c r="D368" s="309">
        <v>0.15</v>
      </c>
      <c r="E368" s="309">
        <v>0.15</v>
      </c>
      <c r="F368" s="309">
        <v>0.13600000000000001</v>
      </c>
      <c r="G368" s="310">
        <v>0.15</v>
      </c>
    </row>
    <row r="369" spans="1:7">
      <c r="A369" s="319" t="s">
        <v>296</v>
      </c>
      <c r="B369" s="308" t="s">
        <v>3653</v>
      </c>
      <c r="C369" s="309">
        <v>0.15</v>
      </c>
      <c r="D369" s="309">
        <v>0.15</v>
      </c>
      <c r="E369" s="309">
        <v>0.15</v>
      </c>
      <c r="F369" s="309">
        <v>0.14399999999999999</v>
      </c>
      <c r="G369" s="310">
        <v>0.15</v>
      </c>
    </row>
    <row r="370" spans="1:7">
      <c r="A370" s="319" t="s">
        <v>296</v>
      </c>
      <c r="B370" s="308" t="s">
        <v>3654</v>
      </c>
      <c r="C370" s="309">
        <v>0.15</v>
      </c>
      <c r="D370" s="309">
        <v>0.15</v>
      </c>
      <c r="E370" s="309">
        <v>0.15</v>
      </c>
      <c r="F370" s="309">
        <v>0.14599999999999999</v>
      </c>
      <c r="G370" s="310">
        <v>0.15</v>
      </c>
    </row>
    <row r="371" spans="1:7">
      <c r="A371" s="319" t="s">
        <v>296</v>
      </c>
      <c r="B371" s="308" t="s">
        <v>3655</v>
      </c>
      <c r="C371" s="309">
        <v>0.15</v>
      </c>
      <c r="D371" s="309">
        <v>0.15</v>
      </c>
      <c r="E371" s="309">
        <v>0.15</v>
      </c>
      <c r="F371" s="309">
        <v>0.12</v>
      </c>
      <c r="G371" s="310">
        <v>0.15</v>
      </c>
    </row>
    <row r="372" spans="1:7">
      <c r="A372" s="319" t="s">
        <v>296</v>
      </c>
      <c r="B372" s="308" t="s">
        <v>3656</v>
      </c>
      <c r="C372" s="309">
        <v>0.15</v>
      </c>
      <c r="D372" s="309">
        <v>0.15</v>
      </c>
      <c r="E372" s="309">
        <v>0.15</v>
      </c>
      <c r="F372" s="309">
        <v>0.14299999999999999</v>
      </c>
      <c r="G372" s="310">
        <v>0.15</v>
      </c>
    </row>
    <row r="373" spans="1:7">
      <c r="A373" s="319" t="s">
        <v>296</v>
      </c>
      <c r="B373" s="308" t="s">
        <v>3657</v>
      </c>
      <c r="C373" s="309">
        <v>0.15</v>
      </c>
      <c r="D373" s="309">
        <v>0.15</v>
      </c>
      <c r="E373" s="309">
        <v>0.15</v>
      </c>
      <c r="F373" s="309">
        <v>0.14599999999999999</v>
      </c>
      <c r="G373" s="310">
        <v>0.15</v>
      </c>
    </row>
    <row r="374" spans="1:7">
      <c r="A374" s="319" t="s">
        <v>296</v>
      </c>
      <c r="B374" s="308" t="s">
        <v>3658</v>
      </c>
      <c r="C374" s="309">
        <v>0.15</v>
      </c>
      <c r="D374" s="309">
        <v>0.15</v>
      </c>
      <c r="E374" s="309">
        <v>0.15</v>
      </c>
      <c r="F374" s="309">
        <v>0.14399999999999999</v>
      </c>
      <c r="G374" s="310">
        <v>0.15</v>
      </c>
    </row>
    <row r="375" spans="1:7">
      <c r="A375" s="319" t="s">
        <v>296</v>
      </c>
      <c r="B375" s="308" t="s">
        <v>3659</v>
      </c>
      <c r="C375" s="309">
        <v>0.15</v>
      </c>
      <c r="D375" s="309">
        <v>0.15</v>
      </c>
      <c r="E375" s="309">
        <v>0.15</v>
      </c>
      <c r="F375" s="309">
        <v>0.13</v>
      </c>
      <c r="G375" s="310">
        <v>0.15</v>
      </c>
    </row>
    <row r="376" spans="1:7">
      <c r="A376" s="319" t="s">
        <v>296</v>
      </c>
      <c r="B376" s="308" t="s">
        <v>3660</v>
      </c>
      <c r="C376" s="309">
        <v>0.15</v>
      </c>
      <c r="D376" s="309">
        <v>0.15</v>
      </c>
      <c r="E376" s="309">
        <v>0.15</v>
      </c>
      <c r="F376" s="309">
        <v>0.14199999999999999</v>
      </c>
      <c r="G376" s="310">
        <v>0.15</v>
      </c>
    </row>
    <row r="377" spans="1:7">
      <c r="A377" s="322" t="s">
        <v>296</v>
      </c>
      <c r="B377" s="312" t="s">
        <v>3661</v>
      </c>
      <c r="C377" s="313">
        <v>0.15</v>
      </c>
      <c r="D377" s="313">
        <v>0.15</v>
      </c>
      <c r="E377" s="313">
        <v>0.15</v>
      </c>
      <c r="F377" s="313">
        <v>0.14000000000000001</v>
      </c>
      <c r="G377" s="315">
        <v>0.15</v>
      </c>
    </row>
    <row r="378" spans="1:7">
      <c r="A378" s="318" t="s">
        <v>300</v>
      </c>
      <c r="B378" s="304" t="s">
        <v>3662</v>
      </c>
      <c r="C378" s="305">
        <v>0.15</v>
      </c>
      <c r="D378" s="305">
        <v>0.15</v>
      </c>
      <c r="E378" s="305">
        <v>0.15</v>
      </c>
      <c r="F378" s="305">
        <v>0.107</v>
      </c>
      <c r="G378" s="306">
        <v>0.15</v>
      </c>
    </row>
    <row r="379" spans="1:7">
      <c r="A379" s="319" t="s">
        <v>300</v>
      </c>
      <c r="B379" s="308" t="s">
        <v>3663</v>
      </c>
      <c r="C379" s="309">
        <v>0.15</v>
      </c>
      <c r="D379" s="309">
        <v>0.15</v>
      </c>
      <c r="E379" s="309">
        <v>0.15</v>
      </c>
      <c r="F379" s="309">
        <v>0.115</v>
      </c>
      <c r="G379" s="310">
        <v>0.14899999999999999</v>
      </c>
    </row>
    <row r="380" spans="1:7">
      <c r="A380" s="319" t="s">
        <v>300</v>
      </c>
      <c r="B380" s="308" t="s">
        <v>3664</v>
      </c>
      <c r="C380" s="309">
        <v>0.15</v>
      </c>
      <c r="D380" s="309">
        <v>0.15</v>
      </c>
      <c r="E380" s="309">
        <v>0.15</v>
      </c>
      <c r="F380" s="309">
        <v>0.1</v>
      </c>
      <c r="G380" s="310">
        <v>0.14799999999999999</v>
      </c>
    </row>
    <row r="381" spans="1:7">
      <c r="A381" s="319" t="s">
        <v>300</v>
      </c>
      <c r="B381" s="308" t="s">
        <v>3665</v>
      </c>
      <c r="C381" s="309">
        <v>0.15</v>
      </c>
      <c r="D381" s="309">
        <v>0.15</v>
      </c>
      <c r="E381" s="309">
        <v>0.15</v>
      </c>
      <c r="F381" s="309">
        <v>0.126</v>
      </c>
      <c r="G381" s="310">
        <v>0.15</v>
      </c>
    </row>
    <row r="382" spans="1:7">
      <c r="A382" s="319" t="s">
        <v>300</v>
      </c>
      <c r="B382" s="308" t="s">
        <v>3666</v>
      </c>
      <c r="C382" s="309">
        <v>0.15</v>
      </c>
      <c r="D382" s="309">
        <v>0.15</v>
      </c>
      <c r="E382" s="309">
        <v>0.15</v>
      </c>
      <c r="F382" s="309">
        <v>0.15</v>
      </c>
      <c r="G382" s="310">
        <v>0.15</v>
      </c>
    </row>
    <row r="383" spans="1:7">
      <c r="A383" s="319" t="s">
        <v>300</v>
      </c>
      <c r="B383" s="308" t="s">
        <v>3667</v>
      </c>
      <c r="C383" s="309">
        <v>0.15</v>
      </c>
      <c r="D383" s="309">
        <v>0.15</v>
      </c>
      <c r="E383" s="309">
        <v>0.15</v>
      </c>
      <c r="F383" s="309">
        <v>0.14699999999999999</v>
      </c>
      <c r="G383" s="310">
        <v>0.15</v>
      </c>
    </row>
    <row r="384" spans="1:7">
      <c r="A384" s="329" t="s">
        <v>300</v>
      </c>
      <c r="B384" s="330" t="s">
        <v>3668</v>
      </c>
      <c r="C384" s="331">
        <v>0.15</v>
      </c>
      <c r="D384" s="331">
        <v>0.15</v>
      </c>
      <c r="E384" s="331">
        <v>0.15</v>
      </c>
      <c r="F384" s="331">
        <v>0.15</v>
      </c>
      <c r="G384" s="332">
        <v>0.15</v>
      </c>
    </row>
  </sheetData>
  <sheetProtection password="CEE9" sheet="1" objects="1" scenarios="1"/>
  <mergeCells count="1">
    <mergeCell ref="A1:B1"/>
  </mergeCells>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91"/>
  </cols>
  <sheetData>
    <row r="1" spans="1:6" ht="14.25">
      <c r="A1" s="3631" t="s">
        <v>3669</v>
      </c>
      <c r="B1" s="3631"/>
      <c r="C1" s="3631"/>
      <c r="D1" s="3631"/>
      <c r="E1" s="3631"/>
      <c r="F1" s="3632"/>
    </row>
    <row r="2" spans="1:6" ht="14.25">
      <c r="A2" s="292" t="s">
        <v>3670</v>
      </c>
    </row>
    <row r="3" spans="1:6" ht="14.25">
      <c r="A3" s="292" t="s">
        <v>3671</v>
      </c>
      <c r="F3" s="293" t="s">
        <v>3672</v>
      </c>
    </row>
    <row r="4" spans="1:6">
      <c r="A4" s="294" t="s">
        <v>404</v>
      </c>
      <c r="B4" s="294" t="s">
        <v>559</v>
      </c>
      <c r="C4" s="294" t="s">
        <v>2967</v>
      </c>
      <c r="D4" s="294" t="s">
        <v>3673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45798</v>
      </c>
      <c r="B1" s="227" t="s">
        <v>3674</v>
      </c>
      <c r="C1" s="228"/>
      <c r="D1" s="228"/>
      <c r="E1" s="228"/>
      <c r="F1" s="228"/>
      <c r="G1" s="228"/>
      <c r="H1" s="228"/>
      <c r="I1" s="228"/>
      <c r="J1" s="246"/>
      <c r="K1" s="228" t="s">
        <v>3675</v>
      </c>
      <c r="L1" s="228"/>
      <c r="M1" s="228"/>
      <c r="N1" s="228"/>
      <c r="O1" s="228"/>
      <c r="P1" s="228"/>
      <c r="Q1" s="246"/>
      <c r="R1" s="3633" t="s">
        <v>3676</v>
      </c>
      <c r="S1" s="3634"/>
      <c r="T1" s="3634"/>
      <c r="U1" s="3634"/>
      <c r="V1" s="3634"/>
      <c r="W1" s="3634"/>
      <c r="X1" s="246"/>
      <c r="Y1" s="3633" t="s">
        <v>3677</v>
      </c>
      <c r="Z1" s="3634"/>
      <c r="AA1" s="3634"/>
      <c r="AB1" s="3634"/>
      <c r="AC1" s="3634"/>
      <c r="AD1" s="3634"/>
    </row>
    <row r="2" spans="1:44" s="104" customFormat="1">
      <c r="B2" s="229"/>
      <c r="C2" s="230"/>
      <c r="D2" s="113" t="s">
        <v>3678</v>
      </c>
      <c r="E2" s="114" t="s">
        <v>559</v>
      </c>
      <c r="F2" s="114" t="s">
        <v>2967</v>
      </c>
      <c r="G2" s="114" t="s">
        <v>412</v>
      </c>
      <c r="H2" s="114" t="s">
        <v>408</v>
      </c>
      <c r="I2" s="114" t="s">
        <v>280</v>
      </c>
      <c r="J2" s="247"/>
      <c r="K2" s="113" t="s">
        <v>3678</v>
      </c>
      <c r="L2" s="114" t="s">
        <v>559</v>
      </c>
      <c r="M2" s="114" t="s">
        <v>2967</v>
      </c>
      <c r="N2" s="114" t="s">
        <v>412</v>
      </c>
      <c r="O2" s="114" t="s">
        <v>408</v>
      </c>
      <c r="P2" s="114" t="s">
        <v>280</v>
      </c>
      <c r="Q2" s="247"/>
      <c r="R2" s="113" t="s">
        <v>3678</v>
      </c>
      <c r="S2" s="114" t="s">
        <v>559</v>
      </c>
      <c r="T2" s="114" t="s">
        <v>2967</v>
      </c>
      <c r="U2" s="114" t="s">
        <v>412</v>
      </c>
      <c r="V2" s="114" t="s">
        <v>408</v>
      </c>
      <c r="W2" s="114" t="s">
        <v>280</v>
      </c>
      <c r="X2" s="247"/>
      <c r="Y2" s="113" t="s">
        <v>3678</v>
      </c>
      <c r="Z2" s="114" t="s">
        <v>559</v>
      </c>
      <c r="AA2" s="114" t="s">
        <v>2967</v>
      </c>
      <c r="AB2" s="114" t="s">
        <v>412</v>
      </c>
      <c r="AC2" s="114" t="s">
        <v>408</v>
      </c>
      <c r="AD2" s="114" t="s">
        <v>280</v>
      </c>
      <c r="AF2" t="s">
        <v>3678</v>
      </c>
      <c r="AG2" t="s">
        <v>559</v>
      </c>
      <c r="AH2" t="s">
        <v>2967</v>
      </c>
      <c r="AI2" t="s">
        <v>412</v>
      </c>
      <c r="AJ2" t="s">
        <v>408</v>
      </c>
      <c r="AK2" t="s">
        <v>280</v>
      </c>
      <c r="AM2" t="s">
        <v>3678</v>
      </c>
      <c r="AN2" t="s">
        <v>559</v>
      </c>
      <c r="AO2" t="s">
        <v>2967</v>
      </c>
      <c r="AP2" t="s">
        <v>412</v>
      </c>
      <c r="AQ2" t="s">
        <v>408</v>
      </c>
      <c r="AR2" t="s">
        <v>280</v>
      </c>
    </row>
    <row r="3" spans="1:44" s="223" customFormat="1" ht="12.75">
      <c r="A3" s="231" t="s">
        <v>3679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3680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3681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3682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3683</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3684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3685</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3686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3687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3688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3689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3690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3691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3692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3693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3694</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3695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3696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3697</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3698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3699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3700</v>
      </c>
    </row>
    <row r="27" spans="1:44">
      <c r="I27" s="262" t="s">
        <v>2632</v>
      </c>
    </row>
    <row r="29" spans="1:44" s="103" customFormat="1" ht="12.75">
      <c r="B29" s="227" t="s">
        <v>3701</v>
      </c>
      <c r="C29" s="228"/>
      <c r="D29" s="228"/>
      <c r="E29" s="228"/>
      <c r="F29" s="228"/>
      <c r="G29" s="228"/>
      <c r="H29" s="228"/>
      <c r="I29" s="228"/>
      <c r="J29" s="246"/>
      <c r="K29" s="228" t="s">
        <v>3675</v>
      </c>
      <c r="L29" s="228"/>
      <c r="M29" s="228"/>
      <c r="N29" s="228"/>
      <c r="O29" s="228"/>
      <c r="P29" s="228"/>
      <c r="Q29" s="246"/>
      <c r="R29" s="3633" t="s">
        <v>3676</v>
      </c>
      <c r="S29" s="3634"/>
      <c r="T29" s="3634"/>
      <c r="U29" s="3634"/>
      <c r="V29" s="3634"/>
      <c r="W29" s="3634"/>
      <c r="X29" s="246"/>
      <c r="Y29" s="3633" t="s">
        <v>3677</v>
      </c>
      <c r="Z29" s="3634"/>
      <c r="AA29" s="3634"/>
      <c r="AB29" s="3634"/>
      <c r="AC29" s="3634"/>
      <c r="AD29" s="3634"/>
    </row>
    <row r="30" spans="1:44" s="104" customFormat="1">
      <c r="B30" s="229"/>
      <c r="C30" s="230"/>
      <c r="D30" s="113" t="s">
        <v>3678</v>
      </c>
      <c r="E30" s="114" t="s">
        <v>559</v>
      </c>
      <c r="F30" s="114" t="s">
        <v>2967</v>
      </c>
      <c r="G30" s="114" t="s">
        <v>412</v>
      </c>
      <c r="H30" s="114"/>
      <c r="I30" s="114" t="s">
        <v>280</v>
      </c>
      <c r="J30" s="247"/>
      <c r="K30" s="113" t="s">
        <v>3678</v>
      </c>
      <c r="L30" s="114" t="s">
        <v>559</v>
      </c>
      <c r="M30" s="114" t="s">
        <v>2967</v>
      </c>
      <c r="N30" s="114" t="s">
        <v>412</v>
      </c>
      <c r="O30" s="114"/>
      <c r="P30" s="114" t="s">
        <v>280</v>
      </c>
      <c r="Q30" s="247"/>
      <c r="R30" s="113" t="s">
        <v>3678</v>
      </c>
      <c r="S30" s="114" t="s">
        <v>559</v>
      </c>
      <c r="T30" s="114" t="s">
        <v>2967</v>
      </c>
      <c r="U30" s="114" t="s">
        <v>412</v>
      </c>
      <c r="V30" s="114"/>
      <c r="W30" s="114" t="s">
        <v>280</v>
      </c>
      <c r="X30" s="247"/>
      <c r="Y30" s="113" t="s">
        <v>3678</v>
      </c>
      <c r="Z30" s="114" t="s">
        <v>559</v>
      </c>
      <c r="AA30" s="114" t="s">
        <v>2967</v>
      </c>
      <c r="AB30" s="114" t="s">
        <v>412</v>
      </c>
      <c r="AC30" s="114"/>
      <c r="AD30" s="114" t="s">
        <v>280</v>
      </c>
      <c r="AG30" t="s">
        <v>559</v>
      </c>
      <c r="AH30" t="s">
        <v>2967</v>
      </c>
      <c r="AI30" t="s">
        <v>412</v>
      </c>
      <c r="AJ30"/>
      <c r="AK30" t="s">
        <v>280</v>
      </c>
      <c r="AN30" t="s">
        <v>559</v>
      </c>
      <c r="AO30" t="s">
        <v>2967</v>
      </c>
      <c r="AP30" t="s">
        <v>412</v>
      </c>
      <c r="AQ30"/>
      <c r="AR30" t="s">
        <v>280</v>
      </c>
    </row>
    <row r="31" spans="1:44" s="223" customFormat="1" ht="12.75">
      <c r="A31" s="231" t="s">
        <v>3679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3680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3681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3682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3683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3684</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3685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3686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3687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3688</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3689</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3690</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3691</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3692</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3693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3694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3695</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3696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3697</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3698</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3699</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3702</v>
      </c>
    </row>
  </sheetData>
  <sheetProtection password="CEE9" sheet="1" objects="1" scenarios="1" formatCells="0" formatColumns="0" formatRows="0"/>
  <mergeCells count="4">
    <mergeCell ref="R1:W1"/>
    <mergeCell ref="Y1:AD1"/>
    <mergeCell ref="R29:W29"/>
    <mergeCell ref="Y29:AD29"/>
  </mergeCells>
  <phoneticPr fontId="23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35" t="s">
        <v>3703</v>
      </c>
      <c r="C1" s="3635"/>
      <c r="D1" s="3635"/>
      <c r="E1" s="3635"/>
      <c r="F1" s="3635"/>
      <c r="G1" s="3634" t="s">
        <v>3704</v>
      </c>
      <c r="H1" s="3634"/>
      <c r="I1" s="3634"/>
      <c r="J1" s="3634"/>
      <c r="K1" s="3634"/>
      <c r="L1" s="3634"/>
      <c r="N1" s="3634" t="s">
        <v>3675</v>
      </c>
      <c r="O1" s="3634"/>
      <c r="P1" s="3634"/>
      <c r="Q1" s="3634"/>
      <c r="S1" s="3634" t="s">
        <v>3705</v>
      </c>
      <c r="T1" s="3634"/>
      <c r="U1" s="3634"/>
      <c r="V1" s="3634"/>
      <c r="X1" s="3633" t="s">
        <v>3676</v>
      </c>
      <c r="Y1" s="3634"/>
      <c r="Z1" s="3634"/>
      <c r="AA1" s="3634"/>
      <c r="AB1" s="3634"/>
      <c r="AD1" s="3633" t="s">
        <v>3677</v>
      </c>
      <c r="AE1" s="3634"/>
      <c r="AF1" s="3634"/>
      <c r="AG1" s="3634"/>
      <c r="AH1" s="3634"/>
    </row>
    <row r="2" spans="1:34" s="104" customFormat="1" ht="13.5">
      <c r="B2" s="113" t="s">
        <v>435</v>
      </c>
      <c r="C2" s="113" t="s">
        <v>3706</v>
      </c>
      <c r="D2" s="114" t="s">
        <v>2967</v>
      </c>
      <c r="E2" s="114" t="s">
        <v>412</v>
      </c>
      <c r="F2" s="113" t="s">
        <v>3707</v>
      </c>
      <c r="G2" s="115"/>
      <c r="I2" s="113" t="s">
        <v>435</v>
      </c>
      <c r="J2" s="114" t="s">
        <v>2975</v>
      </c>
      <c r="K2" s="114" t="s">
        <v>412</v>
      </c>
      <c r="L2" s="113" t="s">
        <v>3707</v>
      </c>
      <c r="N2" s="113" t="s">
        <v>435</v>
      </c>
      <c r="O2" s="114" t="s">
        <v>2975</v>
      </c>
      <c r="P2" s="114" t="s">
        <v>412</v>
      </c>
      <c r="Q2" s="113" t="s">
        <v>3707</v>
      </c>
      <c r="S2" s="113" t="s">
        <v>435</v>
      </c>
      <c r="T2" s="114" t="s">
        <v>2975</v>
      </c>
      <c r="U2" s="114" t="s">
        <v>412</v>
      </c>
      <c r="V2" s="113" t="s">
        <v>3707</v>
      </c>
      <c r="X2" s="113" t="s">
        <v>435</v>
      </c>
      <c r="Y2" s="113" t="s">
        <v>3706</v>
      </c>
      <c r="Z2" s="114" t="s">
        <v>2967</v>
      </c>
      <c r="AA2" s="114" t="s">
        <v>412</v>
      </c>
      <c r="AB2" s="113" t="s">
        <v>3707</v>
      </c>
      <c r="AD2" s="113" t="s">
        <v>435</v>
      </c>
      <c r="AE2" s="113" t="s">
        <v>3706</v>
      </c>
      <c r="AF2" s="114" t="s">
        <v>2967</v>
      </c>
      <c r="AG2" s="114" t="s">
        <v>412</v>
      </c>
      <c r="AH2" s="113" t="s">
        <v>3707</v>
      </c>
    </row>
    <row r="3" spans="1:34" s="105" customFormat="1" ht="14.25">
      <c r="A3" s="116" t="s">
        <v>3679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3692</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3693</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3708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3694</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3695</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3696</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3697</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3698</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3699</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3709</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3710</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3711</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3712</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3713</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3714</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3715</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3716</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3717</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63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3718</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63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3719</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63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3720</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63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3721</v>
      </c>
      <c r="B25" s="131">
        <v>439</v>
      </c>
      <c r="C25" s="131">
        <v>327</v>
      </c>
      <c r="D25" s="131">
        <f t="shared" si="217"/>
        <v>327</v>
      </c>
      <c r="E25" s="131">
        <v>627</v>
      </c>
      <c r="F25" s="132">
        <v>283</v>
      </c>
      <c r="G25" s="363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3722</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636"/>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3723</v>
      </c>
      <c r="B27" s="124">
        <f t="shared" si="232"/>
        <v>419.31181600000002</v>
      </c>
      <c r="C27" s="124">
        <f t="shared" si="233"/>
        <v>313.95436800000004</v>
      </c>
      <c r="D27" s="124">
        <f t="shared" si="234"/>
        <v>313.95436800000004</v>
      </c>
      <c r="E27" s="124">
        <f t="shared" si="235"/>
        <v>596.63028431999999</v>
      </c>
      <c r="F27" s="124">
        <f t="shared" si="236"/>
        <v>274.74220703999998</v>
      </c>
      <c r="G27" s="363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3724</v>
      </c>
      <c r="B28" s="124">
        <f t="shared" si="232"/>
        <v>405.524</v>
      </c>
      <c r="C28" s="124">
        <f t="shared" si="233"/>
        <v>307.79840000000002</v>
      </c>
      <c r="D28" s="124">
        <f t="shared" si="234"/>
        <v>307.79840000000002</v>
      </c>
      <c r="E28" s="124">
        <f t="shared" si="235"/>
        <v>574.67759999999998</v>
      </c>
      <c r="F28" s="124">
        <f t="shared" si="236"/>
        <v>270.20280000000002</v>
      </c>
      <c r="G28" s="363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3725</v>
      </c>
      <c r="B29" s="131">
        <v>392</v>
      </c>
      <c r="C29" s="131">
        <v>302</v>
      </c>
      <c r="D29" s="131">
        <f t="shared" si="234"/>
        <v>302</v>
      </c>
      <c r="E29" s="131">
        <v>553</v>
      </c>
      <c r="F29" s="132">
        <v>266</v>
      </c>
      <c r="G29" s="3638">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3726</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63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3727</v>
      </c>
      <c r="B31" s="124">
        <f t="shared" si="245"/>
        <v>360.06949782209392</v>
      </c>
      <c r="C31" s="124">
        <f t="shared" si="245"/>
        <v>289.84672674747821</v>
      </c>
      <c r="D31" s="124">
        <f t="shared" si="246"/>
        <v>289.84672674747821</v>
      </c>
      <c r="E31" s="124">
        <f t="shared" si="247"/>
        <v>501.06543001181495</v>
      </c>
      <c r="F31" s="124">
        <f t="shared" si="247"/>
        <v>256.82882500744967</v>
      </c>
      <c r="G31" s="3636"/>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3728</v>
      </c>
      <c r="B32" s="124">
        <f t="shared" si="245"/>
        <v>346.720748986128</v>
      </c>
      <c r="C32" s="124">
        <f t="shared" si="245"/>
        <v>284.30282172386285</v>
      </c>
      <c r="D32" s="124">
        <f t="shared" si="246"/>
        <v>284.30282172386285</v>
      </c>
      <c r="E32" s="124">
        <f t="shared" si="247"/>
        <v>479.58023546306947</v>
      </c>
      <c r="F32" s="124">
        <f t="shared" si="247"/>
        <v>253.25788877571213</v>
      </c>
      <c r="G32" s="3639"/>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3729</v>
      </c>
      <c r="B33" s="131">
        <v>333</v>
      </c>
      <c r="C33" s="131">
        <v>277</v>
      </c>
      <c r="D33" s="131">
        <f t="shared" si="246"/>
        <v>277</v>
      </c>
      <c r="E33" s="131">
        <v>459</v>
      </c>
      <c r="F33" s="132">
        <v>249</v>
      </c>
      <c r="G33" s="364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3730</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636"/>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3731</v>
      </c>
      <c r="B35" s="124">
        <f t="shared" si="249"/>
        <v>322.34053690220776</v>
      </c>
      <c r="C35" s="124">
        <f t="shared" si="249"/>
        <v>271.46160770422546</v>
      </c>
      <c r="D35" s="124">
        <f t="shared" si="246"/>
        <v>271.46160770422546</v>
      </c>
      <c r="E35" s="124">
        <f t="shared" si="250"/>
        <v>442.69434542172456</v>
      </c>
      <c r="F35" s="124">
        <f t="shared" si="250"/>
        <v>241.34030753190925</v>
      </c>
      <c r="G35" s="363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3732</v>
      </c>
      <c r="B36" s="124">
        <f t="shared" si="249"/>
        <v>319.87748030386797</v>
      </c>
      <c r="C36" s="124">
        <f t="shared" si="249"/>
        <v>269.60135833173649</v>
      </c>
      <c r="D36" s="124">
        <f t="shared" si="246"/>
        <v>269.60135833173649</v>
      </c>
      <c r="E36" s="124">
        <f t="shared" si="250"/>
        <v>439.18089823583784</v>
      </c>
      <c r="F36" s="124">
        <f t="shared" si="250"/>
        <v>239.23503918706311</v>
      </c>
      <c r="G36" s="363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3733</v>
      </c>
      <c r="B37" s="136">
        <v>318</v>
      </c>
      <c r="C37" s="136">
        <v>268</v>
      </c>
      <c r="D37" s="136">
        <f t="shared" si="246"/>
        <v>268</v>
      </c>
      <c r="E37" s="136">
        <v>437</v>
      </c>
      <c r="F37" s="137">
        <v>237</v>
      </c>
      <c r="G37" s="3640">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3734</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636"/>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3735</v>
      </c>
      <c r="B39" s="124">
        <f t="shared" si="251"/>
        <v>314.72141172386546</v>
      </c>
      <c r="C39" s="124">
        <f t="shared" si="251"/>
        <v>263.03901319069001</v>
      </c>
      <c r="D39" s="124">
        <f t="shared" si="246"/>
        <v>263.03901319069001</v>
      </c>
      <c r="E39" s="124">
        <f t="shared" si="252"/>
        <v>433.65745506782821</v>
      </c>
      <c r="F39" s="124">
        <f t="shared" si="252"/>
        <v>233.23005080045735</v>
      </c>
      <c r="G39" s="363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3736</v>
      </c>
      <c r="B40" s="140">
        <f t="shared" si="251"/>
        <v>307.34512863658733</v>
      </c>
      <c r="C40" s="140">
        <f t="shared" si="251"/>
        <v>257.80556031626975</v>
      </c>
      <c r="D40" s="140">
        <f t="shared" si="246"/>
        <v>257.80556031626975</v>
      </c>
      <c r="E40" s="140">
        <f t="shared" si="252"/>
        <v>422.70928459677179</v>
      </c>
      <c r="F40" s="140">
        <f t="shared" si="252"/>
        <v>229.73803270336617</v>
      </c>
      <c r="G40" s="3639"/>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3737</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3738</v>
      </c>
      <c r="B41" s="131">
        <v>299</v>
      </c>
      <c r="C41" s="131">
        <v>252</v>
      </c>
      <c r="D41" s="131">
        <f t="shared" si="246"/>
        <v>252</v>
      </c>
      <c r="E41" s="131">
        <v>409</v>
      </c>
      <c r="F41" s="132">
        <v>227</v>
      </c>
      <c r="G41" s="364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3739</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642"/>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3740</v>
      </c>
      <c r="B43" s="124">
        <f t="shared" si="255"/>
        <v>288.2649053828776</v>
      </c>
      <c r="C43" s="124">
        <f t="shared" si="255"/>
        <v>243.64564425013293</v>
      </c>
      <c r="D43" s="124">
        <f t="shared" si="246"/>
        <v>243.64564425013293</v>
      </c>
      <c r="E43" s="124">
        <f t="shared" si="256"/>
        <v>393.31080825986544</v>
      </c>
      <c r="F43" s="124">
        <f t="shared" si="256"/>
        <v>223.07903790551154</v>
      </c>
      <c r="G43" s="364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3741</v>
      </c>
      <c r="B44" s="124">
        <f t="shared" si="255"/>
        <v>282.50186729015837</v>
      </c>
      <c r="C44" s="124">
        <f t="shared" si="255"/>
        <v>238.09796174155468</v>
      </c>
      <c r="D44" s="124">
        <f t="shared" si="246"/>
        <v>238.09796174155468</v>
      </c>
      <c r="E44" s="124">
        <f t="shared" si="256"/>
        <v>385.33438646014054</v>
      </c>
      <c r="F44" s="124">
        <f t="shared" si="256"/>
        <v>221.55034055567739</v>
      </c>
      <c r="G44" s="3643"/>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3742</v>
      </c>
      <c r="B45" s="143">
        <v>278</v>
      </c>
      <c r="C45" s="143">
        <v>234</v>
      </c>
      <c r="D45" s="143">
        <f t="shared" si="246"/>
        <v>234</v>
      </c>
      <c r="E45" s="143">
        <v>379</v>
      </c>
      <c r="F45" s="144">
        <v>220</v>
      </c>
      <c r="G45" s="3640">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3743</v>
      </c>
      <c r="B46" s="124">
        <f>B45/(1+N45)</f>
        <v>275.49301357645425</v>
      </c>
      <c r="C46" s="124">
        <f>C45/(1+O45)</f>
        <v>232.41954707985698</v>
      </c>
      <c r="D46" s="124">
        <f t="shared" si="246"/>
        <v>232.41954707985698</v>
      </c>
      <c r="E46" s="124">
        <f t="shared" ref="E46:F48" si="257">E45/(1+P45)</f>
        <v>375.32184591008121</v>
      </c>
      <c r="F46" s="124">
        <f t="shared" si="257"/>
        <v>218.03766105054513</v>
      </c>
      <c r="G46" s="363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3744</v>
      </c>
      <c r="B47" s="124">
        <f>B46/(1+N46)</f>
        <v>275.24529281292263</v>
      </c>
      <c r="C47" s="124">
        <f>C46/(1+O46)</f>
        <v>231.74747938962707</v>
      </c>
      <c r="D47" s="124">
        <f t="shared" si="246"/>
        <v>231.74747938962707</v>
      </c>
      <c r="E47" s="124">
        <f t="shared" si="257"/>
        <v>375.35938184826603</v>
      </c>
      <c r="F47" s="124">
        <f t="shared" si="257"/>
        <v>216.78033510692495</v>
      </c>
      <c r="G47" s="363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3745</v>
      </c>
      <c r="B48" s="124">
        <f>B47/(1+N47)</f>
        <v>275.19025476197027</v>
      </c>
      <c r="C48" s="145">
        <v>232</v>
      </c>
      <c r="D48" s="145">
        <f t="shared" si="246"/>
        <v>232</v>
      </c>
      <c r="E48" s="124">
        <f t="shared" si="257"/>
        <v>375.65990977608692</v>
      </c>
      <c r="F48" s="124">
        <f t="shared" si="257"/>
        <v>214.12518283971252</v>
      </c>
      <c r="G48" s="363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3746</v>
      </c>
      <c r="B49" s="131">
        <v>275</v>
      </c>
      <c r="C49" s="131">
        <v>232</v>
      </c>
      <c r="D49" s="131">
        <f t="shared" si="246"/>
        <v>232</v>
      </c>
      <c r="E49" s="131">
        <v>376</v>
      </c>
      <c r="F49" s="132">
        <v>213</v>
      </c>
      <c r="G49" s="3640">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3747</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63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3748</v>
      </c>
      <c r="B51" s="124">
        <f t="shared" si="258"/>
        <v>275.19335084830601</v>
      </c>
      <c r="C51" s="124">
        <f t="shared" si="258"/>
        <v>230.18088050139744</v>
      </c>
      <c r="D51" s="124">
        <f t="shared" si="246"/>
        <v>230.18088050139744</v>
      </c>
      <c r="E51" s="124">
        <f t="shared" si="259"/>
        <v>377.58482925212331</v>
      </c>
      <c r="F51" s="124">
        <f t="shared" si="259"/>
        <v>210.90687997847917</v>
      </c>
      <c r="G51" s="3636">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3749</v>
      </c>
      <c r="B52" s="124">
        <f t="shared" si="258"/>
        <v>276.29854502841971</v>
      </c>
      <c r="C52" s="124">
        <f t="shared" si="258"/>
        <v>229.79023709833027</v>
      </c>
      <c r="D52" s="124">
        <f t="shared" si="246"/>
        <v>229.79023709833027</v>
      </c>
      <c r="E52" s="124">
        <f t="shared" si="259"/>
        <v>379.78759731655936</v>
      </c>
      <c r="F52" s="124">
        <f t="shared" si="259"/>
        <v>211.32953905659235</v>
      </c>
      <c r="G52" s="3639">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3750</v>
      </c>
      <c r="B53" s="131">
        <v>269</v>
      </c>
      <c r="C53" s="131">
        <v>221</v>
      </c>
      <c r="D53" s="131">
        <f t="shared" si="246"/>
        <v>221</v>
      </c>
      <c r="E53" s="131">
        <v>373</v>
      </c>
      <c r="F53" s="132">
        <v>196</v>
      </c>
      <c r="G53" s="3640">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3751</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636">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3752</v>
      </c>
      <c r="B55" s="124">
        <f t="shared" si="260"/>
        <v>242.95398227588385</v>
      </c>
      <c r="C55" s="124">
        <f t="shared" si="260"/>
        <v>199.59137053614126</v>
      </c>
      <c r="D55" s="124">
        <f t="shared" si="246"/>
        <v>199.59137053614126</v>
      </c>
      <c r="E55" s="124">
        <f t="shared" si="261"/>
        <v>335.92189522342125</v>
      </c>
      <c r="F55" s="124">
        <f t="shared" si="261"/>
        <v>183.10139991109489</v>
      </c>
      <c r="G55" s="3636">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3753</v>
      </c>
      <c r="B56" s="124">
        <f t="shared" si="260"/>
        <v>232.06990378821649</v>
      </c>
      <c r="C56" s="124">
        <f t="shared" si="260"/>
        <v>192.74878854286936</v>
      </c>
      <c r="D56" s="124">
        <f t="shared" si="246"/>
        <v>192.74878854286936</v>
      </c>
      <c r="E56" s="124">
        <f t="shared" si="261"/>
        <v>319.71247284992984</v>
      </c>
      <c r="F56" s="124">
        <f t="shared" si="261"/>
        <v>175.67053622862409</v>
      </c>
      <c r="G56" s="3639">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3754</v>
      </c>
      <c r="B57" s="131">
        <v>220</v>
      </c>
      <c r="C57" s="131">
        <v>187</v>
      </c>
      <c r="D57" s="131">
        <f t="shared" si="246"/>
        <v>187</v>
      </c>
      <c r="E57" s="131">
        <v>301</v>
      </c>
      <c r="F57" s="132">
        <v>168</v>
      </c>
      <c r="G57" s="3640">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3755</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636">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3756</v>
      </c>
      <c r="B59" s="124">
        <f t="shared" si="262"/>
        <v>210.630522469011</v>
      </c>
      <c r="C59" s="124">
        <f t="shared" si="262"/>
        <v>181.69567812247232</v>
      </c>
      <c r="D59" s="124">
        <f t="shared" si="246"/>
        <v>181.69567812247232</v>
      </c>
      <c r="E59" s="124">
        <f t="shared" si="263"/>
        <v>286.13517466736738</v>
      </c>
      <c r="F59" s="124">
        <f t="shared" si="263"/>
        <v>165.47535084591149</v>
      </c>
      <c r="G59" s="363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3757</v>
      </c>
      <c r="B60" s="124">
        <f t="shared" si="262"/>
        <v>208.83454537875372</v>
      </c>
      <c r="C60" s="124">
        <f t="shared" si="262"/>
        <v>183.77230517090351</v>
      </c>
      <c r="D60" s="124">
        <f t="shared" si="246"/>
        <v>183.77230517090351</v>
      </c>
      <c r="E60" s="124">
        <f t="shared" si="263"/>
        <v>281.10342338870947</v>
      </c>
      <c r="F60" s="124">
        <f t="shared" si="263"/>
        <v>168.97309388942256</v>
      </c>
      <c r="G60" s="363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3758</v>
      </c>
      <c r="B61" s="143">
        <v>214</v>
      </c>
      <c r="C61" s="143">
        <v>188</v>
      </c>
      <c r="D61" s="143">
        <f t="shared" si="246"/>
        <v>188</v>
      </c>
      <c r="E61" s="143">
        <v>289</v>
      </c>
      <c r="F61" s="144">
        <v>166</v>
      </c>
      <c r="G61" s="364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3759</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63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3760</v>
      </c>
      <c r="B63" s="124">
        <f t="shared" si="264"/>
        <v>206.31694671589116</v>
      </c>
      <c r="C63" s="124">
        <f t="shared" si="264"/>
        <v>183.61041121036101</v>
      </c>
      <c r="D63" s="124">
        <f t="shared" si="246"/>
        <v>183.61041121036101</v>
      </c>
      <c r="E63" s="124">
        <f t="shared" si="265"/>
        <v>276.66850301795557</v>
      </c>
      <c r="F63" s="124">
        <f t="shared" si="265"/>
        <v>165.1360938278614</v>
      </c>
      <c r="G63" s="363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3761</v>
      </c>
      <c r="B64" s="146">
        <f t="shared" si="264"/>
        <v>196.62341248059772</v>
      </c>
      <c r="C64" s="146">
        <f t="shared" si="264"/>
        <v>170.99125648199012</v>
      </c>
      <c r="D64" s="146">
        <f t="shared" si="246"/>
        <v>170.99125648199012</v>
      </c>
      <c r="E64" s="146">
        <f t="shared" si="265"/>
        <v>266.07857570490052</v>
      </c>
      <c r="F64" s="146">
        <f t="shared" si="265"/>
        <v>154.53499328828505</v>
      </c>
      <c r="G64" s="363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3762</v>
      </c>
      <c r="B65" s="131">
        <v>188</v>
      </c>
      <c r="C65" s="131">
        <v>165</v>
      </c>
      <c r="D65" s="131">
        <f t="shared" si="246"/>
        <v>165</v>
      </c>
      <c r="E65" s="131">
        <v>254</v>
      </c>
      <c r="F65" s="132">
        <v>148</v>
      </c>
      <c r="G65" s="3640">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3763</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636">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3764</v>
      </c>
      <c r="B67" s="124">
        <f t="shared" si="268"/>
        <v>168.82017748715555</v>
      </c>
      <c r="C67" s="124">
        <f t="shared" si="268"/>
        <v>148.06267029972753</v>
      </c>
      <c r="D67" s="124">
        <f t="shared" si="246"/>
        <v>148.06267029972753</v>
      </c>
      <c r="E67" s="124">
        <f t="shared" si="269"/>
        <v>216.46288379323747</v>
      </c>
      <c r="F67" s="124">
        <f t="shared" si="269"/>
        <v>134.23529411764704</v>
      </c>
      <c r="G67" s="3636">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3765</v>
      </c>
      <c r="B68" s="124">
        <f t="shared" si="268"/>
        <v>163.84913591779542</v>
      </c>
      <c r="C68" s="124">
        <f t="shared" si="268"/>
        <v>145.0283378746594</v>
      </c>
      <c r="D68" s="124">
        <f t="shared" si="246"/>
        <v>145.0283378746594</v>
      </c>
      <c r="E68" s="124">
        <f t="shared" si="269"/>
        <v>204.95180722891567</v>
      </c>
      <c r="F68" s="124">
        <f t="shared" si="269"/>
        <v>125.95920303605313</v>
      </c>
      <c r="G68" s="3639">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3766</v>
      </c>
      <c r="B69" s="136">
        <v>159</v>
      </c>
      <c r="C69" s="136">
        <v>141</v>
      </c>
      <c r="D69" s="136">
        <f t="shared" si="246"/>
        <v>141</v>
      </c>
      <c r="E69" s="136">
        <v>195</v>
      </c>
      <c r="F69" s="137">
        <v>122</v>
      </c>
      <c r="G69" s="3640">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3767</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636">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3768</v>
      </c>
      <c r="B71" s="124">
        <f t="shared" si="272"/>
        <v>146.57412060301507</v>
      </c>
      <c r="C71" s="124">
        <f t="shared" si="272"/>
        <v>136.46831955922866</v>
      </c>
      <c r="D71" s="124">
        <f t="shared" si="246"/>
        <v>136.46831955922866</v>
      </c>
      <c r="E71" s="124">
        <f t="shared" si="273"/>
        <v>166.73864894795128</v>
      </c>
      <c r="F71" s="124">
        <f t="shared" si="273"/>
        <v>115.05882352941177</v>
      </c>
      <c r="G71" s="3636">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3769</v>
      </c>
      <c r="B72" s="124">
        <f t="shared" si="272"/>
        <v>144.04145728643215</v>
      </c>
      <c r="C72" s="124">
        <f t="shared" si="272"/>
        <v>136.12396694214877</v>
      </c>
      <c r="D72" s="124">
        <f t="shared" si="246"/>
        <v>136.12396694214877</v>
      </c>
      <c r="E72" s="124">
        <f t="shared" si="273"/>
        <v>158.32225913621264</v>
      </c>
      <c r="F72" s="124">
        <f t="shared" si="273"/>
        <v>114.04278074866311</v>
      </c>
      <c r="G72" s="3639">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3770</v>
      </c>
      <c r="B73" s="136">
        <v>138</v>
      </c>
      <c r="C73" s="136">
        <v>131</v>
      </c>
      <c r="D73" s="136">
        <f t="shared" si="246"/>
        <v>131</v>
      </c>
      <c r="E73" s="136">
        <v>155</v>
      </c>
      <c r="F73" s="137">
        <v>114</v>
      </c>
      <c r="G73" s="3640">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3771</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636">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3772</v>
      </c>
      <c r="B75" s="124">
        <f t="shared" si="276"/>
        <v>124.29032258064517</v>
      </c>
      <c r="C75" s="124">
        <f t="shared" si="276"/>
        <v>123.8968609865471</v>
      </c>
      <c r="D75" s="124">
        <f t="shared" si="246"/>
        <v>123.8968609865471</v>
      </c>
      <c r="E75" s="124">
        <f t="shared" si="277"/>
        <v>138.00507614213197</v>
      </c>
      <c r="F75" s="124">
        <f t="shared" si="277"/>
        <v>107.96106557377048</v>
      </c>
      <c r="G75" s="3636">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3773</v>
      </c>
      <c r="B76" s="124">
        <f t="shared" si="276"/>
        <v>122.57204301075269</v>
      </c>
      <c r="C76" s="124">
        <f t="shared" si="276"/>
        <v>123.4932735426009</v>
      </c>
      <c r="D76" s="124">
        <f t="shared" si="246"/>
        <v>123.4932735426009</v>
      </c>
      <c r="E76" s="124">
        <f t="shared" si="277"/>
        <v>129.82233502538071</v>
      </c>
      <c r="F76" s="124">
        <f t="shared" si="277"/>
        <v>107.39446721311475</v>
      </c>
      <c r="G76" s="3639">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3774</v>
      </c>
      <c r="B77" s="143">
        <v>121</v>
      </c>
      <c r="C77" s="143">
        <v>122</v>
      </c>
      <c r="D77" s="143">
        <f t="shared" si="246"/>
        <v>122</v>
      </c>
      <c r="E77" s="143">
        <v>124</v>
      </c>
      <c r="F77" s="144">
        <v>107</v>
      </c>
      <c r="G77" s="3640">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3775</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636">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3776</v>
      </c>
      <c r="B79" s="124">
        <f t="shared" si="280"/>
        <v>116.99099099099099</v>
      </c>
      <c r="C79" s="124">
        <f t="shared" si="280"/>
        <v>118.84848484848486</v>
      </c>
      <c r="D79" s="124">
        <f t="shared" si="246"/>
        <v>118.84848484848486</v>
      </c>
      <c r="E79" s="124">
        <f t="shared" si="281"/>
        <v>117.60960960960961</v>
      </c>
      <c r="F79" s="124">
        <f t="shared" si="281"/>
        <v>104</v>
      </c>
      <c r="G79" s="3636">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3777</v>
      </c>
      <c r="B80" s="146">
        <f t="shared" si="280"/>
        <v>112.48648648648648</v>
      </c>
      <c r="C80" s="146">
        <f t="shared" si="280"/>
        <v>115.21212121212122</v>
      </c>
      <c r="D80" s="146">
        <f t="shared" si="246"/>
        <v>115.21212121212122</v>
      </c>
      <c r="E80" s="146">
        <f t="shared" si="281"/>
        <v>110.4024024024024</v>
      </c>
      <c r="F80" s="146">
        <f t="shared" si="281"/>
        <v>104</v>
      </c>
      <c r="G80" s="3639">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3778</v>
      </c>
      <c r="B81" s="191">
        <v>111</v>
      </c>
      <c r="C81" s="191">
        <v>114</v>
      </c>
      <c r="D81" s="191">
        <f t="shared" si="246"/>
        <v>114</v>
      </c>
      <c r="E81" s="191">
        <v>108</v>
      </c>
      <c r="F81" s="192">
        <v>104</v>
      </c>
      <c r="G81" s="3640">
        <v>2003</v>
      </c>
      <c r="H81" s="190">
        <v>4</v>
      </c>
      <c r="I81" s="210"/>
      <c r="J81" s="210"/>
      <c r="K81" s="210"/>
      <c r="L81" s="210"/>
      <c r="N81" s="211"/>
      <c r="O81" s="210"/>
      <c r="P81" s="210"/>
      <c r="Q81" s="210"/>
      <c r="S81" s="211"/>
      <c r="T81" s="210"/>
      <c r="U81" s="210"/>
      <c r="V81" s="210"/>
      <c r="X81" s="216"/>
      <c r="Y81" s="216"/>
      <c r="Z81" s="216"/>
    </row>
    <row r="82" spans="1:26">
      <c r="A82" s="123" t="s">
        <v>3779</v>
      </c>
      <c r="B82" s="193">
        <f t="shared" ref="B82:C84" si="282">B83+(B$81-B$85)/4</f>
        <v>109.75</v>
      </c>
      <c r="C82" s="193">
        <f t="shared" si="282"/>
        <v>112.25</v>
      </c>
      <c r="D82" s="193">
        <f t="shared" si="246"/>
        <v>112.25</v>
      </c>
      <c r="E82" s="193">
        <f t="shared" ref="E82:F84" si="283">E83+(E$81-E$85)/4</f>
        <v>107.25</v>
      </c>
      <c r="F82" s="193">
        <f t="shared" si="283"/>
        <v>103.5</v>
      </c>
      <c r="G82" s="3636">
        <v>2003</v>
      </c>
      <c r="H82" s="135">
        <v>3</v>
      </c>
      <c r="I82" s="210"/>
      <c r="J82" s="210"/>
      <c r="K82" s="210"/>
      <c r="L82" s="210"/>
      <c r="X82" s="216"/>
      <c r="Y82" s="216"/>
      <c r="Z82" s="216"/>
    </row>
    <row r="83" spans="1:26">
      <c r="A83" s="123" t="s">
        <v>3780</v>
      </c>
      <c r="B83" s="193">
        <f t="shared" si="282"/>
        <v>108.5</v>
      </c>
      <c r="C83" s="193">
        <f t="shared" si="282"/>
        <v>110.5</v>
      </c>
      <c r="D83" s="193">
        <f t="shared" si="246"/>
        <v>110.5</v>
      </c>
      <c r="E83" s="193">
        <f t="shared" si="283"/>
        <v>106.5</v>
      </c>
      <c r="F83" s="193">
        <f t="shared" si="283"/>
        <v>103</v>
      </c>
      <c r="G83" s="3636">
        <v>2003</v>
      </c>
      <c r="H83" s="133">
        <v>2</v>
      </c>
      <c r="I83" s="210"/>
      <c r="J83" s="210"/>
      <c r="K83" s="210"/>
      <c r="L83" s="210"/>
      <c r="X83" s="216"/>
      <c r="Y83" s="216"/>
      <c r="Z83" s="216"/>
    </row>
    <row r="84" spans="1:26">
      <c r="A84" s="123" t="s">
        <v>3781</v>
      </c>
      <c r="B84" s="193">
        <f t="shared" si="282"/>
        <v>107.25</v>
      </c>
      <c r="C84" s="193">
        <f t="shared" si="282"/>
        <v>108.75</v>
      </c>
      <c r="D84" s="193">
        <f t="shared" si="246"/>
        <v>108.75</v>
      </c>
      <c r="E84" s="193">
        <f t="shared" si="283"/>
        <v>105.75</v>
      </c>
      <c r="F84" s="193">
        <f t="shared" si="283"/>
        <v>102.5</v>
      </c>
      <c r="G84" s="3639">
        <v>2003</v>
      </c>
      <c r="H84" s="194">
        <v>1</v>
      </c>
      <c r="I84" s="210"/>
      <c r="J84" s="210"/>
      <c r="K84" s="210"/>
      <c r="L84" s="210"/>
      <c r="S84" s="152"/>
      <c r="T84" s="153"/>
      <c r="U84" s="153"/>
      <c r="X84" s="216"/>
      <c r="Y84" s="216"/>
      <c r="Z84" s="216"/>
    </row>
    <row r="85" spans="1:26">
      <c r="A85" s="123" t="s">
        <v>3782</v>
      </c>
      <c r="B85" s="195">
        <v>106</v>
      </c>
      <c r="C85" s="195">
        <v>107</v>
      </c>
      <c r="D85" s="195">
        <f t="shared" si="246"/>
        <v>107</v>
      </c>
      <c r="E85" s="195">
        <v>105</v>
      </c>
      <c r="F85" s="196">
        <v>102</v>
      </c>
      <c r="G85" s="3640">
        <v>2002</v>
      </c>
      <c r="H85" s="134">
        <v>4</v>
      </c>
      <c r="I85" s="210"/>
      <c r="J85" s="210"/>
      <c r="K85" s="210"/>
      <c r="L85" s="210"/>
      <c r="N85" s="211"/>
      <c r="O85" s="210"/>
      <c r="P85" s="210"/>
      <c r="Q85" s="210"/>
      <c r="S85" s="211"/>
      <c r="T85" s="210"/>
      <c r="U85" s="210"/>
      <c r="V85" s="210"/>
      <c r="X85" s="216"/>
      <c r="Y85" s="216"/>
      <c r="Z85" s="216"/>
    </row>
    <row r="86" spans="1:26">
      <c r="A86" s="123" t="s">
        <v>3783</v>
      </c>
      <c r="B86" s="193">
        <f t="shared" ref="B86:C88" si="284">B87+(B$85-B$89)/4</f>
        <v>105</v>
      </c>
      <c r="C86" s="193">
        <f t="shared" si="284"/>
        <v>106</v>
      </c>
      <c r="D86" s="193">
        <f t="shared" si="246"/>
        <v>106</v>
      </c>
      <c r="E86" s="193">
        <f t="shared" ref="E86:F88" si="285">E87+(E$85-E$89)/4</f>
        <v>104.5</v>
      </c>
      <c r="F86" s="193">
        <f t="shared" si="285"/>
        <v>101.5</v>
      </c>
      <c r="G86" s="3636">
        <v>2002</v>
      </c>
      <c r="H86" s="135">
        <v>3</v>
      </c>
      <c r="I86" s="210"/>
      <c r="J86" s="210"/>
      <c r="K86" s="210"/>
      <c r="L86" s="210"/>
      <c r="X86" s="216"/>
      <c r="Y86" s="216"/>
      <c r="Z86" s="216"/>
    </row>
    <row r="87" spans="1:26">
      <c r="A87" s="123" t="s">
        <v>3784</v>
      </c>
      <c r="B87" s="193">
        <f t="shared" si="284"/>
        <v>104</v>
      </c>
      <c r="C87" s="193">
        <f t="shared" si="284"/>
        <v>105</v>
      </c>
      <c r="D87" s="193">
        <f t="shared" si="246"/>
        <v>105</v>
      </c>
      <c r="E87" s="193">
        <f t="shared" si="285"/>
        <v>104</v>
      </c>
      <c r="F87" s="193">
        <f t="shared" si="285"/>
        <v>101</v>
      </c>
      <c r="G87" s="3636">
        <v>2002</v>
      </c>
      <c r="H87" s="133">
        <v>2</v>
      </c>
      <c r="I87" s="210"/>
      <c r="J87" s="210"/>
      <c r="K87" s="210"/>
      <c r="L87" s="210"/>
      <c r="X87" s="216"/>
      <c r="Y87" s="216"/>
      <c r="Z87" s="216"/>
    </row>
    <row r="88" spans="1:26" s="108" customFormat="1">
      <c r="A88" s="139" t="s">
        <v>3785</v>
      </c>
      <c r="B88" s="181">
        <f t="shared" si="284"/>
        <v>103</v>
      </c>
      <c r="C88" s="181">
        <f t="shared" si="284"/>
        <v>104</v>
      </c>
      <c r="D88" s="181">
        <f t="shared" si="246"/>
        <v>104</v>
      </c>
      <c r="E88" s="181">
        <f t="shared" si="285"/>
        <v>103.5</v>
      </c>
      <c r="F88" s="181">
        <f t="shared" si="285"/>
        <v>100.5</v>
      </c>
      <c r="G88" s="363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3786</v>
      </c>
      <c r="G91" s="202"/>
      <c r="N91" s="202"/>
      <c r="S91" s="202"/>
    </row>
    <row r="92" spans="1:26" s="110" customFormat="1">
      <c r="A92" s="110" t="s">
        <v>3787</v>
      </c>
      <c r="G92" s="202"/>
      <c r="N92" s="202"/>
      <c r="S92" s="202"/>
    </row>
    <row r="93" spans="1:26" s="110" customFormat="1">
      <c r="A93" s="110" t="s">
        <v>3788</v>
      </c>
      <c r="G93" s="202"/>
      <c r="I93" s="214"/>
      <c r="J93" s="214"/>
      <c r="K93" s="214"/>
      <c r="L93" s="214"/>
      <c r="N93" s="215"/>
      <c r="O93" s="214"/>
      <c r="P93" s="214"/>
      <c r="Q93" s="214"/>
      <c r="S93" s="215"/>
      <c r="T93" s="214"/>
      <c r="U93" s="214"/>
      <c r="V93" s="214"/>
    </row>
    <row r="94" spans="1:26" s="110" customFormat="1">
      <c r="A94" s="110" t="s">
        <v>3789</v>
      </c>
      <c r="G94" s="202"/>
      <c r="N94" s="202"/>
      <c r="S94" s="202"/>
    </row>
    <row r="102" spans="7:22">
      <c r="G102" s="111"/>
      <c r="S102" s="219" t="s">
        <v>3790</v>
      </c>
      <c r="T102" s="135" t="s">
        <v>3791</v>
      </c>
      <c r="U102" s="135" t="s">
        <v>3792</v>
      </c>
      <c r="V102" s="135" t="s">
        <v>3793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44" t="s">
        <v>3794</v>
      </c>
      <c r="B1" s="3644"/>
      <c r="C1" s="3644"/>
      <c r="D1" s="3644"/>
      <c r="E1" s="3644"/>
      <c r="F1" s="3644"/>
      <c r="G1" s="3645"/>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3795</v>
      </c>
      <c r="B2" s="75"/>
      <c r="C2" s="75"/>
      <c r="D2" s="75"/>
      <c r="E2" s="75"/>
      <c r="F2" s="75"/>
      <c r="G2" s="76" t="s">
        <v>3796</v>
      </c>
      <c r="I2" s="83" t="s">
        <v>3290</v>
      </c>
      <c r="J2" s="83" t="s">
        <v>3295</v>
      </c>
      <c r="K2" s="83" t="s">
        <v>3315</v>
      </c>
      <c r="L2" s="83" t="s">
        <v>3340</v>
      </c>
      <c r="M2" s="83" t="s">
        <v>3372</v>
      </c>
      <c r="N2" s="83" t="s">
        <v>3412</v>
      </c>
      <c r="O2" s="83" t="s">
        <v>3474</v>
      </c>
      <c r="P2" s="83" t="s">
        <v>3518</v>
      </c>
      <c r="Q2" s="83" t="s">
        <v>3561</v>
      </c>
      <c r="R2" s="83" t="s">
        <v>3611</v>
      </c>
      <c r="S2" s="83" t="s">
        <v>3642</v>
      </c>
      <c r="T2" s="83" t="s">
        <v>3662</v>
      </c>
    </row>
    <row r="3" spans="1:20" s="72" customFormat="1">
      <c r="A3" s="3646" t="s">
        <v>3288</v>
      </c>
      <c r="B3" s="77"/>
      <c r="C3" s="78" t="s">
        <v>559</v>
      </c>
      <c r="D3" s="78" t="s">
        <v>2967</v>
      </c>
      <c r="E3" s="78" t="s">
        <v>412</v>
      </c>
      <c r="F3" s="78" t="s">
        <v>408</v>
      </c>
      <c r="G3" s="78" t="s">
        <v>280</v>
      </c>
      <c r="H3" s="79"/>
      <c r="I3" s="84" t="s">
        <v>3291</v>
      </c>
      <c r="J3" s="85" t="s">
        <v>3296</v>
      </c>
      <c r="K3" s="85" t="s">
        <v>3316</v>
      </c>
      <c r="L3" s="84" t="s">
        <v>3341</v>
      </c>
      <c r="M3" s="84" t="s">
        <v>3373</v>
      </c>
      <c r="N3" s="84" t="s">
        <v>3413</v>
      </c>
      <c r="O3" s="84" t="s">
        <v>3475</v>
      </c>
      <c r="P3" s="84" t="s">
        <v>3519</v>
      </c>
      <c r="Q3" s="84" t="s">
        <v>3562</v>
      </c>
      <c r="R3" s="84" t="s">
        <v>3612</v>
      </c>
      <c r="S3" s="84" t="s">
        <v>3643</v>
      </c>
      <c r="T3" s="84" t="s">
        <v>3663</v>
      </c>
    </row>
    <row r="4" spans="1:20" s="72" customFormat="1">
      <c r="A4" s="3647"/>
      <c r="B4" s="80" t="s">
        <v>3289</v>
      </c>
      <c r="C4" s="80" t="s">
        <v>3797</v>
      </c>
      <c r="D4" s="80" t="s">
        <v>3797</v>
      </c>
      <c r="E4" s="80" t="s">
        <v>3797</v>
      </c>
      <c r="F4" s="81" t="s">
        <v>3797</v>
      </c>
      <c r="G4" s="81" t="s">
        <v>3797</v>
      </c>
      <c r="H4" s="79"/>
      <c r="I4" s="85" t="s">
        <v>3292</v>
      </c>
      <c r="J4" s="85" t="s">
        <v>3297</v>
      </c>
      <c r="K4" s="85" t="s">
        <v>3317</v>
      </c>
      <c r="L4" s="84" t="s">
        <v>3342</v>
      </c>
      <c r="M4" s="84" t="s">
        <v>3374</v>
      </c>
      <c r="N4" s="84" t="s">
        <v>3414</v>
      </c>
      <c r="O4" s="84" t="s">
        <v>3476</v>
      </c>
      <c r="P4" s="84" t="s">
        <v>3520</v>
      </c>
      <c r="Q4" s="84" t="s">
        <v>3563</v>
      </c>
      <c r="R4" s="84" t="s">
        <v>3613</v>
      </c>
      <c r="S4" s="84" t="s">
        <v>3644</v>
      </c>
      <c r="T4" s="84" t="s">
        <v>3664</v>
      </c>
    </row>
    <row r="5" spans="1:20">
      <c r="A5" s="82" t="s">
        <v>230</v>
      </c>
      <c r="B5" s="83" t="s">
        <v>3290</v>
      </c>
      <c r="C5" s="83">
        <v>34550</v>
      </c>
      <c r="D5" s="83">
        <v>34470</v>
      </c>
      <c r="E5" s="83">
        <v>34330</v>
      </c>
      <c r="F5" s="83">
        <v>13400</v>
      </c>
      <c r="G5" s="83">
        <v>25450</v>
      </c>
      <c r="H5" s="79"/>
      <c r="I5" s="84" t="s">
        <v>3293</v>
      </c>
      <c r="J5" s="85" t="s">
        <v>3298</v>
      </c>
      <c r="K5" s="85" t="s">
        <v>3318</v>
      </c>
      <c r="L5" s="84" t="s">
        <v>3343</v>
      </c>
      <c r="M5" s="84" t="s">
        <v>3375</v>
      </c>
      <c r="N5" s="84" t="s">
        <v>3415</v>
      </c>
      <c r="O5" s="84" t="s">
        <v>3477</v>
      </c>
      <c r="P5" s="84" t="s">
        <v>3521</v>
      </c>
      <c r="Q5" s="84" t="s">
        <v>3564</v>
      </c>
      <c r="R5" s="84" t="s">
        <v>3614</v>
      </c>
      <c r="S5" s="84" t="s">
        <v>3645</v>
      </c>
      <c r="T5" s="84" t="s">
        <v>3665</v>
      </c>
    </row>
    <row r="6" spans="1:20">
      <c r="A6" s="84" t="s">
        <v>230</v>
      </c>
      <c r="B6" s="84" t="s">
        <v>3291</v>
      </c>
      <c r="C6" s="84">
        <v>36990</v>
      </c>
      <c r="D6" s="84">
        <v>36850</v>
      </c>
      <c r="E6" s="84">
        <v>36700</v>
      </c>
      <c r="F6" s="84">
        <v>14590</v>
      </c>
      <c r="G6" s="84">
        <v>27450</v>
      </c>
      <c r="H6" s="79"/>
      <c r="I6" s="87" t="s">
        <v>3294</v>
      </c>
      <c r="J6" s="85" t="s">
        <v>3299</v>
      </c>
      <c r="K6" s="85" t="s">
        <v>3319</v>
      </c>
      <c r="L6" s="84" t="s">
        <v>3344</v>
      </c>
      <c r="M6" s="84" t="s">
        <v>3376</v>
      </c>
      <c r="N6" s="84" t="s">
        <v>3416</v>
      </c>
      <c r="O6" s="84" t="s">
        <v>3478</v>
      </c>
      <c r="P6" s="84" t="s">
        <v>3522</v>
      </c>
      <c r="Q6" s="84" t="s">
        <v>3565</v>
      </c>
      <c r="R6" s="84" t="s">
        <v>3615</v>
      </c>
      <c r="S6" s="84" t="s">
        <v>3646</v>
      </c>
      <c r="T6" s="84" t="s">
        <v>3666</v>
      </c>
    </row>
    <row r="7" spans="1:20">
      <c r="A7" s="84" t="s">
        <v>230</v>
      </c>
      <c r="B7" s="85" t="s">
        <v>3292</v>
      </c>
      <c r="C7" s="84">
        <v>34850</v>
      </c>
      <c r="D7" s="84">
        <v>34690</v>
      </c>
      <c r="E7" s="84">
        <v>34550</v>
      </c>
      <c r="F7" s="84">
        <v>14360</v>
      </c>
      <c r="G7" s="84">
        <v>25620</v>
      </c>
      <c r="H7" s="79"/>
      <c r="J7" s="85" t="s">
        <v>3300</v>
      </c>
      <c r="K7" s="85" t="s">
        <v>3320</v>
      </c>
      <c r="L7" s="84" t="s">
        <v>3345</v>
      </c>
      <c r="M7" s="84" t="s">
        <v>3377</v>
      </c>
      <c r="N7" s="84" t="s">
        <v>3417</v>
      </c>
      <c r="O7" s="84" t="s">
        <v>3479</v>
      </c>
      <c r="P7" s="84" t="s">
        <v>3523</v>
      </c>
      <c r="Q7" s="84" t="s">
        <v>3566</v>
      </c>
      <c r="R7" s="84" t="s">
        <v>3616</v>
      </c>
      <c r="S7" s="84" t="s">
        <v>3647</v>
      </c>
      <c r="T7" s="84" t="s">
        <v>3667</v>
      </c>
    </row>
    <row r="8" spans="1:20">
      <c r="A8" s="84" t="s">
        <v>230</v>
      </c>
      <c r="B8" s="84" t="s">
        <v>3293</v>
      </c>
      <c r="C8" s="84">
        <v>32630</v>
      </c>
      <c r="D8" s="84">
        <v>32510</v>
      </c>
      <c r="E8" s="84">
        <v>32420</v>
      </c>
      <c r="F8" s="84">
        <v>13300</v>
      </c>
      <c r="G8" s="84">
        <v>24010</v>
      </c>
      <c r="H8" s="79"/>
      <c r="J8" s="85" t="s">
        <v>3301</v>
      </c>
      <c r="K8" s="85" t="s">
        <v>3321</v>
      </c>
      <c r="L8" s="84" t="s">
        <v>3346</v>
      </c>
      <c r="M8" s="84" t="s">
        <v>3378</v>
      </c>
      <c r="N8" s="84" t="s">
        <v>3418</v>
      </c>
      <c r="O8" s="84" t="s">
        <v>3480</v>
      </c>
      <c r="P8" s="84" t="s">
        <v>3524</v>
      </c>
      <c r="Q8" s="84" t="s">
        <v>3567</v>
      </c>
      <c r="R8" s="84" t="s">
        <v>3617</v>
      </c>
      <c r="S8" s="84" t="s">
        <v>3648</v>
      </c>
      <c r="T8" s="88" t="s">
        <v>3668</v>
      </c>
    </row>
    <row r="9" spans="1:20">
      <c r="A9" s="86" t="s">
        <v>230</v>
      </c>
      <c r="B9" s="87" t="s">
        <v>3294</v>
      </c>
      <c r="C9" s="88">
        <v>36370</v>
      </c>
      <c r="D9" s="88">
        <v>36210</v>
      </c>
      <c r="E9" s="88">
        <v>36050</v>
      </c>
      <c r="F9" s="88"/>
      <c r="G9" s="88">
        <v>26740</v>
      </c>
      <c r="H9" s="79"/>
      <c r="J9" s="85" t="s">
        <v>3302</v>
      </c>
      <c r="K9" s="85" t="s">
        <v>3322</v>
      </c>
      <c r="L9" s="84" t="s">
        <v>3347</v>
      </c>
      <c r="M9" s="84" t="s">
        <v>3379</v>
      </c>
      <c r="N9" s="84" t="s">
        <v>3419</v>
      </c>
      <c r="O9" s="84" t="s">
        <v>3481</v>
      </c>
      <c r="P9" s="84" t="s">
        <v>3525</v>
      </c>
      <c r="Q9" s="84" t="s">
        <v>3568</v>
      </c>
      <c r="R9" s="84" t="s">
        <v>3618</v>
      </c>
      <c r="S9" s="84" t="s">
        <v>3649</v>
      </c>
    </row>
    <row r="10" spans="1:20">
      <c r="A10" s="82" t="s">
        <v>241</v>
      </c>
      <c r="B10" s="83" t="s">
        <v>3295</v>
      </c>
      <c r="C10" s="84">
        <v>32350</v>
      </c>
      <c r="D10" s="84">
        <v>31430</v>
      </c>
      <c r="E10" s="84">
        <v>31320</v>
      </c>
      <c r="F10" s="84">
        <v>10850</v>
      </c>
      <c r="G10" s="84">
        <v>22860</v>
      </c>
      <c r="H10" s="79"/>
      <c r="J10" s="85" t="s">
        <v>3303</v>
      </c>
      <c r="K10" s="85" t="s">
        <v>3323</v>
      </c>
      <c r="L10" s="84" t="s">
        <v>3348</v>
      </c>
      <c r="M10" s="84" t="s">
        <v>3380</v>
      </c>
      <c r="N10" s="84" t="s">
        <v>3420</v>
      </c>
      <c r="O10" s="84" t="s">
        <v>3482</v>
      </c>
      <c r="P10" s="84" t="s">
        <v>3526</v>
      </c>
      <c r="Q10" s="84" t="s">
        <v>3569</v>
      </c>
      <c r="R10" s="84" t="s">
        <v>3619</v>
      </c>
      <c r="S10" s="84" t="s">
        <v>3650</v>
      </c>
    </row>
    <row r="11" spans="1:20">
      <c r="A11" s="84" t="s">
        <v>241</v>
      </c>
      <c r="B11" s="85" t="s">
        <v>3296</v>
      </c>
      <c r="C11" s="84">
        <v>31590</v>
      </c>
      <c r="D11" s="84">
        <v>29490</v>
      </c>
      <c r="E11" s="84">
        <v>28700</v>
      </c>
      <c r="F11" s="84">
        <v>10410</v>
      </c>
      <c r="G11" s="84">
        <v>21460</v>
      </c>
      <c r="H11" s="79"/>
      <c r="J11" s="85" t="s">
        <v>3304</v>
      </c>
      <c r="K11" s="85" t="s">
        <v>3324</v>
      </c>
      <c r="L11" s="84" t="s">
        <v>3349</v>
      </c>
      <c r="M11" s="84" t="s">
        <v>3381</v>
      </c>
      <c r="N11" s="84" t="s">
        <v>3421</v>
      </c>
      <c r="O11" s="84" t="s">
        <v>3483</v>
      </c>
      <c r="P11" s="84" t="s">
        <v>3527</v>
      </c>
      <c r="Q11" s="84" t="s">
        <v>3570</v>
      </c>
      <c r="R11" s="84" t="s">
        <v>3620</v>
      </c>
      <c r="S11" s="84" t="s">
        <v>3651</v>
      </c>
    </row>
    <row r="12" spans="1:20">
      <c r="A12" s="84" t="s">
        <v>241</v>
      </c>
      <c r="B12" s="85" t="s">
        <v>3297</v>
      </c>
      <c r="C12" s="84">
        <v>29640</v>
      </c>
      <c r="D12" s="84">
        <v>27550</v>
      </c>
      <c r="E12" s="84">
        <v>28010</v>
      </c>
      <c r="F12" s="84">
        <v>8730</v>
      </c>
      <c r="G12" s="84">
        <v>20050</v>
      </c>
      <c r="H12" s="79"/>
      <c r="J12" s="85" t="s">
        <v>3305</v>
      </c>
      <c r="K12" s="85" t="s">
        <v>3325</v>
      </c>
      <c r="L12" s="84" t="s">
        <v>3350</v>
      </c>
      <c r="M12" s="84" t="s">
        <v>3382</v>
      </c>
      <c r="N12" s="84" t="s">
        <v>3422</v>
      </c>
      <c r="O12" s="84" t="s">
        <v>3484</v>
      </c>
      <c r="P12" s="84" t="s">
        <v>3528</v>
      </c>
      <c r="Q12" s="84" t="s">
        <v>3571</v>
      </c>
      <c r="R12" s="84" t="s">
        <v>3621</v>
      </c>
      <c r="S12" s="84" t="s">
        <v>3652</v>
      </c>
    </row>
    <row r="13" spans="1:20">
      <c r="A13" s="84" t="s">
        <v>241</v>
      </c>
      <c r="B13" s="85" t="s">
        <v>3298</v>
      </c>
      <c r="C13" s="84">
        <v>29680</v>
      </c>
      <c r="D13" s="84">
        <v>27660</v>
      </c>
      <c r="E13" s="84">
        <v>28210</v>
      </c>
      <c r="F13" s="84">
        <v>9590</v>
      </c>
      <c r="G13" s="84">
        <v>20120</v>
      </c>
      <c r="H13" s="79"/>
      <c r="J13" s="85" t="s">
        <v>3306</v>
      </c>
      <c r="K13" s="85" t="s">
        <v>3326</v>
      </c>
      <c r="L13" s="84" t="s">
        <v>3351</v>
      </c>
      <c r="M13" s="84" t="s">
        <v>3383</v>
      </c>
      <c r="N13" s="84" t="s">
        <v>3423</v>
      </c>
      <c r="O13" s="84" t="s">
        <v>3485</v>
      </c>
      <c r="P13" s="84" t="s">
        <v>3529</v>
      </c>
      <c r="Q13" s="84" t="s">
        <v>3572</v>
      </c>
      <c r="R13" s="84" t="s">
        <v>3622</v>
      </c>
      <c r="S13" s="84" t="s">
        <v>3653</v>
      </c>
    </row>
    <row r="14" spans="1:20">
      <c r="A14" s="84" t="s">
        <v>241</v>
      </c>
      <c r="B14" s="85" t="s">
        <v>3299</v>
      </c>
      <c r="C14" s="84">
        <v>30520</v>
      </c>
      <c r="D14" s="84">
        <v>29510</v>
      </c>
      <c r="E14" s="84">
        <v>29400</v>
      </c>
      <c r="F14" s="84">
        <v>9630</v>
      </c>
      <c r="G14" s="84">
        <v>21480</v>
      </c>
      <c r="H14" s="79"/>
      <c r="J14" s="85" t="s">
        <v>3307</v>
      </c>
      <c r="K14" s="85" t="s">
        <v>3327</v>
      </c>
      <c r="L14" s="84" t="s">
        <v>3352</v>
      </c>
      <c r="M14" s="84" t="s">
        <v>3384</v>
      </c>
      <c r="N14" s="84" t="s">
        <v>3424</v>
      </c>
      <c r="O14" s="84" t="s">
        <v>3486</v>
      </c>
      <c r="P14" s="84" t="s">
        <v>3530</v>
      </c>
      <c r="Q14" s="84" t="s">
        <v>3573</v>
      </c>
      <c r="R14" s="84" t="s">
        <v>3623</v>
      </c>
      <c r="S14" s="84" t="s">
        <v>3654</v>
      </c>
    </row>
    <row r="15" spans="1:20">
      <c r="A15" s="84" t="s">
        <v>241</v>
      </c>
      <c r="B15" s="85" t="s">
        <v>3300</v>
      </c>
      <c r="C15" s="84">
        <v>29090</v>
      </c>
      <c r="D15" s="84">
        <v>27590</v>
      </c>
      <c r="E15" s="84">
        <v>28120</v>
      </c>
      <c r="F15" s="84">
        <v>9110</v>
      </c>
      <c r="G15" s="84">
        <v>20070</v>
      </c>
      <c r="H15" s="79"/>
      <c r="J15" s="85" t="s">
        <v>3308</v>
      </c>
      <c r="K15" s="85" t="s">
        <v>3328</v>
      </c>
      <c r="L15" s="84" t="s">
        <v>3353</v>
      </c>
      <c r="M15" s="84" t="s">
        <v>3385</v>
      </c>
      <c r="N15" s="84" t="s">
        <v>3425</v>
      </c>
      <c r="O15" s="84" t="s">
        <v>3487</v>
      </c>
      <c r="P15" s="84" t="s">
        <v>3531</v>
      </c>
      <c r="Q15" s="84" t="s">
        <v>3574</v>
      </c>
      <c r="R15" s="84" t="s">
        <v>3624</v>
      </c>
      <c r="S15" s="84" t="s">
        <v>3655</v>
      </c>
    </row>
    <row r="16" spans="1:20">
      <c r="A16" s="84" t="s">
        <v>241</v>
      </c>
      <c r="B16" s="85" t="s">
        <v>3301</v>
      </c>
      <c r="C16" s="84">
        <v>26790</v>
      </c>
      <c r="D16" s="84">
        <v>30370</v>
      </c>
      <c r="E16" s="84">
        <v>30240</v>
      </c>
      <c r="F16" s="84">
        <v>11590</v>
      </c>
      <c r="G16" s="84">
        <v>22090</v>
      </c>
      <c r="H16" s="79"/>
      <c r="J16" s="85" t="s">
        <v>3309</v>
      </c>
      <c r="K16" s="85" t="s">
        <v>3329</v>
      </c>
      <c r="L16" s="84" t="s">
        <v>3354</v>
      </c>
      <c r="M16" s="84" t="s">
        <v>3386</v>
      </c>
      <c r="N16" s="84" t="s">
        <v>3426</v>
      </c>
      <c r="O16" s="84" t="s">
        <v>3488</v>
      </c>
      <c r="P16" s="84" t="s">
        <v>3532</v>
      </c>
      <c r="Q16" s="84" t="s">
        <v>3575</v>
      </c>
      <c r="R16" s="84" t="s">
        <v>3625</v>
      </c>
      <c r="S16" s="84" t="s">
        <v>3656</v>
      </c>
    </row>
    <row r="17" spans="1:19" ht="14.25" customHeight="1">
      <c r="A17" s="84" t="s">
        <v>241</v>
      </c>
      <c r="B17" s="85" t="s">
        <v>3302</v>
      </c>
      <c r="C17" s="84">
        <v>29180</v>
      </c>
      <c r="D17" s="84">
        <v>27620</v>
      </c>
      <c r="E17" s="84">
        <v>28180</v>
      </c>
      <c r="F17" s="84">
        <v>10790</v>
      </c>
      <c r="G17" s="84">
        <v>20090</v>
      </c>
      <c r="H17" s="79"/>
      <c r="J17" s="85" t="s">
        <v>3310</v>
      </c>
      <c r="K17" s="85" t="s">
        <v>3330</v>
      </c>
      <c r="L17" s="84" t="s">
        <v>3355</v>
      </c>
      <c r="M17" s="84" t="s">
        <v>3387</v>
      </c>
      <c r="N17" s="84" t="s">
        <v>3427</v>
      </c>
      <c r="O17" s="84" t="s">
        <v>3489</v>
      </c>
      <c r="P17" s="84" t="s">
        <v>3533</v>
      </c>
      <c r="Q17" s="84" t="s">
        <v>3576</v>
      </c>
      <c r="R17" s="84" t="s">
        <v>3626</v>
      </c>
      <c r="S17" s="84" t="s">
        <v>3657</v>
      </c>
    </row>
    <row r="18" spans="1:19" ht="14.25" customHeight="1">
      <c r="A18" s="84" t="s">
        <v>241</v>
      </c>
      <c r="B18" s="85" t="s">
        <v>3303</v>
      </c>
      <c r="C18" s="84">
        <v>26840</v>
      </c>
      <c r="D18" s="84">
        <v>28930</v>
      </c>
      <c r="E18" s="84">
        <v>28820</v>
      </c>
      <c r="F18" s="84"/>
      <c r="G18" s="84">
        <v>21050</v>
      </c>
      <c r="H18" s="79"/>
      <c r="J18" s="85" t="s">
        <v>3311</v>
      </c>
      <c r="K18" s="85" t="s">
        <v>3331</v>
      </c>
      <c r="L18" s="84" t="s">
        <v>3356</v>
      </c>
      <c r="M18" s="84" t="s">
        <v>3388</v>
      </c>
      <c r="N18" s="84" t="s">
        <v>3428</v>
      </c>
      <c r="O18" s="84" t="s">
        <v>3490</v>
      </c>
      <c r="P18" s="84" t="s">
        <v>3534</v>
      </c>
      <c r="Q18" s="84" t="s">
        <v>3577</v>
      </c>
      <c r="R18" s="84" t="s">
        <v>3627</v>
      </c>
      <c r="S18" s="84" t="s">
        <v>3658</v>
      </c>
    </row>
    <row r="19" spans="1:19" ht="14.25" customHeight="1">
      <c r="A19" s="84" t="s">
        <v>241</v>
      </c>
      <c r="B19" s="85" t="s">
        <v>3304</v>
      </c>
      <c r="C19" s="84">
        <v>27750</v>
      </c>
      <c r="D19" s="84">
        <v>26680</v>
      </c>
      <c r="E19" s="84">
        <v>26590</v>
      </c>
      <c r="F19" s="84"/>
      <c r="G19" s="84">
        <v>19420</v>
      </c>
      <c r="H19" s="79"/>
      <c r="J19" s="85" t="s">
        <v>3312</v>
      </c>
      <c r="K19" s="85" t="s">
        <v>3332</v>
      </c>
      <c r="L19" s="84" t="s">
        <v>3357</v>
      </c>
      <c r="M19" s="84" t="s">
        <v>3389</v>
      </c>
      <c r="N19" s="84" t="s">
        <v>3429</v>
      </c>
      <c r="O19" s="84" t="s">
        <v>3491</v>
      </c>
      <c r="P19" s="84" t="s">
        <v>3535</v>
      </c>
      <c r="Q19" s="84" t="s">
        <v>3578</v>
      </c>
      <c r="R19" s="84" t="s">
        <v>3628</v>
      </c>
      <c r="S19" s="84" t="s">
        <v>3659</v>
      </c>
    </row>
    <row r="20" spans="1:19" ht="14.25" customHeight="1">
      <c r="A20" s="84" t="s">
        <v>241</v>
      </c>
      <c r="B20" s="85" t="s">
        <v>3305</v>
      </c>
      <c r="C20" s="84">
        <v>27050</v>
      </c>
      <c r="D20" s="84">
        <v>29010</v>
      </c>
      <c r="E20" s="84">
        <v>28910</v>
      </c>
      <c r="F20" s="84"/>
      <c r="G20" s="84">
        <v>21110</v>
      </c>
      <c r="J20" s="85" t="s">
        <v>3313</v>
      </c>
      <c r="K20" s="85" t="s">
        <v>3333</v>
      </c>
      <c r="L20" s="84" t="s">
        <v>3358</v>
      </c>
      <c r="M20" s="84" t="s">
        <v>3390</v>
      </c>
      <c r="N20" s="84" t="s">
        <v>3430</v>
      </c>
      <c r="O20" s="84" t="s">
        <v>3492</v>
      </c>
      <c r="P20" s="84" t="s">
        <v>3536</v>
      </c>
      <c r="Q20" s="84" t="s">
        <v>3579</v>
      </c>
      <c r="R20" s="84" t="s">
        <v>3629</v>
      </c>
      <c r="S20" s="84" t="s">
        <v>3660</v>
      </c>
    </row>
    <row r="21" spans="1:19" ht="14.25" customHeight="1">
      <c r="A21" s="84" t="s">
        <v>241</v>
      </c>
      <c r="B21" s="85" t="s">
        <v>3306</v>
      </c>
      <c r="C21" s="84">
        <v>32370</v>
      </c>
      <c r="D21" s="84">
        <v>26730</v>
      </c>
      <c r="E21" s="84">
        <v>26640</v>
      </c>
      <c r="F21" s="84"/>
      <c r="G21" s="84">
        <v>19440</v>
      </c>
      <c r="J21" s="88" t="s">
        <v>3314</v>
      </c>
      <c r="K21" s="85" t="s">
        <v>3334</v>
      </c>
      <c r="L21" s="84" t="s">
        <v>3359</v>
      </c>
      <c r="M21" s="84" t="s">
        <v>3391</v>
      </c>
      <c r="N21" s="84" t="s">
        <v>3431</v>
      </c>
      <c r="O21" s="84" t="s">
        <v>3493</v>
      </c>
      <c r="P21" s="84" t="s">
        <v>3537</v>
      </c>
      <c r="Q21" s="84" t="s">
        <v>3580</v>
      </c>
      <c r="R21" s="84" t="s">
        <v>3630</v>
      </c>
      <c r="S21" s="88" t="s">
        <v>3661</v>
      </c>
    </row>
    <row r="22" spans="1:19" ht="14.25" customHeight="1">
      <c r="A22" s="84" t="s">
        <v>241</v>
      </c>
      <c r="B22" s="85" t="s">
        <v>3307</v>
      </c>
      <c r="C22" s="84">
        <v>29830</v>
      </c>
      <c r="D22" s="84">
        <v>27600</v>
      </c>
      <c r="E22" s="84">
        <v>28150</v>
      </c>
      <c r="F22" s="84"/>
      <c r="G22" s="84">
        <v>20080</v>
      </c>
      <c r="K22" s="85" t="s">
        <v>3335</v>
      </c>
      <c r="L22" s="84" t="s">
        <v>3360</v>
      </c>
      <c r="M22" s="84" t="s">
        <v>3392</v>
      </c>
      <c r="N22" s="84" t="s">
        <v>3432</v>
      </c>
      <c r="O22" s="84" t="s">
        <v>3494</v>
      </c>
      <c r="P22" s="84" t="s">
        <v>3538</v>
      </c>
      <c r="Q22" s="84" t="s">
        <v>3581</v>
      </c>
      <c r="R22" s="84" t="s">
        <v>3631</v>
      </c>
    </row>
    <row r="23" spans="1:19" ht="14.25" customHeight="1">
      <c r="A23" s="84" t="s">
        <v>241</v>
      </c>
      <c r="B23" s="85" t="s">
        <v>3308</v>
      </c>
      <c r="C23" s="84">
        <v>27800</v>
      </c>
      <c r="D23" s="84">
        <v>26900</v>
      </c>
      <c r="E23" s="84">
        <v>27170</v>
      </c>
      <c r="F23" s="84"/>
      <c r="G23" s="84">
        <v>19570</v>
      </c>
      <c r="K23" s="85" t="s">
        <v>3336</v>
      </c>
      <c r="L23" s="84" t="s">
        <v>3361</v>
      </c>
      <c r="M23" s="84" t="s">
        <v>3393</v>
      </c>
      <c r="N23" s="84" t="s">
        <v>3433</v>
      </c>
      <c r="O23" s="84" t="s">
        <v>3495</v>
      </c>
      <c r="P23" s="84" t="s">
        <v>3539</v>
      </c>
      <c r="Q23" s="84" t="s">
        <v>3582</v>
      </c>
      <c r="R23" s="84" t="s">
        <v>3632</v>
      </c>
    </row>
    <row r="24" spans="1:19" ht="14.25" customHeight="1">
      <c r="A24" s="84" t="s">
        <v>241</v>
      </c>
      <c r="B24" s="85" t="s">
        <v>3309</v>
      </c>
      <c r="C24" s="84">
        <v>27930</v>
      </c>
      <c r="D24" s="84">
        <v>32260</v>
      </c>
      <c r="E24" s="84">
        <v>32120</v>
      </c>
      <c r="F24" s="84"/>
      <c r="G24" s="84">
        <v>23470</v>
      </c>
      <c r="K24" s="85" t="s">
        <v>3337</v>
      </c>
      <c r="L24" s="84" t="s">
        <v>3362</v>
      </c>
      <c r="M24" s="84" t="s">
        <v>3394</v>
      </c>
      <c r="N24" s="84" t="s">
        <v>3434</v>
      </c>
      <c r="O24" s="84" t="s">
        <v>3496</v>
      </c>
      <c r="P24" s="84" t="s">
        <v>3540</v>
      </c>
      <c r="Q24" s="98" t="s">
        <v>3583</v>
      </c>
      <c r="R24" s="84" t="s">
        <v>3633</v>
      </c>
    </row>
    <row r="25" spans="1:19" ht="14.25" customHeight="1">
      <c r="A25" s="84" t="s">
        <v>241</v>
      </c>
      <c r="B25" s="85" t="s">
        <v>3310</v>
      </c>
      <c r="C25" s="84">
        <v>32230</v>
      </c>
      <c r="D25" s="84">
        <v>29640</v>
      </c>
      <c r="E25" s="84">
        <v>29510</v>
      </c>
      <c r="F25" s="84"/>
      <c r="G25" s="84">
        <v>21560</v>
      </c>
      <c r="K25" s="85" t="s">
        <v>3338</v>
      </c>
      <c r="L25" s="84" t="s">
        <v>3363</v>
      </c>
      <c r="M25" s="84" t="s">
        <v>3395</v>
      </c>
      <c r="N25" s="84" t="s">
        <v>3435</v>
      </c>
      <c r="O25" s="84" t="s">
        <v>3497</v>
      </c>
      <c r="P25" s="84" t="s">
        <v>3541</v>
      </c>
      <c r="Q25" s="98" t="s">
        <v>3584</v>
      </c>
      <c r="R25" s="84" t="s">
        <v>3634</v>
      </c>
    </row>
    <row r="26" spans="1:19" ht="14.25" customHeight="1">
      <c r="A26" s="84" t="s">
        <v>241</v>
      </c>
      <c r="B26" s="85" t="s">
        <v>3311</v>
      </c>
      <c r="C26" s="84">
        <v>31690</v>
      </c>
      <c r="D26" s="84">
        <v>27650</v>
      </c>
      <c r="E26" s="84">
        <v>28200</v>
      </c>
      <c r="F26" s="84"/>
      <c r="G26" s="84">
        <v>20110</v>
      </c>
      <c r="K26" s="87" t="s">
        <v>3339</v>
      </c>
      <c r="L26" s="84" t="s">
        <v>3364</v>
      </c>
      <c r="M26" s="84" t="s">
        <v>3396</v>
      </c>
      <c r="N26" s="84" t="s">
        <v>3436</v>
      </c>
      <c r="O26" s="84" t="s">
        <v>3498</v>
      </c>
      <c r="P26" s="84" t="s">
        <v>3542</v>
      </c>
      <c r="Q26" s="98" t="s">
        <v>3585</v>
      </c>
      <c r="R26" s="84" t="s">
        <v>3635</v>
      </c>
    </row>
    <row r="27" spans="1:19" ht="14.25" customHeight="1">
      <c r="A27" s="84" t="s">
        <v>241</v>
      </c>
      <c r="B27" s="85" t="s">
        <v>3312</v>
      </c>
      <c r="C27" s="84">
        <v>29610</v>
      </c>
      <c r="D27" s="84">
        <v>27770</v>
      </c>
      <c r="E27" s="84">
        <v>28300</v>
      </c>
      <c r="F27" s="84"/>
      <c r="G27" s="84">
        <v>20210</v>
      </c>
      <c r="L27" s="84" t="s">
        <v>3365</v>
      </c>
      <c r="M27" s="84" t="s">
        <v>3397</v>
      </c>
      <c r="N27" s="84" t="s">
        <v>3437</v>
      </c>
      <c r="O27" s="84" t="s">
        <v>3499</v>
      </c>
      <c r="P27" s="84" t="s">
        <v>3543</v>
      </c>
      <c r="Q27" s="84" t="s">
        <v>3586</v>
      </c>
      <c r="R27" s="84" t="s">
        <v>3636</v>
      </c>
    </row>
    <row r="28" spans="1:19" ht="14.25" customHeight="1">
      <c r="A28" s="84" t="s">
        <v>241</v>
      </c>
      <c r="B28" s="85" t="s">
        <v>3313</v>
      </c>
      <c r="C28" s="84"/>
      <c r="D28" s="84">
        <v>31520</v>
      </c>
      <c r="E28" s="84">
        <v>31410</v>
      </c>
      <c r="F28" s="84"/>
      <c r="G28" s="84">
        <v>22940</v>
      </c>
      <c r="L28" s="84" t="s">
        <v>3366</v>
      </c>
      <c r="M28" s="84" t="s">
        <v>3398</v>
      </c>
      <c r="N28" s="84" t="s">
        <v>3438</v>
      </c>
      <c r="O28" s="84" t="s">
        <v>3500</v>
      </c>
      <c r="P28" s="84" t="s">
        <v>3544</v>
      </c>
      <c r="Q28" s="84" t="s">
        <v>3587</v>
      </c>
      <c r="R28" s="84" t="s">
        <v>3637</v>
      </c>
    </row>
    <row r="29" spans="1:19" ht="14.25" customHeight="1">
      <c r="A29" s="86" t="s">
        <v>241</v>
      </c>
      <c r="B29" s="89" t="s">
        <v>3314</v>
      </c>
      <c r="C29" s="90"/>
      <c r="D29" s="90">
        <v>29460</v>
      </c>
      <c r="E29" s="90">
        <v>28640</v>
      </c>
      <c r="F29" s="90"/>
      <c r="G29" s="90">
        <v>21430</v>
      </c>
      <c r="L29" s="84" t="s">
        <v>3367</v>
      </c>
      <c r="M29" s="84" t="s">
        <v>3399</v>
      </c>
      <c r="N29" s="84" t="s">
        <v>3439</v>
      </c>
      <c r="O29" s="84" t="s">
        <v>3501</v>
      </c>
      <c r="P29" s="84" t="s">
        <v>3545</v>
      </c>
      <c r="Q29" s="84" t="s">
        <v>3588</v>
      </c>
      <c r="R29" s="84" t="s">
        <v>3638</v>
      </c>
    </row>
    <row r="30" spans="1:19" ht="14.25" customHeight="1">
      <c r="A30" s="82" t="s">
        <v>251</v>
      </c>
      <c r="B30" s="83" t="s">
        <v>3315</v>
      </c>
      <c r="C30" s="83">
        <v>26890</v>
      </c>
      <c r="D30" s="83">
        <v>26770</v>
      </c>
      <c r="E30" s="83">
        <v>25700</v>
      </c>
      <c r="F30" s="83">
        <v>8180</v>
      </c>
      <c r="G30" s="91">
        <v>18740</v>
      </c>
      <c r="L30" s="84" t="s">
        <v>3368</v>
      </c>
      <c r="M30" s="84" t="s">
        <v>3400</v>
      </c>
      <c r="N30" s="84" t="s">
        <v>3440</v>
      </c>
      <c r="O30" s="84" t="s">
        <v>3502</v>
      </c>
      <c r="P30" s="84" t="s">
        <v>3546</v>
      </c>
      <c r="Q30" s="84" t="s">
        <v>3589</v>
      </c>
      <c r="R30" s="84" t="s">
        <v>3639</v>
      </c>
    </row>
    <row r="31" spans="1:19" ht="14.25" customHeight="1">
      <c r="A31" s="84" t="s">
        <v>251</v>
      </c>
      <c r="B31" s="85" t="s">
        <v>3316</v>
      </c>
      <c r="C31" s="84">
        <v>24550</v>
      </c>
      <c r="D31" s="84">
        <v>23990</v>
      </c>
      <c r="E31" s="84">
        <v>22930</v>
      </c>
      <c r="F31" s="84">
        <v>7470</v>
      </c>
      <c r="G31" s="92">
        <v>16790</v>
      </c>
      <c r="L31" s="84" t="s">
        <v>3369</v>
      </c>
      <c r="M31" s="84" t="s">
        <v>3401</v>
      </c>
      <c r="N31" s="84" t="s">
        <v>3441</v>
      </c>
      <c r="O31" s="84" t="s">
        <v>3503</v>
      </c>
      <c r="P31" s="84" t="s">
        <v>3547</v>
      </c>
      <c r="Q31" s="84" t="s">
        <v>3590</v>
      </c>
      <c r="R31" s="84" t="s">
        <v>3640</v>
      </c>
    </row>
    <row r="32" spans="1:19" ht="14.25" customHeight="1">
      <c r="A32" s="84" t="s">
        <v>251</v>
      </c>
      <c r="B32" s="85" t="s">
        <v>3317</v>
      </c>
      <c r="C32" s="84">
        <v>27210</v>
      </c>
      <c r="D32" s="84">
        <v>23240</v>
      </c>
      <c r="E32" s="84">
        <v>23260</v>
      </c>
      <c r="F32" s="84">
        <v>7130</v>
      </c>
      <c r="G32" s="92">
        <v>16270</v>
      </c>
      <c r="L32" s="84" t="s">
        <v>3370</v>
      </c>
      <c r="M32" s="84" t="s">
        <v>3402</v>
      </c>
      <c r="N32" s="84" t="s">
        <v>3442</v>
      </c>
      <c r="O32" s="84" t="s">
        <v>3504</v>
      </c>
      <c r="P32" s="84" t="s">
        <v>3548</v>
      </c>
      <c r="Q32" s="84" t="s">
        <v>3591</v>
      </c>
      <c r="R32" s="88" t="s">
        <v>3641</v>
      </c>
    </row>
    <row r="33" spans="1:17" ht="14.25" customHeight="1">
      <c r="A33" s="84" t="s">
        <v>251</v>
      </c>
      <c r="B33" s="85" t="s">
        <v>3318</v>
      </c>
      <c r="C33" s="84">
        <v>27300</v>
      </c>
      <c r="D33" s="84">
        <v>22980</v>
      </c>
      <c r="E33" s="84">
        <v>24260</v>
      </c>
      <c r="F33" s="84">
        <v>5860</v>
      </c>
      <c r="G33" s="92">
        <v>16090</v>
      </c>
      <c r="L33" s="88" t="s">
        <v>3371</v>
      </c>
      <c r="M33" s="84" t="s">
        <v>3403</v>
      </c>
      <c r="N33" s="84" t="s">
        <v>3443</v>
      </c>
      <c r="O33" s="84" t="s">
        <v>3505</v>
      </c>
      <c r="P33" s="84" t="s">
        <v>3549</v>
      </c>
      <c r="Q33" s="84" t="s">
        <v>3592</v>
      </c>
    </row>
    <row r="34" spans="1:17" ht="14.25" customHeight="1">
      <c r="A34" s="84" t="s">
        <v>251</v>
      </c>
      <c r="B34" s="85" t="s">
        <v>3319</v>
      </c>
      <c r="C34" s="84">
        <v>23090</v>
      </c>
      <c r="D34" s="84">
        <v>23390</v>
      </c>
      <c r="E34" s="84">
        <v>23510</v>
      </c>
      <c r="F34" s="84">
        <v>6700</v>
      </c>
      <c r="G34" s="92">
        <v>16370</v>
      </c>
      <c r="M34" s="84" t="s">
        <v>3404</v>
      </c>
      <c r="N34" s="84" t="s">
        <v>3444</v>
      </c>
      <c r="O34" s="84" t="s">
        <v>3506</v>
      </c>
      <c r="P34" s="84" t="s">
        <v>3550</v>
      </c>
      <c r="Q34" s="84" t="s">
        <v>3593</v>
      </c>
    </row>
    <row r="35" spans="1:17" ht="14.25" customHeight="1">
      <c r="A35" s="84" t="s">
        <v>251</v>
      </c>
      <c r="B35" s="85" t="s">
        <v>3320</v>
      </c>
      <c r="C35" s="84">
        <v>27270</v>
      </c>
      <c r="D35" s="84">
        <v>24270</v>
      </c>
      <c r="E35" s="84">
        <v>24950</v>
      </c>
      <c r="F35" s="84">
        <v>6600</v>
      </c>
      <c r="G35" s="92">
        <v>16990</v>
      </c>
      <c r="M35" s="84" t="s">
        <v>3405</v>
      </c>
      <c r="N35" s="84" t="s">
        <v>511</v>
      </c>
      <c r="O35" s="84" t="s">
        <v>3507</v>
      </c>
      <c r="P35" s="84" t="s">
        <v>3551</v>
      </c>
      <c r="Q35" s="84" t="s">
        <v>3594</v>
      </c>
    </row>
    <row r="36" spans="1:17" ht="14.25" customHeight="1">
      <c r="A36" s="84" t="s">
        <v>251</v>
      </c>
      <c r="B36" s="85" t="s">
        <v>3321</v>
      </c>
      <c r="C36" s="84">
        <v>23490</v>
      </c>
      <c r="D36" s="84">
        <v>23020</v>
      </c>
      <c r="E36" s="84">
        <v>25230</v>
      </c>
      <c r="F36" s="84">
        <v>6780</v>
      </c>
      <c r="G36" s="92">
        <v>16120</v>
      </c>
      <c r="M36" s="84" t="s">
        <v>3406</v>
      </c>
      <c r="N36" s="84" t="s">
        <v>3445</v>
      </c>
      <c r="O36" s="84" t="s">
        <v>3508</v>
      </c>
      <c r="P36" s="84" t="s">
        <v>3552</v>
      </c>
      <c r="Q36" s="84" t="s">
        <v>3595</v>
      </c>
    </row>
    <row r="37" spans="1:17" ht="14.25" customHeight="1">
      <c r="A37" s="84" t="s">
        <v>251</v>
      </c>
      <c r="B37" s="85" t="s">
        <v>3322</v>
      </c>
      <c r="C37" s="84">
        <v>24380</v>
      </c>
      <c r="D37" s="84">
        <v>22240</v>
      </c>
      <c r="E37" s="84">
        <v>25980</v>
      </c>
      <c r="F37" s="84">
        <v>8160</v>
      </c>
      <c r="G37" s="92">
        <v>15570</v>
      </c>
      <c r="M37" s="84" t="s">
        <v>3407</v>
      </c>
      <c r="N37" s="84" t="s">
        <v>3446</v>
      </c>
      <c r="O37" s="84" t="s">
        <v>3509</v>
      </c>
      <c r="P37" s="84" t="s">
        <v>3553</v>
      </c>
      <c r="Q37" s="84" t="s">
        <v>3596</v>
      </c>
    </row>
    <row r="38" spans="1:17" ht="14.25" customHeight="1">
      <c r="A38" s="84" t="s">
        <v>251</v>
      </c>
      <c r="B38" s="85" t="s">
        <v>3323</v>
      </c>
      <c r="C38" s="84">
        <v>23120</v>
      </c>
      <c r="D38" s="84">
        <v>24630</v>
      </c>
      <c r="E38" s="84">
        <v>25030</v>
      </c>
      <c r="F38" s="84">
        <v>7710</v>
      </c>
      <c r="G38" s="92">
        <v>17240</v>
      </c>
      <c r="M38" s="84" t="s">
        <v>3408</v>
      </c>
      <c r="N38" s="84" t="s">
        <v>3447</v>
      </c>
      <c r="O38" s="84" t="s">
        <v>3510</v>
      </c>
      <c r="P38" s="84" t="s">
        <v>3554</v>
      </c>
      <c r="Q38" s="84" t="s">
        <v>3597</v>
      </c>
    </row>
    <row r="39" spans="1:17" ht="14.25" customHeight="1">
      <c r="A39" s="84" t="s">
        <v>251</v>
      </c>
      <c r="B39" s="85" t="s">
        <v>3324</v>
      </c>
      <c r="C39" s="84">
        <v>22330</v>
      </c>
      <c r="D39" s="84">
        <v>21140</v>
      </c>
      <c r="E39" s="84">
        <v>23970</v>
      </c>
      <c r="F39" s="84">
        <v>7940</v>
      </c>
      <c r="G39" s="92">
        <v>14790</v>
      </c>
      <c r="M39" s="84" t="s">
        <v>3409</v>
      </c>
      <c r="N39" s="84" t="s">
        <v>3448</v>
      </c>
      <c r="O39" s="84" t="s">
        <v>3798</v>
      </c>
      <c r="P39" s="84" t="s">
        <v>3555</v>
      </c>
      <c r="Q39" s="84" t="s">
        <v>3598</v>
      </c>
    </row>
    <row r="40" spans="1:17" ht="14.25" customHeight="1">
      <c r="A40" s="84" t="s">
        <v>251</v>
      </c>
      <c r="B40" s="85" t="s">
        <v>3325</v>
      </c>
      <c r="C40" s="84">
        <v>24740</v>
      </c>
      <c r="D40" s="84">
        <v>24690</v>
      </c>
      <c r="E40" s="84">
        <v>22610</v>
      </c>
      <c r="F40" s="84"/>
      <c r="G40" s="92">
        <v>17280</v>
      </c>
      <c r="M40" s="84" t="s">
        <v>3410</v>
      </c>
      <c r="N40" s="84" t="s">
        <v>3449</v>
      </c>
      <c r="O40" s="84" t="s">
        <v>3799</v>
      </c>
      <c r="P40" s="84" t="s">
        <v>3556</v>
      </c>
      <c r="Q40" s="84" t="s">
        <v>3599</v>
      </c>
    </row>
    <row r="41" spans="1:17" ht="14.25" customHeight="1">
      <c r="A41" s="84" t="s">
        <v>251</v>
      </c>
      <c r="B41" s="85" t="s">
        <v>3326</v>
      </c>
      <c r="C41" s="84">
        <v>21220</v>
      </c>
      <c r="D41" s="84">
        <v>21120</v>
      </c>
      <c r="E41" s="84">
        <v>22590</v>
      </c>
      <c r="F41" s="84"/>
      <c r="G41" s="92">
        <v>14780</v>
      </c>
      <c r="M41" s="88" t="s">
        <v>3411</v>
      </c>
      <c r="N41" s="84" t="s">
        <v>3450</v>
      </c>
      <c r="O41" s="84" t="s">
        <v>3800</v>
      </c>
      <c r="P41" s="84" t="s">
        <v>3557</v>
      </c>
      <c r="Q41" s="84" t="s">
        <v>3600</v>
      </c>
    </row>
    <row r="42" spans="1:17" ht="14.25" customHeight="1">
      <c r="A42" s="84" t="s">
        <v>251</v>
      </c>
      <c r="B42" s="85" t="s">
        <v>3327</v>
      </c>
      <c r="C42" s="84">
        <v>24800</v>
      </c>
      <c r="D42" s="84">
        <v>22280</v>
      </c>
      <c r="E42" s="84">
        <v>24350</v>
      </c>
      <c r="F42" s="84"/>
      <c r="G42" s="92">
        <v>15590</v>
      </c>
      <c r="N42" s="84" t="s">
        <v>3451</v>
      </c>
      <c r="O42" s="84" t="s">
        <v>3514</v>
      </c>
      <c r="P42" s="84" t="s">
        <v>3558</v>
      </c>
      <c r="Q42" s="84" t="s">
        <v>3601</v>
      </c>
    </row>
    <row r="43" spans="1:17" ht="14.25" customHeight="1">
      <c r="A43" s="84" t="s">
        <v>251</v>
      </c>
      <c r="B43" s="85" t="s">
        <v>3328</v>
      </c>
      <c r="C43" s="84">
        <v>21210</v>
      </c>
      <c r="D43" s="84">
        <v>21160</v>
      </c>
      <c r="E43" s="84">
        <v>22650</v>
      </c>
      <c r="F43" s="84"/>
      <c r="G43" s="92">
        <v>14800</v>
      </c>
      <c r="N43" s="84" t="s">
        <v>3452</v>
      </c>
      <c r="O43" s="84" t="s">
        <v>3515</v>
      </c>
      <c r="P43" s="84" t="s">
        <v>3559</v>
      </c>
      <c r="Q43" s="84" t="s">
        <v>3602</v>
      </c>
    </row>
    <row r="44" spans="1:17" ht="14.25" customHeight="1">
      <c r="A44" s="84" t="s">
        <v>251</v>
      </c>
      <c r="B44" s="85" t="s">
        <v>3329</v>
      </c>
      <c r="C44" s="84">
        <v>22370</v>
      </c>
      <c r="D44" s="84">
        <v>23140</v>
      </c>
      <c r="E44" s="84">
        <v>25090</v>
      </c>
      <c r="F44" s="84"/>
      <c r="G44" s="92">
        <v>16190</v>
      </c>
      <c r="N44" s="84" t="s">
        <v>3453</v>
      </c>
      <c r="O44" s="84" t="s">
        <v>3801</v>
      </c>
      <c r="P44" s="88" t="s">
        <v>3560</v>
      </c>
      <c r="Q44" s="84" t="s">
        <v>3603</v>
      </c>
    </row>
    <row r="45" spans="1:17" ht="14.25" customHeight="1">
      <c r="A45" s="84" t="s">
        <v>251</v>
      </c>
      <c r="B45" s="85" t="s">
        <v>3330</v>
      </c>
      <c r="C45" s="84">
        <v>21240</v>
      </c>
      <c r="D45" s="84">
        <v>27050</v>
      </c>
      <c r="E45" s="84">
        <v>28000</v>
      </c>
      <c r="F45" s="84"/>
      <c r="G45" s="92">
        <v>18940</v>
      </c>
      <c r="N45" s="84" t="s">
        <v>3454</v>
      </c>
      <c r="O45" s="88" t="s">
        <v>3517</v>
      </c>
      <c r="Q45" s="84" t="s">
        <v>3604</v>
      </c>
    </row>
    <row r="46" spans="1:17" ht="14.25" customHeight="1">
      <c r="A46" s="84" t="s">
        <v>251</v>
      </c>
      <c r="B46" s="85" t="s">
        <v>3331</v>
      </c>
      <c r="C46" s="84">
        <v>23240</v>
      </c>
      <c r="D46" s="84">
        <v>23000</v>
      </c>
      <c r="E46" s="84">
        <v>24980</v>
      </c>
      <c r="F46" s="84"/>
      <c r="G46" s="92">
        <v>16100</v>
      </c>
      <c r="N46" s="84" t="s">
        <v>3455</v>
      </c>
      <c r="Q46" s="84" t="s">
        <v>3605</v>
      </c>
    </row>
    <row r="47" spans="1:17" ht="14.25" customHeight="1">
      <c r="A47" s="84" t="s">
        <v>251</v>
      </c>
      <c r="B47" s="85" t="s">
        <v>3332</v>
      </c>
      <c r="C47" s="84">
        <v>27150</v>
      </c>
      <c r="D47" s="84">
        <v>23310</v>
      </c>
      <c r="E47" s="84">
        <v>25150</v>
      </c>
      <c r="F47" s="84"/>
      <c r="G47" s="92">
        <v>16310</v>
      </c>
      <c r="N47" s="84" t="s">
        <v>3456</v>
      </c>
      <c r="Q47" s="84" t="s">
        <v>3606</v>
      </c>
    </row>
    <row r="48" spans="1:17" ht="14.25" customHeight="1">
      <c r="A48" s="84" t="s">
        <v>251</v>
      </c>
      <c r="B48" s="85" t="s">
        <v>3333</v>
      </c>
      <c r="C48" s="84">
        <v>23100</v>
      </c>
      <c r="D48" s="84">
        <v>21110</v>
      </c>
      <c r="E48" s="84">
        <v>23080</v>
      </c>
      <c r="F48" s="84"/>
      <c r="G48" s="92">
        <v>14780</v>
      </c>
      <c r="N48" s="84" t="s">
        <v>3457</v>
      </c>
      <c r="Q48" s="84" t="s">
        <v>3607</v>
      </c>
    </row>
    <row r="49" spans="1:17" ht="14.25" customHeight="1">
      <c r="A49" s="84" t="s">
        <v>251</v>
      </c>
      <c r="B49" s="85" t="s">
        <v>3334</v>
      </c>
      <c r="C49" s="84">
        <v>23400</v>
      </c>
      <c r="D49" s="84">
        <v>22920</v>
      </c>
      <c r="E49" s="84">
        <v>24900</v>
      </c>
      <c r="F49" s="84"/>
      <c r="G49" s="92">
        <v>16040</v>
      </c>
      <c r="N49" s="84" t="s">
        <v>3458</v>
      </c>
      <c r="Q49" s="84" t="s">
        <v>3608</v>
      </c>
    </row>
    <row r="50" spans="1:17" ht="14.25" customHeight="1">
      <c r="A50" s="84" t="s">
        <v>251</v>
      </c>
      <c r="B50" s="85" t="s">
        <v>3335</v>
      </c>
      <c r="C50" s="84">
        <v>21200</v>
      </c>
      <c r="D50" s="84">
        <v>26540</v>
      </c>
      <c r="E50" s="84">
        <v>23200</v>
      </c>
      <c r="F50" s="84"/>
      <c r="G50" s="92">
        <v>18580</v>
      </c>
      <c r="N50" s="84" t="s">
        <v>3459</v>
      </c>
      <c r="Q50" s="85" t="s">
        <v>3609</v>
      </c>
    </row>
    <row r="51" spans="1:17" ht="14.25" customHeight="1">
      <c r="A51" s="84" t="s">
        <v>251</v>
      </c>
      <c r="B51" s="85" t="s">
        <v>3336</v>
      </c>
      <c r="C51" s="84">
        <v>23000</v>
      </c>
      <c r="D51" s="84">
        <v>23460</v>
      </c>
      <c r="E51" s="84">
        <v>25290</v>
      </c>
      <c r="F51" s="84"/>
      <c r="G51" s="92">
        <v>16420</v>
      </c>
      <c r="N51" s="84" t="s">
        <v>3460</v>
      </c>
      <c r="Q51" s="88" t="s">
        <v>3610</v>
      </c>
    </row>
    <row r="52" spans="1:17" ht="14.25" customHeight="1">
      <c r="A52" s="84" t="s">
        <v>251</v>
      </c>
      <c r="B52" s="85" t="s">
        <v>3337</v>
      </c>
      <c r="C52" s="84">
        <v>26660</v>
      </c>
      <c r="D52" s="84">
        <v>22350</v>
      </c>
      <c r="E52" s="84">
        <v>22920</v>
      </c>
      <c r="F52" s="84"/>
      <c r="G52" s="92">
        <v>15640</v>
      </c>
      <c r="N52" s="84" t="s">
        <v>3461</v>
      </c>
    </row>
    <row r="53" spans="1:17" ht="14.25" customHeight="1">
      <c r="A53" s="84" t="s">
        <v>251</v>
      </c>
      <c r="B53" s="85" t="s">
        <v>3338</v>
      </c>
      <c r="C53" s="84">
        <v>23580</v>
      </c>
      <c r="D53" s="84"/>
      <c r="E53" s="84">
        <v>24280</v>
      </c>
      <c r="F53" s="84"/>
      <c r="G53" s="92"/>
      <c r="N53" s="84" t="s">
        <v>3462</v>
      </c>
    </row>
    <row r="54" spans="1:17" ht="14.25" customHeight="1">
      <c r="A54" s="93" t="s">
        <v>251</v>
      </c>
      <c r="B54" s="87" t="s">
        <v>3339</v>
      </c>
      <c r="C54" s="88">
        <v>22460</v>
      </c>
      <c r="D54" s="88"/>
      <c r="E54" s="88"/>
      <c r="F54" s="88"/>
      <c r="G54" s="94"/>
      <c r="N54" s="84" t="s">
        <v>3463</v>
      </c>
    </row>
    <row r="55" spans="1:17" ht="14.25" customHeight="1">
      <c r="A55" s="82" t="s">
        <v>259</v>
      </c>
      <c r="B55" s="83" t="s">
        <v>3340</v>
      </c>
      <c r="C55" s="84">
        <v>21970</v>
      </c>
      <c r="D55" s="84">
        <v>20370</v>
      </c>
      <c r="E55" s="84">
        <v>20180</v>
      </c>
      <c r="F55" s="84">
        <v>5730</v>
      </c>
      <c r="G55" s="84">
        <v>13820</v>
      </c>
      <c r="N55" s="84" t="s">
        <v>3464</v>
      </c>
    </row>
    <row r="56" spans="1:17" ht="14.25" customHeight="1">
      <c r="A56" s="84" t="s">
        <v>259</v>
      </c>
      <c r="B56" s="84" t="s">
        <v>3341</v>
      </c>
      <c r="C56" s="84">
        <v>20470</v>
      </c>
      <c r="D56" s="84">
        <v>20700</v>
      </c>
      <c r="E56" s="84">
        <v>20380</v>
      </c>
      <c r="F56" s="84">
        <v>4760</v>
      </c>
      <c r="G56" s="84">
        <v>14050</v>
      </c>
      <c r="N56" s="84" t="s">
        <v>3465</v>
      </c>
    </row>
    <row r="57" spans="1:17" ht="14.25" customHeight="1">
      <c r="A57" s="84" t="s">
        <v>259</v>
      </c>
      <c r="B57" s="84" t="s">
        <v>3342</v>
      </c>
      <c r="C57" s="84">
        <v>20790</v>
      </c>
      <c r="D57" s="84">
        <v>21370</v>
      </c>
      <c r="E57" s="84">
        <v>20890</v>
      </c>
      <c r="F57" s="84">
        <v>4910</v>
      </c>
      <c r="G57" s="84">
        <v>14510</v>
      </c>
      <c r="N57" s="84" t="s">
        <v>3466</v>
      </c>
    </row>
    <row r="58" spans="1:17" ht="14.25" customHeight="1">
      <c r="A58" s="84" t="s">
        <v>259</v>
      </c>
      <c r="B58" s="84" t="s">
        <v>3343</v>
      </c>
      <c r="C58" s="84">
        <v>21460</v>
      </c>
      <c r="D58" s="84">
        <v>20920</v>
      </c>
      <c r="E58" s="84">
        <v>23410</v>
      </c>
      <c r="F58" s="84">
        <v>5100</v>
      </c>
      <c r="G58" s="84">
        <v>14200</v>
      </c>
      <c r="N58" s="84" t="s">
        <v>3467</v>
      </c>
    </row>
    <row r="59" spans="1:17" ht="14.25" customHeight="1">
      <c r="A59" s="84" t="s">
        <v>259</v>
      </c>
      <c r="B59" s="84" t="s">
        <v>3344</v>
      </c>
      <c r="C59" s="84">
        <v>21000</v>
      </c>
      <c r="D59" s="84">
        <v>21550</v>
      </c>
      <c r="E59" s="84">
        <v>21150</v>
      </c>
      <c r="F59" s="84">
        <v>5250</v>
      </c>
      <c r="G59" s="84">
        <v>14630</v>
      </c>
      <c r="N59" s="84" t="s">
        <v>3468</v>
      </c>
    </row>
    <row r="60" spans="1:17" ht="14.25" customHeight="1">
      <c r="A60" s="84" t="s">
        <v>259</v>
      </c>
      <c r="B60" s="84" t="s">
        <v>3345</v>
      </c>
      <c r="C60" s="84">
        <v>21640</v>
      </c>
      <c r="D60" s="84">
        <v>21260</v>
      </c>
      <c r="E60" s="84">
        <v>24040</v>
      </c>
      <c r="F60" s="84">
        <v>4470</v>
      </c>
      <c r="G60" s="84">
        <v>14430</v>
      </c>
      <c r="N60" s="84" t="s">
        <v>3469</v>
      </c>
    </row>
    <row r="61" spans="1:17" ht="14.25" customHeight="1">
      <c r="A61" s="84" t="s">
        <v>259</v>
      </c>
      <c r="B61" s="84" t="s">
        <v>3346</v>
      </c>
      <c r="C61" s="84">
        <v>21330</v>
      </c>
      <c r="D61" s="84">
        <v>18640</v>
      </c>
      <c r="E61" s="84">
        <v>21190</v>
      </c>
      <c r="F61" s="84">
        <v>4180</v>
      </c>
      <c r="G61" s="84">
        <v>12650</v>
      </c>
      <c r="N61" s="84" t="s">
        <v>3470</v>
      </c>
    </row>
    <row r="62" spans="1:17" ht="14.25" customHeight="1">
      <c r="A62" s="84" t="s">
        <v>259</v>
      </c>
      <c r="B62" s="84" t="s">
        <v>3347</v>
      </c>
      <c r="C62" s="84">
        <v>18710</v>
      </c>
      <c r="D62" s="84">
        <v>19400</v>
      </c>
      <c r="E62" s="84">
        <v>23750</v>
      </c>
      <c r="F62" s="84">
        <v>4860</v>
      </c>
      <c r="G62" s="84">
        <v>13170</v>
      </c>
      <c r="N62" s="84" t="s">
        <v>3471</v>
      </c>
    </row>
    <row r="63" spans="1:17" ht="14.25" customHeight="1">
      <c r="A63" s="84" t="s">
        <v>259</v>
      </c>
      <c r="B63" s="84" t="s">
        <v>3348</v>
      </c>
      <c r="C63" s="84">
        <v>19480</v>
      </c>
      <c r="D63" s="84">
        <v>16830</v>
      </c>
      <c r="E63" s="84">
        <v>21590</v>
      </c>
      <c r="F63" s="84">
        <v>4560</v>
      </c>
      <c r="G63" s="84">
        <v>11420</v>
      </c>
      <c r="N63" s="84" t="s">
        <v>3472</v>
      </c>
    </row>
    <row r="64" spans="1:17" ht="14.25" customHeight="1">
      <c r="A64" s="84" t="s">
        <v>259</v>
      </c>
      <c r="B64" s="84" t="s">
        <v>3349</v>
      </c>
      <c r="C64" s="84">
        <v>16920</v>
      </c>
      <c r="D64" s="84">
        <v>19190</v>
      </c>
      <c r="E64" s="84">
        <v>22200</v>
      </c>
      <c r="F64" s="84">
        <v>4390</v>
      </c>
      <c r="G64" s="84">
        <v>13030</v>
      </c>
      <c r="N64" s="88" t="s">
        <v>3473</v>
      </c>
    </row>
    <row r="65" spans="1:7" s="73" customFormat="1" ht="14.25" customHeight="1">
      <c r="A65" s="84" t="s">
        <v>259</v>
      </c>
      <c r="B65" s="84" t="s">
        <v>3350</v>
      </c>
      <c r="C65" s="84">
        <v>19290</v>
      </c>
      <c r="D65" s="84">
        <v>17020</v>
      </c>
      <c r="E65" s="84">
        <v>19880</v>
      </c>
      <c r="F65" s="84">
        <v>4070</v>
      </c>
      <c r="G65" s="84">
        <v>11550</v>
      </c>
    </row>
    <row r="66" spans="1:7" s="73" customFormat="1" ht="14.25" customHeight="1">
      <c r="A66" s="84" t="s">
        <v>259</v>
      </c>
      <c r="B66" s="84" t="s">
        <v>3351</v>
      </c>
      <c r="C66" s="84">
        <v>17090</v>
      </c>
      <c r="D66" s="84">
        <v>18340</v>
      </c>
      <c r="E66" s="84">
        <v>21830</v>
      </c>
      <c r="F66" s="84">
        <v>4690</v>
      </c>
      <c r="G66" s="84">
        <v>12450</v>
      </c>
    </row>
    <row r="67" spans="1:7" s="73" customFormat="1" ht="14.25" customHeight="1">
      <c r="A67" s="84" t="s">
        <v>259</v>
      </c>
      <c r="B67" s="84" t="s">
        <v>3352</v>
      </c>
      <c r="C67" s="84">
        <v>18420</v>
      </c>
      <c r="D67" s="84">
        <v>16360</v>
      </c>
      <c r="E67" s="84">
        <v>20020</v>
      </c>
      <c r="F67" s="84">
        <v>5150</v>
      </c>
      <c r="G67" s="84">
        <v>11110</v>
      </c>
    </row>
    <row r="68" spans="1:7" s="73" customFormat="1" ht="14.25" customHeight="1">
      <c r="A68" s="84" t="s">
        <v>259</v>
      </c>
      <c r="B68" s="84" t="s">
        <v>3353</v>
      </c>
      <c r="C68" s="84">
        <v>16450</v>
      </c>
      <c r="D68" s="84">
        <v>18430</v>
      </c>
      <c r="E68" s="84">
        <v>21010</v>
      </c>
      <c r="F68" s="84">
        <v>4720</v>
      </c>
      <c r="G68" s="84">
        <v>12510</v>
      </c>
    </row>
    <row r="69" spans="1:7" s="73" customFormat="1" ht="14.25" customHeight="1">
      <c r="A69" s="84" t="s">
        <v>259</v>
      </c>
      <c r="B69" s="84" t="s">
        <v>3354</v>
      </c>
      <c r="C69" s="84">
        <v>18510</v>
      </c>
      <c r="D69" s="84">
        <v>16300</v>
      </c>
      <c r="E69" s="84">
        <v>18830</v>
      </c>
      <c r="F69" s="84">
        <v>5400</v>
      </c>
      <c r="G69" s="84">
        <v>11070</v>
      </c>
    </row>
    <row r="70" spans="1:7" s="73" customFormat="1" ht="14.25" customHeight="1">
      <c r="A70" s="84" t="s">
        <v>259</v>
      </c>
      <c r="B70" s="84" t="s">
        <v>3355</v>
      </c>
      <c r="C70" s="84">
        <v>16370</v>
      </c>
      <c r="D70" s="84">
        <v>18620</v>
      </c>
      <c r="E70" s="84">
        <v>21100</v>
      </c>
      <c r="F70" s="84">
        <v>5700</v>
      </c>
      <c r="G70" s="84">
        <v>12640</v>
      </c>
    </row>
    <row r="71" spans="1:7" s="73" customFormat="1" ht="14.25" customHeight="1">
      <c r="A71" s="84" t="s">
        <v>259</v>
      </c>
      <c r="B71" s="84" t="s">
        <v>3356</v>
      </c>
      <c r="C71" s="84">
        <v>18700</v>
      </c>
      <c r="D71" s="84">
        <v>16290</v>
      </c>
      <c r="E71" s="84">
        <v>18760</v>
      </c>
      <c r="F71" s="84">
        <v>4780</v>
      </c>
      <c r="G71" s="84">
        <v>11050</v>
      </c>
    </row>
    <row r="72" spans="1:7" s="73" customFormat="1" ht="14.25" customHeight="1">
      <c r="A72" s="84" t="s">
        <v>259</v>
      </c>
      <c r="B72" s="84" t="s">
        <v>3357</v>
      </c>
      <c r="C72" s="84">
        <v>16340</v>
      </c>
      <c r="D72" s="84">
        <v>17520</v>
      </c>
      <c r="E72" s="84">
        <v>21170</v>
      </c>
      <c r="F72" s="84"/>
      <c r="G72" s="84">
        <v>11900</v>
      </c>
    </row>
    <row r="73" spans="1:7" s="73" customFormat="1" ht="14.25" customHeight="1">
      <c r="A73" s="84" t="s">
        <v>259</v>
      </c>
      <c r="B73" s="84" t="s">
        <v>3358</v>
      </c>
      <c r="C73" s="84">
        <v>17610</v>
      </c>
      <c r="D73" s="84">
        <v>18520</v>
      </c>
      <c r="E73" s="84">
        <v>18720</v>
      </c>
      <c r="F73" s="84"/>
      <c r="G73" s="84">
        <v>12570</v>
      </c>
    </row>
    <row r="74" spans="1:7" s="73" customFormat="1" ht="14.25" customHeight="1">
      <c r="A74" s="84" t="s">
        <v>259</v>
      </c>
      <c r="B74" s="84" t="s">
        <v>3359</v>
      </c>
      <c r="C74" s="84">
        <v>18600</v>
      </c>
      <c r="D74" s="84">
        <v>16480</v>
      </c>
      <c r="E74" s="84">
        <v>20100</v>
      </c>
      <c r="F74" s="84"/>
      <c r="G74" s="84">
        <v>11190</v>
      </c>
    </row>
    <row r="75" spans="1:7" s="73" customFormat="1" ht="14.25" customHeight="1">
      <c r="A75" s="84" t="s">
        <v>259</v>
      </c>
      <c r="B75" s="84" t="s">
        <v>3360</v>
      </c>
      <c r="C75" s="84">
        <v>16570</v>
      </c>
      <c r="D75" s="84">
        <v>17530</v>
      </c>
      <c r="E75" s="84">
        <v>21030</v>
      </c>
      <c r="F75" s="84"/>
      <c r="G75" s="84">
        <v>11900</v>
      </c>
    </row>
    <row r="76" spans="1:7" s="73" customFormat="1" ht="14.25" customHeight="1">
      <c r="A76" s="84" t="s">
        <v>259</v>
      </c>
      <c r="B76" s="84" t="s">
        <v>3361</v>
      </c>
      <c r="C76" s="84">
        <v>17610</v>
      </c>
      <c r="D76" s="84">
        <v>20800</v>
      </c>
      <c r="E76" s="84">
        <v>18920</v>
      </c>
      <c r="F76" s="84"/>
      <c r="G76" s="84">
        <v>14120</v>
      </c>
    </row>
    <row r="77" spans="1:7" s="73" customFormat="1" ht="14.25" customHeight="1">
      <c r="A77" s="84" t="s">
        <v>259</v>
      </c>
      <c r="B77" s="84" t="s">
        <v>3362</v>
      </c>
      <c r="C77" s="84">
        <v>20890</v>
      </c>
      <c r="D77" s="84">
        <v>19740</v>
      </c>
      <c r="E77" s="84">
        <v>20110</v>
      </c>
      <c r="F77" s="84"/>
      <c r="G77" s="84">
        <v>13400</v>
      </c>
    </row>
    <row r="78" spans="1:7" s="73" customFormat="1" ht="14.25" customHeight="1">
      <c r="A78" s="84" t="s">
        <v>259</v>
      </c>
      <c r="B78" s="84" t="s">
        <v>3363</v>
      </c>
      <c r="C78" s="84">
        <v>19820</v>
      </c>
      <c r="D78" s="84">
        <v>19780</v>
      </c>
      <c r="E78" s="84">
        <v>18560</v>
      </c>
      <c r="F78" s="84"/>
      <c r="G78" s="84">
        <v>13430</v>
      </c>
    </row>
    <row r="79" spans="1:7" s="73" customFormat="1" ht="14.25" customHeight="1">
      <c r="A79" s="84" t="s">
        <v>259</v>
      </c>
      <c r="B79" s="84" t="s">
        <v>3364</v>
      </c>
      <c r="C79" s="84">
        <v>21660</v>
      </c>
      <c r="D79" s="84">
        <v>18000</v>
      </c>
      <c r="E79" s="84">
        <v>22570</v>
      </c>
      <c r="F79" s="84"/>
      <c r="G79" s="84">
        <v>12220</v>
      </c>
    </row>
    <row r="80" spans="1:7" s="73" customFormat="1" ht="14.25" customHeight="1">
      <c r="A80" s="84" t="s">
        <v>259</v>
      </c>
      <c r="B80" s="84" t="s">
        <v>3365</v>
      </c>
      <c r="C80" s="84">
        <v>19850</v>
      </c>
      <c r="D80" s="84"/>
      <c r="E80" s="84">
        <v>21700</v>
      </c>
      <c r="F80" s="84"/>
      <c r="G80" s="84"/>
    </row>
    <row r="81" spans="1:7" s="73" customFormat="1" ht="14.25" customHeight="1">
      <c r="A81" s="84" t="s">
        <v>259</v>
      </c>
      <c r="B81" s="84" t="s">
        <v>3366</v>
      </c>
      <c r="C81" s="84">
        <v>18080</v>
      </c>
      <c r="D81" s="84"/>
      <c r="E81" s="84">
        <v>20900</v>
      </c>
      <c r="F81" s="84"/>
      <c r="G81" s="84"/>
    </row>
    <row r="82" spans="1:7" s="73" customFormat="1" ht="14.25" customHeight="1">
      <c r="A82" s="84" t="s">
        <v>259</v>
      </c>
      <c r="B82" s="84" t="s">
        <v>3367</v>
      </c>
      <c r="C82" s="84"/>
      <c r="D82" s="84"/>
      <c r="E82" s="84">
        <v>20840</v>
      </c>
      <c r="F82" s="84"/>
      <c r="G82" s="84"/>
    </row>
    <row r="83" spans="1:7" s="73" customFormat="1" ht="14.25" customHeight="1">
      <c r="A83" s="84" t="s">
        <v>259</v>
      </c>
      <c r="B83" s="84" t="s">
        <v>3368</v>
      </c>
      <c r="C83" s="84"/>
      <c r="D83" s="84"/>
      <c r="E83" s="84"/>
      <c r="F83" s="84">
        <v>4770</v>
      </c>
      <c r="G83" s="84"/>
    </row>
    <row r="84" spans="1:7" s="73" customFormat="1" ht="14.25" customHeight="1">
      <c r="A84" s="84" t="s">
        <v>259</v>
      </c>
      <c r="B84" s="84" t="s">
        <v>3369</v>
      </c>
      <c r="C84" s="84"/>
      <c r="D84" s="84"/>
      <c r="E84" s="84"/>
      <c r="F84" s="84">
        <v>4600</v>
      </c>
      <c r="G84" s="84"/>
    </row>
    <row r="85" spans="1:7" s="73" customFormat="1" ht="14.25" customHeight="1">
      <c r="A85" s="84" t="s">
        <v>259</v>
      </c>
      <c r="B85" s="84" t="s">
        <v>3370</v>
      </c>
      <c r="C85" s="84"/>
      <c r="D85" s="84"/>
      <c r="E85" s="84"/>
      <c r="F85" s="84">
        <v>4680</v>
      </c>
      <c r="G85" s="84"/>
    </row>
    <row r="86" spans="1:7" s="73" customFormat="1" ht="14.25" customHeight="1">
      <c r="A86" s="86" t="s">
        <v>259</v>
      </c>
      <c r="B86" s="89" t="s">
        <v>3371</v>
      </c>
      <c r="C86" s="90">
        <v>16610</v>
      </c>
      <c r="D86" s="90">
        <v>16540</v>
      </c>
      <c r="E86" s="90">
        <v>18850</v>
      </c>
      <c r="F86" s="90"/>
      <c r="G86" s="90">
        <v>11220</v>
      </c>
    </row>
    <row r="87" spans="1:7" s="73" customFormat="1" ht="14.25" customHeight="1">
      <c r="A87" s="82" t="s">
        <v>267</v>
      </c>
      <c r="B87" s="83" t="s">
        <v>3372</v>
      </c>
      <c r="C87" s="83">
        <v>15240</v>
      </c>
      <c r="D87" s="83">
        <v>15170</v>
      </c>
      <c r="E87" s="83">
        <v>18260</v>
      </c>
      <c r="F87" s="83">
        <v>3830</v>
      </c>
      <c r="G87" s="91">
        <v>10020</v>
      </c>
    </row>
    <row r="88" spans="1:7" s="73" customFormat="1" ht="14.25" customHeight="1">
      <c r="A88" s="84" t="s">
        <v>267</v>
      </c>
      <c r="B88" s="84" t="s">
        <v>3373</v>
      </c>
      <c r="C88" s="84">
        <v>17310</v>
      </c>
      <c r="D88" s="84">
        <v>17220</v>
      </c>
      <c r="E88" s="84">
        <v>18610</v>
      </c>
      <c r="F88" s="84">
        <v>3990</v>
      </c>
      <c r="G88" s="92">
        <v>11380</v>
      </c>
    </row>
    <row r="89" spans="1:7" s="73" customFormat="1" ht="14.25" customHeight="1">
      <c r="A89" s="84" t="s">
        <v>267</v>
      </c>
      <c r="B89" s="84" t="s">
        <v>3374</v>
      </c>
      <c r="C89" s="84">
        <v>15600</v>
      </c>
      <c r="D89" s="84">
        <v>15550</v>
      </c>
      <c r="E89" s="84">
        <v>19200</v>
      </c>
      <c r="F89" s="84">
        <v>4110</v>
      </c>
      <c r="G89" s="92">
        <v>10270</v>
      </c>
    </row>
    <row r="90" spans="1:7" s="73" customFormat="1" ht="14.25" customHeight="1">
      <c r="A90" s="84" t="s">
        <v>267</v>
      </c>
      <c r="B90" s="84" t="s">
        <v>3375</v>
      </c>
      <c r="C90" s="84">
        <v>17330</v>
      </c>
      <c r="D90" s="84">
        <v>17240</v>
      </c>
      <c r="E90" s="84">
        <v>18570</v>
      </c>
      <c r="F90" s="84">
        <v>4070</v>
      </c>
      <c r="G90" s="92">
        <v>11390</v>
      </c>
    </row>
    <row r="91" spans="1:7" s="73" customFormat="1" ht="14.25" customHeight="1">
      <c r="A91" s="84" t="s">
        <v>267</v>
      </c>
      <c r="B91" s="84" t="s">
        <v>3376</v>
      </c>
      <c r="C91" s="84">
        <v>16330</v>
      </c>
      <c r="D91" s="84">
        <v>16260</v>
      </c>
      <c r="E91" s="84">
        <v>16800</v>
      </c>
      <c r="F91" s="84">
        <v>3410</v>
      </c>
      <c r="G91" s="92">
        <v>10740</v>
      </c>
    </row>
    <row r="92" spans="1:7" s="73" customFormat="1" ht="14.25" customHeight="1">
      <c r="A92" s="84" t="s">
        <v>267</v>
      </c>
      <c r="B92" s="84" t="s">
        <v>3377</v>
      </c>
      <c r="C92" s="84">
        <v>15570</v>
      </c>
      <c r="D92" s="84">
        <v>15500</v>
      </c>
      <c r="E92" s="84">
        <v>17360</v>
      </c>
      <c r="F92" s="84">
        <v>3510</v>
      </c>
      <c r="G92" s="92">
        <v>10240</v>
      </c>
    </row>
    <row r="93" spans="1:7" s="73" customFormat="1" ht="14.25" customHeight="1">
      <c r="A93" s="84" t="s">
        <v>267</v>
      </c>
      <c r="B93" s="84" t="s">
        <v>3378</v>
      </c>
      <c r="C93" s="84">
        <v>14000</v>
      </c>
      <c r="D93" s="84">
        <v>13930</v>
      </c>
      <c r="E93" s="84">
        <v>18200</v>
      </c>
      <c r="F93" s="84">
        <v>3640</v>
      </c>
      <c r="G93" s="92">
        <v>9210</v>
      </c>
    </row>
    <row r="94" spans="1:7" s="73" customFormat="1" ht="14.25" customHeight="1">
      <c r="A94" s="84" t="s">
        <v>267</v>
      </c>
      <c r="B94" s="84" t="s">
        <v>3379</v>
      </c>
      <c r="C94" s="84">
        <v>14530</v>
      </c>
      <c r="D94" s="84">
        <v>14470</v>
      </c>
      <c r="E94" s="84">
        <v>18240</v>
      </c>
      <c r="F94" s="84">
        <v>3180</v>
      </c>
      <c r="G94" s="92">
        <v>9560</v>
      </c>
    </row>
    <row r="95" spans="1:7" s="73" customFormat="1" ht="14.25" customHeight="1">
      <c r="A95" s="84" t="s">
        <v>267</v>
      </c>
      <c r="B95" s="84" t="s">
        <v>3380</v>
      </c>
      <c r="C95" s="84">
        <v>17330</v>
      </c>
      <c r="D95" s="84">
        <v>17260</v>
      </c>
      <c r="E95" s="84">
        <v>18420</v>
      </c>
      <c r="F95" s="84">
        <v>3060</v>
      </c>
      <c r="G95" s="92">
        <v>11410</v>
      </c>
    </row>
    <row r="96" spans="1:7" s="73" customFormat="1" ht="14.25" customHeight="1">
      <c r="A96" s="84" t="s">
        <v>267</v>
      </c>
      <c r="B96" s="84" t="s">
        <v>3381</v>
      </c>
      <c r="C96" s="84">
        <v>15030</v>
      </c>
      <c r="D96" s="84">
        <v>14970</v>
      </c>
      <c r="E96" s="84">
        <v>17580</v>
      </c>
      <c r="F96" s="84">
        <v>2970</v>
      </c>
      <c r="G96" s="92">
        <v>9890</v>
      </c>
    </row>
    <row r="97" spans="1:7" s="73" customFormat="1" ht="14.25" customHeight="1">
      <c r="A97" s="84" t="s">
        <v>267</v>
      </c>
      <c r="B97" s="84" t="s">
        <v>3382</v>
      </c>
      <c r="C97" s="84">
        <v>17400</v>
      </c>
      <c r="D97" s="84">
        <v>17330</v>
      </c>
      <c r="E97" s="84">
        <v>16430</v>
      </c>
      <c r="F97" s="84">
        <v>2950</v>
      </c>
      <c r="G97" s="92">
        <v>11450</v>
      </c>
    </row>
    <row r="98" spans="1:7" s="73" customFormat="1" ht="14.25" customHeight="1">
      <c r="A98" s="84" t="s">
        <v>267</v>
      </c>
      <c r="B98" s="84" t="s">
        <v>3383</v>
      </c>
      <c r="C98" s="84">
        <v>15200</v>
      </c>
      <c r="D98" s="84">
        <v>15120</v>
      </c>
      <c r="E98" s="84">
        <v>17550</v>
      </c>
      <c r="F98" s="84">
        <v>3080</v>
      </c>
      <c r="G98" s="92">
        <v>9990</v>
      </c>
    </row>
    <row r="99" spans="1:7" s="73" customFormat="1" ht="14.25" customHeight="1">
      <c r="A99" s="84" t="s">
        <v>267</v>
      </c>
      <c r="B99" s="84" t="s">
        <v>3384</v>
      </c>
      <c r="C99" s="84">
        <v>17520</v>
      </c>
      <c r="D99" s="84">
        <v>17430</v>
      </c>
      <c r="E99" s="84">
        <v>16350</v>
      </c>
      <c r="F99" s="84">
        <v>3260</v>
      </c>
      <c r="G99" s="92">
        <v>11510</v>
      </c>
    </row>
    <row r="100" spans="1:7" s="73" customFormat="1" ht="14.25" customHeight="1">
      <c r="A100" s="84" t="s">
        <v>267</v>
      </c>
      <c r="B100" s="84" t="s">
        <v>3385</v>
      </c>
      <c r="C100" s="84">
        <v>15340</v>
      </c>
      <c r="D100" s="84">
        <v>15260</v>
      </c>
      <c r="E100" s="84">
        <v>15930</v>
      </c>
      <c r="F100" s="84">
        <v>2740</v>
      </c>
      <c r="G100" s="92">
        <v>10080</v>
      </c>
    </row>
    <row r="101" spans="1:7" s="73" customFormat="1" ht="14.25" customHeight="1">
      <c r="A101" s="84" t="s">
        <v>267</v>
      </c>
      <c r="B101" s="84" t="s">
        <v>3386</v>
      </c>
      <c r="C101" s="84">
        <v>14620</v>
      </c>
      <c r="D101" s="84">
        <v>14560</v>
      </c>
      <c r="E101" s="84">
        <v>15570</v>
      </c>
      <c r="F101" s="84">
        <v>3500</v>
      </c>
      <c r="G101" s="92">
        <v>9630</v>
      </c>
    </row>
    <row r="102" spans="1:7" s="73" customFormat="1" ht="14.25" customHeight="1">
      <c r="A102" s="84" t="s">
        <v>267</v>
      </c>
      <c r="B102" s="84" t="s">
        <v>3387</v>
      </c>
      <c r="C102" s="84">
        <v>13680</v>
      </c>
      <c r="D102" s="84">
        <v>13610</v>
      </c>
      <c r="E102" s="84">
        <v>15690</v>
      </c>
      <c r="F102" s="84">
        <v>2870</v>
      </c>
      <c r="G102" s="92">
        <v>8990</v>
      </c>
    </row>
    <row r="103" spans="1:7" s="73" customFormat="1" ht="14.25" customHeight="1">
      <c r="A103" s="84" t="s">
        <v>267</v>
      </c>
      <c r="B103" s="84" t="s">
        <v>3388</v>
      </c>
      <c r="C103" s="84">
        <v>14620</v>
      </c>
      <c r="D103" s="84">
        <v>14540</v>
      </c>
      <c r="E103" s="84">
        <v>15240</v>
      </c>
      <c r="F103" s="84">
        <v>2840</v>
      </c>
      <c r="G103" s="92">
        <v>9610</v>
      </c>
    </row>
    <row r="104" spans="1:7" s="73" customFormat="1" ht="14.25" customHeight="1">
      <c r="A104" s="84" t="s">
        <v>267</v>
      </c>
      <c r="B104" s="84" t="s">
        <v>3389</v>
      </c>
      <c r="C104" s="84">
        <v>13610</v>
      </c>
      <c r="D104" s="84">
        <v>13540</v>
      </c>
      <c r="E104" s="84">
        <v>15750</v>
      </c>
      <c r="F104" s="84">
        <v>2770</v>
      </c>
      <c r="G104" s="92">
        <v>8940</v>
      </c>
    </row>
    <row r="105" spans="1:7" s="73" customFormat="1" ht="14.25" customHeight="1">
      <c r="A105" s="84" t="s">
        <v>267</v>
      </c>
      <c r="B105" s="84" t="s">
        <v>3390</v>
      </c>
      <c r="C105" s="84">
        <v>13310</v>
      </c>
      <c r="D105" s="84">
        <v>13240</v>
      </c>
      <c r="E105" s="84">
        <v>16280</v>
      </c>
      <c r="F105" s="84">
        <v>3210</v>
      </c>
      <c r="G105" s="92">
        <v>8750</v>
      </c>
    </row>
    <row r="106" spans="1:7" s="73" customFormat="1" ht="14.25" customHeight="1">
      <c r="A106" s="84" t="s">
        <v>267</v>
      </c>
      <c r="B106" s="84" t="s">
        <v>3391</v>
      </c>
      <c r="C106" s="84">
        <v>13010</v>
      </c>
      <c r="D106" s="84">
        <v>12930</v>
      </c>
      <c r="E106" s="84">
        <v>14960</v>
      </c>
      <c r="F106" s="84">
        <v>3530</v>
      </c>
      <c r="G106" s="92">
        <v>8550</v>
      </c>
    </row>
    <row r="107" spans="1:7" s="73" customFormat="1" ht="14.25" customHeight="1">
      <c r="A107" s="84" t="s">
        <v>267</v>
      </c>
      <c r="B107" s="84" t="s">
        <v>3392</v>
      </c>
      <c r="C107" s="84">
        <v>13070</v>
      </c>
      <c r="D107" s="84">
        <v>13000</v>
      </c>
      <c r="E107" s="84">
        <v>15910</v>
      </c>
      <c r="F107" s="84">
        <v>3990</v>
      </c>
      <c r="G107" s="92">
        <v>8580</v>
      </c>
    </row>
    <row r="108" spans="1:7" s="73" customFormat="1" ht="14.25" customHeight="1">
      <c r="A108" s="84" t="s">
        <v>267</v>
      </c>
      <c r="B108" s="84" t="s">
        <v>3393</v>
      </c>
      <c r="C108" s="84">
        <v>12640</v>
      </c>
      <c r="D108" s="84">
        <v>12580</v>
      </c>
      <c r="E108" s="84">
        <v>15730</v>
      </c>
      <c r="F108" s="84"/>
      <c r="G108" s="92">
        <v>8310</v>
      </c>
    </row>
    <row r="109" spans="1:7" s="73" customFormat="1" ht="14.25" customHeight="1">
      <c r="A109" s="84" t="s">
        <v>267</v>
      </c>
      <c r="B109" s="84" t="s">
        <v>3394</v>
      </c>
      <c r="C109" s="84">
        <v>13130</v>
      </c>
      <c r="D109" s="84">
        <v>13070</v>
      </c>
      <c r="E109" s="84">
        <v>15000</v>
      </c>
      <c r="F109" s="84"/>
      <c r="G109" s="92">
        <v>8630</v>
      </c>
    </row>
    <row r="110" spans="1:7" s="73" customFormat="1" ht="14.25" customHeight="1">
      <c r="A110" s="84" t="s">
        <v>267</v>
      </c>
      <c r="B110" s="84" t="s">
        <v>3395</v>
      </c>
      <c r="C110" s="84">
        <v>13560</v>
      </c>
      <c r="D110" s="84">
        <v>13490</v>
      </c>
      <c r="E110" s="84">
        <v>16300</v>
      </c>
      <c r="F110" s="84"/>
      <c r="G110" s="92">
        <v>8920</v>
      </c>
    </row>
    <row r="111" spans="1:7" s="73" customFormat="1" ht="14.25" customHeight="1">
      <c r="A111" s="84" t="s">
        <v>267</v>
      </c>
      <c r="B111" s="84" t="s">
        <v>3396</v>
      </c>
      <c r="C111" s="84">
        <v>12440</v>
      </c>
      <c r="D111" s="84">
        <v>12380</v>
      </c>
      <c r="E111" s="84">
        <v>17850</v>
      </c>
      <c r="F111" s="84"/>
      <c r="G111" s="92">
        <v>8180</v>
      </c>
    </row>
    <row r="112" spans="1:7" s="73" customFormat="1" ht="14.25" customHeight="1">
      <c r="A112" s="84" t="s">
        <v>267</v>
      </c>
      <c r="B112" s="84" t="s">
        <v>3397</v>
      </c>
      <c r="C112" s="84">
        <v>13260</v>
      </c>
      <c r="D112" s="84">
        <v>13180</v>
      </c>
      <c r="E112" s="84">
        <v>19740</v>
      </c>
      <c r="F112" s="84"/>
      <c r="G112" s="92">
        <v>8710</v>
      </c>
    </row>
    <row r="113" spans="1:7" s="73" customFormat="1" ht="14.25" customHeight="1">
      <c r="A113" s="84" t="s">
        <v>267</v>
      </c>
      <c r="B113" s="84" t="s">
        <v>3398</v>
      </c>
      <c r="C113" s="84">
        <v>15520</v>
      </c>
      <c r="D113" s="84">
        <v>15450</v>
      </c>
      <c r="E113" s="84"/>
      <c r="F113" s="84"/>
      <c r="G113" s="92">
        <v>10210</v>
      </c>
    </row>
    <row r="114" spans="1:7" s="73" customFormat="1" ht="14.25" customHeight="1">
      <c r="A114" s="84" t="s">
        <v>267</v>
      </c>
      <c r="B114" s="84" t="s">
        <v>3399</v>
      </c>
      <c r="C114" s="84">
        <v>13110</v>
      </c>
      <c r="D114" s="84">
        <v>13050</v>
      </c>
      <c r="E114" s="84"/>
      <c r="F114" s="84"/>
      <c r="G114" s="92">
        <v>8620</v>
      </c>
    </row>
    <row r="115" spans="1:7" s="73" customFormat="1" ht="14.25" customHeight="1">
      <c r="A115" s="84" t="s">
        <v>267</v>
      </c>
      <c r="B115" s="84" t="s">
        <v>3400</v>
      </c>
      <c r="C115" s="84">
        <v>12460</v>
      </c>
      <c r="D115" s="84">
        <v>12390</v>
      </c>
      <c r="E115" s="84"/>
      <c r="F115" s="84"/>
      <c r="G115" s="92">
        <v>8190</v>
      </c>
    </row>
    <row r="116" spans="1:7" s="73" customFormat="1" ht="14.25" customHeight="1">
      <c r="A116" s="84" t="s">
        <v>267</v>
      </c>
      <c r="B116" s="84" t="s">
        <v>3401</v>
      </c>
      <c r="C116" s="84">
        <v>13580</v>
      </c>
      <c r="D116" s="84">
        <v>13520</v>
      </c>
      <c r="E116" s="84"/>
      <c r="F116" s="84"/>
      <c r="G116" s="92">
        <v>8930</v>
      </c>
    </row>
    <row r="117" spans="1:7" s="73" customFormat="1" ht="14.25" customHeight="1">
      <c r="A117" s="84" t="s">
        <v>267</v>
      </c>
      <c r="B117" s="84" t="s">
        <v>3402</v>
      </c>
      <c r="C117" s="84">
        <v>17120</v>
      </c>
      <c r="D117" s="84">
        <v>17040</v>
      </c>
      <c r="E117" s="84"/>
      <c r="F117" s="84"/>
      <c r="G117" s="92">
        <v>11260</v>
      </c>
    </row>
    <row r="118" spans="1:7" s="73" customFormat="1" ht="14.25" customHeight="1">
      <c r="A118" s="84" t="s">
        <v>267</v>
      </c>
      <c r="B118" s="84" t="s">
        <v>3403</v>
      </c>
      <c r="C118" s="84">
        <v>14860</v>
      </c>
      <c r="D118" s="84">
        <v>14790</v>
      </c>
      <c r="E118" s="84"/>
      <c r="F118" s="84"/>
      <c r="G118" s="92">
        <v>9780</v>
      </c>
    </row>
    <row r="119" spans="1:7" s="73" customFormat="1" ht="14.25" customHeight="1">
      <c r="A119" s="84" t="s">
        <v>267</v>
      </c>
      <c r="B119" s="84" t="s">
        <v>3404</v>
      </c>
      <c r="C119" s="84">
        <v>16470</v>
      </c>
      <c r="D119" s="84">
        <v>16400</v>
      </c>
      <c r="E119" s="84"/>
      <c r="F119" s="84"/>
      <c r="G119" s="92">
        <v>10840</v>
      </c>
    </row>
    <row r="120" spans="1:7" s="73" customFormat="1" ht="14.25" customHeight="1">
      <c r="A120" s="84" t="s">
        <v>267</v>
      </c>
      <c r="B120" s="84" t="s">
        <v>3405</v>
      </c>
      <c r="C120" s="84"/>
      <c r="D120" s="84"/>
      <c r="E120" s="84"/>
      <c r="F120" s="84">
        <v>4160</v>
      </c>
      <c r="G120" s="92"/>
    </row>
    <row r="121" spans="1:7" s="73" customFormat="1" ht="14.25" customHeight="1">
      <c r="A121" s="84" t="s">
        <v>267</v>
      </c>
      <c r="B121" s="84" t="s">
        <v>3406</v>
      </c>
      <c r="C121" s="84"/>
      <c r="D121" s="84"/>
      <c r="E121" s="84"/>
      <c r="F121" s="84">
        <v>3880</v>
      </c>
      <c r="G121" s="92"/>
    </row>
    <row r="122" spans="1:7" s="73" customFormat="1" ht="14.25" customHeight="1">
      <c r="A122" s="84" t="s">
        <v>267</v>
      </c>
      <c r="B122" s="84" t="s">
        <v>3407</v>
      </c>
      <c r="C122" s="84">
        <v>13750</v>
      </c>
      <c r="D122" s="84">
        <v>13680</v>
      </c>
      <c r="E122" s="84">
        <v>16460</v>
      </c>
      <c r="F122" s="84">
        <v>2880</v>
      </c>
      <c r="G122" s="92">
        <v>9040</v>
      </c>
    </row>
    <row r="123" spans="1:7" s="73" customFormat="1" ht="14.25" customHeight="1">
      <c r="A123" s="84" t="s">
        <v>267</v>
      </c>
      <c r="B123" s="84" t="s">
        <v>3408</v>
      </c>
      <c r="C123" s="84">
        <v>13590</v>
      </c>
      <c r="D123" s="84">
        <v>13520</v>
      </c>
      <c r="E123" s="84">
        <v>16290</v>
      </c>
      <c r="F123" s="84">
        <v>2790</v>
      </c>
      <c r="G123" s="92">
        <v>8930</v>
      </c>
    </row>
    <row r="124" spans="1:7" s="73" customFormat="1" ht="14.25" customHeight="1">
      <c r="A124" s="84" t="s">
        <v>267</v>
      </c>
      <c r="B124" s="84" t="s">
        <v>3409</v>
      </c>
      <c r="C124" s="84">
        <v>13400</v>
      </c>
      <c r="D124" s="84">
        <v>13320</v>
      </c>
      <c r="E124" s="84">
        <v>16100</v>
      </c>
      <c r="F124" s="84">
        <v>2320</v>
      </c>
      <c r="G124" s="92">
        <v>8800</v>
      </c>
    </row>
    <row r="125" spans="1:7" s="73" customFormat="1" ht="14.25" customHeight="1">
      <c r="A125" s="84" t="s">
        <v>267</v>
      </c>
      <c r="B125" s="84" t="s">
        <v>3410</v>
      </c>
      <c r="C125" s="84">
        <v>12860</v>
      </c>
      <c r="D125" s="84">
        <v>12790</v>
      </c>
      <c r="E125" s="84">
        <v>15370</v>
      </c>
      <c r="F125" s="84">
        <v>2280</v>
      </c>
      <c r="G125" s="92">
        <v>8450</v>
      </c>
    </row>
    <row r="126" spans="1:7" s="73" customFormat="1" ht="14.25" customHeight="1">
      <c r="A126" s="93" t="s">
        <v>267</v>
      </c>
      <c r="B126" s="88" t="s">
        <v>3411</v>
      </c>
      <c r="C126" s="88">
        <v>12960</v>
      </c>
      <c r="D126" s="88">
        <v>12890</v>
      </c>
      <c r="E126" s="88">
        <v>15530</v>
      </c>
      <c r="F126" s="88">
        <v>2910</v>
      </c>
      <c r="G126" s="94">
        <v>8520</v>
      </c>
    </row>
    <row r="127" spans="1:7" s="73" customFormat="1" ht="14.25" customHeight="1">
      <c r="A127" s="82" t="s">
        <v>273</v>
      </c>
      <c r="B127" s="83" t="s">
        <v>3412</v>
      </c>
      <c r="C127" s="84">
        <v>12280</v>
      </c>
      <c r="D127" s="84">
        <v>12250</v>
      </c>
      <c r="E127" s="84">
        <v>15130</v>
      </c>
      <c r="F127" s="84">
        <v>2710</v>
      </c>
      <c r="G127" s="84">
        <v>7870</v>
      </c>
    </row>
    <row r="128" spans="1:7" s="73" customFormat="1" ht="14.25" customHeight="1">
      <c r="A128" s="84" t="s">
        <v>273</v>
      </c>
      <c r="B128" s="84" t="s">
        <v>3413</v>
      </c>
      <c r="C128" s="84">
        <v>13180</v>
      </c>
      <c r="D128" s="84">
        <v>13150</v>
      </c>
      <c r="E128" s="84">
        <v>16190</v>
      </c>
      <c r="F128" s="84">
        <v>2820</v>
      </c>
      <c r="G128" s="84">
        <v>8460</v>
      </c>
    </row>
    <row r="129" spans="1:7" s="73" customFormat="1" ht="14.25" customHeight="1">
      <c r="A129" s="84" t="s">
        <v>273</v>
      </c>
      <c r="B129" s="84" t="s">
        <v>3414</v>
      </c>
      <c r="C129" s="84">
        <v>10950</v>
      </c>
      <c r="D129" s="84">
        <v>10920</v>
      </c>
      <c r="E129" s="84">
        <v>13820</v>
      </c>
      <c r="F129" s="84">
        <v>2500</v>
      </c>
      <c r="G129" s="84">
        <v>7020</v>
      </c>
    </row>
    <row r="130" spans="1:7" s="73" customFormat="1" ht="14.25" customHeight="1">
      <c r="A130" s="84" t="s">
        <v>273</v>
      </c>
      <c r="B130" s="84" t="s">
        <v>3415</v>
      </c>
      <c r="C130" s="84">
        <v>10910</v>
      </c>
      <c r="D130" s="84">
        <v>10860</v>
      </c>
      <c r="E130" s="84">
        <v>13730</v>
      </c>
      <c r="F130" s="84">
        <v>2760</v>
      </c>
      <c r="G130" s="84">
        <v>6990</v>
      </c>
    </row>
    <row r="131" spans="1:7" s="73" customFormat="1" ht="14.25" customHeight="1">
      <c r="A131" s="84" t="s">
        <v>273</v>
      </c>
      <c r="B131" s="84" t="s">
        <v>3416</v>
      </c>
      <c r="C131" s="84">
        <v>12910</v>
      </c>
      <c r="D131" s="84">
        <v>12870</v>
      </c>
      <c r="E131" s="84">
        <v>15720</v>
      </c>
      <c r="F131" s="84">
        <v>2750</v>
      </c>
      <c r="G131" s="84">
        <v>8280</v>
      </c>
    </row>
    <row r="132" spans="1:7" s="73" customFormat="1" ht="14.25" customHeight="1">
      <c r="A132" s="84" t="s">
        <v>273</v>
      </c>
      <c r="B132" s="84" t="s">
        <v>3417</v>
      </c>
      <c r="C132" s="84">
        <v>11910</v>
      </c>
      <c r="D132" s="84">
        <v>11860</v>
      </c>
      <c r="E132" s="84">
        <v>14730</v>
      </c>
      <c r="F132" s="84">
        <v>2360</v>
      </c>
      <c r="G132" s="84">
        <v>7630</v>
      </c>
    </row>
    <row r="133" spans="1:7" s="73" customFormat="1" ht="14.25" customHeight="1">
      <c r="A133" s="84" t="s">
        <v>273</v>
      </c>
      <c r="B133" s="84" t="s">
        <v>3418</v>
      </c>
      <c r="C133" s="84">
        <v>12270</v>
      </c>
      <c r="D133" s="84">
        <v>12210</v>
      </c>
      <c r="E133" s="84">
        <v>15010</v>
      </c>
      <c r="F133" s="84">
        <v>2580</v>
      </c>
      <c r="G133" s="84">
        <v>7860</v>
      </c>
    </row>
    <row r="134" spans="1:7" s="73" customFormat="1" ht="14.25" customHeight="1">
      <c r="A134" s="84" t="s">
        <v>273</v>
      </c>
      <c r="B134" s="84" t="s">
        <v>3419</v>
      </c>
      <c r="C134" s="84">
        <v>10800</v>
      </c>
      <c r="D134" s="84">
        <v>10780</v>
      </c>
      <c r="E134" s="84">
        <v>13640</v>
      </c>
      <c r="F134" s="84">
        <v>2110</v>
      </c>
      <c r="G134" s="84">
        <v>6930</v>
      </c>
    </row>
    <row r="135" spans="1:7" s="73" customFormat="1" ht="14.25" customHeight="1">
      <c r="A135" s="84" t="s">
        <v>273</v>
      </c>
      <c r="B135" s="84" t="s">
        <v>3420</v>
      </c>
      <c r="C135" s="84">
        <v>10430</v>
      </c>
      <c r="D135" s="84">
        <v>10390</v>
      </c>
      <c r="E135" s="84">
        <v>13140</v>
      </c>
      <c r="F135" s="84">
        <v>2240</v>
      </c>
      <c r="G135" s="84">
        <v>6680</v>
      </c>
    </row>
    <row r="136" spans="1:7" s="73" customFormat="1" ht="14.25" customHeight="1">
      <c r="A136" s="84" t="s">
        <v>273</v>
      </c>
      <c r="B136" s="84" t="s">
        <v>3421</v>
      </c>
      <c r="C136" s="84">
        <v>11930</v>
      </c>
      <c r="D136" s="84">
        <v>11880</v>
      </c>
      <c r="E136" s="84">
        <v>14770</v>
      </c>
      <c r="F136" s="84">
        <v>1970</v>
      </c>
      <c r="G136" s="84">
        <v>7640</v>
      </c>
    </row>
    <row r="137" spans="1:7" s="73" customFormat="1" ht="14.25" customHeight="1">
      <c r="A137" s="84" t="s">
        <v>273</v>
      </c>
      <c r="B137" s="84" t="s">
        <v>3422</v>
      </c>
      <c r="C137" s="84">
        <v>10470</v>
      </c>
      <c r="D137" s="84">
        <v>10430</v>
      </c>
      <c r="E137" s="84">
        <v>13190</v>
      </c>
      <c r="F137" s="84">
        <v>1990</v>
      </c>
      <c r="G137" s="84">
        <v>6710</v>
      </c>
    </row>
    <row r="138" spans="1:7" s="73" customFormat="1" ht="14.25" customHeight="1">
      <c r="A138" s="84" t="s">
        <v>273</v>
      </c>
      <c r="B138" s="84" t="s">
        <v>3423</v>
      </c>
      <c r="C138" s="84">
        <v>10410</v>
      </c>
      <c r="D138" s="84">
        <v>10380</v>
      </c>
      <c r="E138" s="84">
        <v>13130</v>
      </c>
      <c r="F138" s="84">
        <v>2030</v>
      </c>
      <c r="G138" s="84">
        <v>6680</v>
      </c>
    </row>
    <row r="139" spans="1:7" s="73" customFormat="1" ht="14.25" customHeight="1">
      <c r="A139" s="84" t="s">
        <v>273</v>
      </c>
      <c r="B139" s="84" t="s">
        <v>3424</v>
      </c>
      <c r="C139" s="84">
        <v>9460</v>
      </c>
      <c r="D139" s="84">
        <v>9410</v>
      </c>
      <c r="E139" s="84">
        <v>12050</v>
      </c>
      <c r="F139" s="84">
        <v>2140</v>
      </c>
      <c r="G139" s="84">
        <v>6050</v>
      </c>
    </row>
    <row r="140" spans="1:7" s="73" customFormat="1" ht="14.25" customHeight="1">
      <c r="A140" s="84" t="s">
        <v>273</v>
      </c>
      <c r="B140" s="84" t="s">
        <v>3425</v>
      </c>
      <c r="C140" s="84">
        <v>11030</v>
      </c>
      <c r="D140" s="84">
        <v>10980</v>
      </c>
      <c r="E140" s="84">
        <v>13880</v>
      </c>
      <c r="F140" s="84">
        <v>2210</v>
      </c>
      <c r="G140" s="84">
        <v>7060</v>
      </c>
    </row>
    <row r="141" spans="1:7" s="73" customFormat="1" ht="14.25" customHeight="1">
      <c r="A141" s="84" t="s">
        <v>273</v>
      </c>
      <c r="B141" s="84" t="s">
        <v>3426</v>
      </c>
      <c r="C141" s="84">
        <v>11200</v>
      </c>
      <c r="D141" s="84">
        <v>11150</v>
      </c>
      <c r="E141" s="84">
        <v>14100</v>
      </c>
      <c r="F141" s="84">
        <v>2470</v>
      </c>
      <c r="G141" s="84">
        <v>7170</v>
      </c>
    </row>
    <row r="142" spans="1:7" s="73" customFormat="1" ht="14.25" customHeight="1">
      <c r="A142" s="84" t="s">
        <v>273</v>
      </c>
      <c r="B142" s="84" t="s">
        <v>3427</v>
      </c>
      <c r="C142" s="84">
        <v>10780</v>
      </c>
      <c r="D142" s="84">
        <v>10730</v>
      </c>
      <c r="E142" s="84">
        <v>13540</v>
      </c>
      <c r="F142" s="84">
        <v>2280</v>
      </c>
      <c r="G142" s="84">
        <v>6900</v>
      </c>
    </row>
    <row r="143" spans="1:7" s="73" customFormat="1" ht="14.25" customHeight="1">
      <c r="A143" s="84" t="s">
        <v>273</v>
      </c>
      <c r="B143" s="84" t="s">
        <v>3428</v>
      </c>
      <c r="C143" s="84">
        <v>11550</v>
      </c>
      <c r="D143" s="84">
        <v>11490</v>
      </c>
      <c r="E143" s="84">
        <v>14480</v>
      </c>
      <c r="F143" s="84">
        <v>2070</v>
      </c>
      <c r="G143" s="84">
        <v>7390</v>
      </c>
    </row>
    <row r="144" spans="1:7" s="73" customFormat="1" ht="14.25" customHeight="1">
      <c r="A144" s="84" t="s">
        <v>273</v>
      </c>
      <c r="B144" s="84" t="s">
        <v>3429</v>
      </c>
      <c r="C144" s="84">
        <v>10720</v>
      </c>
      <c r="D144" s="84">
        <v>10680</v>
      </c>
      <c r="E144" s="84">
        <v>13480</v>
      </c>
      <c r="F144" s="84">
        <v>2440</v>
      </c>
      <c r="G144" s="84">
        <v>6870</v>
      </c>
    </row>
    <row r="145" spans="1:7" s="73" customFormat="1" ht="14.25" customHeight="1">
      <c r="A145" s="84" t="s">
        <v>273</v>
      </c>
      <c r="B145" s="84" t="s">
        <v>3430</v>
      </c>
      <c r="C145" s="84">
        <v>10340</v>
      </c>
      <c r="D145" s="84">
        <v>10290</v>
      </c>
      <c r="E145" s="84">
        <v>12880</v>
      </c>
      <c r="F145" s="84">
        <v>2650</v>
      </c>
      <c r="G145" s="84">
        <v>6620</v>
      </c>
    </row>
    <row r="146" spans="1:7" s="73" customFormat="1" ht="14.25" customHeight="1">
      <c r="A146" s="84" t="s">
        <v>273</v>
      </c>
      <c r="B146" s="84" t="s">
        <v>3431</v>
      </c>
      <c r="C146" s="84">
        <v>11890</v>
      </c>
      <c r="D146" s="84">
        <v>11830</v>
      </c>
      <c r="E146" s="84">
        <v>14670</v>
      </c>
      <c r="F146" s="84"/>
      <c r="G146" s="84">
        <v>7610</v>
      </c>
    </row>
    <row r="147" spans="1:7" s="73" customFormat="1" ht="14.25" customHeight="1">
      <c r="A147" s="84" t="s">
        <v>273</v>
      </c>
      <c r="B147" s="84" t="s">
        <v>3432</v>
      </c>
      <c r="C147" s="84">
        <v>12650</v>
      </c>
      <c r="D147" s="84">
        <v>12600</v>
      </c>
      <c r="E147" s="84">
        <v>15440</v>
      </c>
      <c r="F147" s="84"/>
      <c r="G147" s="84">
        <v>8110</v>
      </c>
    </row>
    <row r="148" spans="1:7" s="73" customFormat="1" ht="14.25" customHeight="1">
      <c r="A148" s="84" t="s">
        <v>273</v>
      </c>
      <c r="B148" s="84" t="s">
        <v>3433</v>
      </c>
      <c r="C148" s="84">
        <v>10370</v>
      </c>
      <c r="D148" s="84">
        <v>10310</v>
      </c>
      <c r="E148" s="84">
        <v>12970</v>
      </c>
      <c r="F148" s="84"/>
      <c r="G148" s="84">
        <v>6630</v>
      </c>
    </row>
    <row r="149" spans="1:7" s="73" customFormat="1" ht="14.25" customHeight="1">
      <c r="A149" s="84" t="s">
        <v>273</v>
      </c>
      <c r="B149" s="84" t="s">
        <v>3434</v>
      </c>
      <c r="C149" s="84">
        <v>11600</v>
      </c>
      <c r="D149" s="84">
        <v>11560</v>
      </c>
      <c r="E149" s="84">
        <v>14540</v>
      </c>
      <c r="F149" s="84">
        <v>2390</v>
      </c>
      <c r="G149" s="84">
        <v>7430</v>
      </c>
    </row>
    <row r="150" spans="1:7" s="73" customFormat="1" ht="14.25" customHeight="1">
      <c r="A150" s="84" t="s">
        <v>273</v>
      </c>
      <c r="B150" s="84" t="s">
        <v>3435</v>
      </c>
      <c r="C150" s="84">
        <v>9950</v>
      </c>
      <c r="D150" s="84">
        <v>9890</v>
      </c>
      <c r="E150" s="84">
        <v>12590</v>
      </c>
      <c r="F150" s="84">
        <v>1970</v>
      </c>
      <c r="G150" s="84">
        <v>6360</v>
      </c>
    </row>
    <row r="151" spans="1:7" s="73" customFormat="1" ht="14.25" customHeight="1">
      <c r="A151" s="84" t="s">
        <v>273</v>
      </c>
      <c r="B151" s="84" t="s">
        <v>3436</v>
      </c>
      <c r="C151" s="84">
        <v>10700</v>
      </c>
      <c r="D151" s="84">
        <v>10650</v>
      </c>
      <c r="E151" s="84">
        <v>13420</v>
      </c>
      <c r="F151" s="84">
        <v>2020</v>
      </c>
      <c r="G151" s="84">
        <v>6850</v>
      </c>
    </row>
    <row r="152" spans="1:7" s="73" customFormat="1" ht="14.25" customHeight="1">
      <c r="A152" s="84" t="s">
        <v>273</v>
      </c>
      <c r="B152" s="84" t="s">
        <v>3437</v>
      </c>
      <c r="C152" s="84">
        <v>10310</v>
      </c>
      <c r="D152" s="84">
        <v>10260</v>
      </c>
      <c r="E152" s="84">
        <v>12820</v>
      </c>
      <c r="F152" s="84">
        <v>1980</v>
      </c>
      <c r="G152" s="84">
        <v>6600</v>
      </c>
    </row>
    <row r="153" spans="1:7" s="73" customFormat="1" ht="14.25" customHeight="1">
      <c r="A153" s="84" t="s">
        <v>273</v>
      </c>
      <c r="B153" s="84" t="s">
        <v>3438</v>
      </c>
      <c r="C153" s="84">
        <v>10880</v>
      </c>
      <c r="D153" s="84">
        <v>10820</v>
      </c>
      <c r="E153" s="84">
        <v>13660</v>
      </c>
      <c r="F153" s="84">
        <v>2260</v>
      </c>
      <c r="G153" s="84">
        <v>6970</v>
      </c>
    </row>
    <row r="154" spans="1:7" s="73" customFormat="1" ht="14.25" customHeight="1">
      <c r="A154" s="84" t="s">
        <v>273</v>
      </c>
      <c r="B154" s="84" t="s">
        <v>3439</v>
      </c>
      <c r="C154" s="84">
        <v>11220</v>
      </c>
      <c r="D154" s="84">
        <v>11160</v>
      </c>
      <c r="E154" s="84">
        <v>14130</v>
      </c>
      <c r="F154" s="84">
        <v>2230</v>
      </c>
      <c r="G154" s="84">
        <v>7180</v>
      </c>
    </row>
    <row r="155" spans="1:7" s="73" customFormat="1" ht="14.25" customHeight="1">
      <c r="A155" s="84" t="s">
        <v>273</v>
      </c>
      <c r="B155" s="84" t="s">
        <v>3440</v>
      </c>
      <c r="C155" s="84">
        <v>10430</v>
      </c>
      <c r="D155" s="84">
        <v>10380</v>
      </c>
      <c r="E155" s="84">
        <v>13140</v>
      </c>
      <c r="F155" s="84">
        <v>2080</v>
      </c>
      <c r="G155" s="84">
        <v>6650</v>
      </c>
    </row>
    <row r="156" spans="1:7" s="73" customFormat="1" ht="14.25" customHeight="1">
      <c r="A156" s="84" t="s">
        <v>273</v>
      </c>
      <c r="B156" s="84" t="s">
        <v>3441</v>
      </c>
      <c r="C156" s="84">
        <v>10440</v>
      </c>
      <c r="D156" s="84">
        <v>10400</v>
      </c>
      <c r="E156" s="84">
        <v>13150</v>
      </c>
      <c r="F156" s="84">
        <v>2490</v>
      </c>
      <c r="G156" s="84">
        <v>6690</v>
      </c>
    </row>
    <row r="157" spans="1:7" s="73" customFormat="1" ht="14.25" customHeight="1">
      <c r="A157" s="84" t="s">
        <v>273</v>
      </c>
      <c r="B157" s="84" t="s">
        <v>3442</v>
      </c>
      <c r="C157" s="84">
        <v>10970</v>
      </c>
      <c r="D157" s="84">
        <v>10920</v>
      </c>
      <c r="E157" s="84">
        <v>13840</v>
      </c>
      <c r="F157" s="84">
        <v>2420</v>
      </c>
      <c r="G157" s="84">
        <v>7020</v>
      </c>
    </row>
    <row r="158" spans="1:7" s="73" customFormat="1" ht="14.25" customHeight="1">
      <c r="A158" s="84" t="s">
        <v>273</v>
      </c>
      <c r="B158" s="84" t="s">
        <v>3443</v>
      </c>
      <c r="C158" s="84">
        <v>9590</v>
      </c>
      <c r="D158" s="84">
        <v>9540</v>
      </c>
      <c r="E158" s="84">
        <v>12210</v>
      </c>
      <c r="F158" s="84">
        <v>2100</v>
      </c>
      <c r="G158" s="84">
        <v>6130</v>
      </c>
    </row>
    <row r="159" spans="1:7" s="73" customFormat="1" ht="14.25" customHeight="1">
      <c r="A159" s="84" t="s">
        <v>273</v>
      </c>
      <c r="B159" s="84" t="s">
        <v>3444</v>
      </c>
      <c r="C159" s="84">
        <v>11190</v>
      </c>
      <c r="D159" s="84">
        <v>11140</v>
      </c>
      <c r="E159" s="84">
        <v>14090</v>
      </c>
      <c r="F159" s="84">
        <v>2470</v>
      </c>
      <c r="G159" s="84">
        <v>7170</v>
      </c>
    </row>
    <row r="160" spans="1:7" s="73" customFormat="1" ht="14.25" customHeight="1">
      <c r="A160" s="84" t="s">
        <v>273</v>
      </c>
      <c r="B160" s="84" t="s">
        <v>511</v>
      </c>
      <c r="C160" s="84">
        <v>11180</v>
      </c>
      <c r="D160" s="84">
        <v>11140</v>
      </c>
      <c r="E160" s="84">
        <v>14050</v>
      </c>
      <c r="F160" s="84">
        <v>2270</v>
      </c>
      <c r="G160" s="84">
        <v>7170</v>
      </c>
    </row>
    <row r="161" spans="1:7" s="73" customFormat="1" ht="14.25" customHeight="1">
      <c r="A161" s="84" t="s">
        <v>273</v>
      </c>
      <c r="B161" s="84" t="s">
        <v>3445</v>
      </c>
      <c r="C161" s="84">
        <v>11160</v>
      </c>
      <c r="D161" s="84">
        <v>11120</v>
      </c>
      <c r="E161" s="84">
        <v>14020</v>
      </c>
      <c r="F161" s="84">
        <v>2150</v>
      </c>
      <c r="G161" s="84">
        <v>7160</v>
      </c>
    </row>
    <row r="162" spans="1:7" s="73" customFormat="1" ht="14.25" customHeight="1">
      <c r="A162" s="84" t="s">
        <v>273</v>
      </c>
      <c r="B162" s="84" t="s">
        <v>3446</v>
      </c>
      <c r="C162" s="84">
        <v>9620</v>
      </c>
      <c r="D162" s="84">
        <v>9570</v>
      </c>
      <c r="E162" s="84">
        <v>12320</v>
      </c>
      <c r="F162" s="84">
        <v>2010</v>
      </c>
      <c r="G162" s="84">
        <v>6160</v>
      </c>
    </row>
    <row r="163" spans="1:7" s="73" customFormat="1" ht="14.25" customHeight="1">
      <c r="A163" s="84" t="s">
        <v>273</v>
      </c>
      <c r="B163" s="84" t="s">
        <v>3447</v>
      </c>
      <c r="C163" s="84">
        <v>9320</v>
      </c>
      <c r="D163" s="84">
        <v>9270</v>
      </c>
      <c r="E163" s="84">
        <v>11790</v>
      </c>
      <c r="F163" s="84">
        <v>1920</v>
      </c>
      <c r="G163" s="84">
        <v>5960</v>
      </c>
    </row>
    <row r="164" spans="1:7" s="73" customFormat="1" ht="14.25" customHeight="1">
      <c r="A164" s="84" t="s">
        <v>273</v>
      </c>
      <c r="B164" s="84" t="s">
        <v>3448</v>
      </c>
      <c r="C164" s="84"/>
      <c r="D164" s="84"/>
      <c r="E164" s="84"/>
      <c r="F164" s="84">
        <v>1980</v>
      </c>
      <c r="G164" s="84"/>
    </row>
    <row r="165" spans="1:7" s="73" customFormat="1" ht="14.25" customHeight="1">
      <c r="A165" s="84" t="s">
        <v>273</v>
      </c>
      <c r="B165" s="84" t="s">
        <v>3449</v>
      </c>
      <c r="C165" s="84">
        <v>11060</v>
      </c>
      <c r="D165" s="84">
        <v>11030</v>
      </c>
      <c r="E165" s="84">
        <v>13850</v>
      </c>
      <c r="F165" s="84">
        <v>2170</v>
      </c>
      <c r="G165" s="84">
        <v>7090</v>
      </c>
    </row>
    <row r="166" spans="1:7" s="73" customFormat="1" ht="14.25" customHeight="1">
      <c r="A166" s="84" t="s">
        <v>273</v>
      </c>
      <c r="B166" s="84" t="s">
        <v>3450</v>
      </c>
      <c r="C166" s="84">
        <v>11050</v>
      </c>
      <c r="D166" s="84">
        <v>11010</v>
      </c>
      <c r="E166" s="84">
        <v>13920</v>
      </c>
      <c r="F166" s="84">
        <v>2140</v>
      </c>
      <c r="G166" s="84">
        <v>7080</v>
      </c>
    </row>
    <row r="167" spans="1:7" s="73" customFormat="1" ht="14.25" customHeight="1">
      <c r="A167" s="84" t="s">
        <v>273</v>
      </c>
      <c r="B167" s="84" t="s">
        <v>3451</v>
      </c>
      <c r="C167" s="84">
        <v>10930</v>
      </c>
      <c r="D167" s="84">
        <v>10890</v>
      </c>
      <c r="E167" s="84">
        <v>13790</v>
      </c>
      <c r="F167" s="84">
        <v>2010</v>
      </c>
      <c r="G167" s="84">
        <v>7000</v>
      </c>
    </row>
    <row r="168" spans="1:7" s="73" customFormat="1" ht="14.25" customHeight="1">
      <c r="A168" s="84" t="s">
        <v>273</v>
      </c>
      <c r="B168" s="84" t="s">
        <v>3452</v>
      </c>
      <c r="C168" s="84">
        <v>9420</v>
      </c>
      <c r="D168" s="84">
        <v>9380</v>
      </c>
      <c r="E168" s="84">
        <v>11970</v>
      </c>
      <c r="F168" s="84"/>
      <c r="G168" s="84">
        <v>6040</v>
      </c>
    </row>
    <row r="169" spans="1:7" s="73" customFormat="1" ht="14.25" customHeight="1">
      <c r="A169" s="84" t="s">
        <v>273</v>
      </c>
      <c r="B169" s="84" t="s">
        <v>3453</v>
      </c>
      <c r="C169" s="84"/>
      <c r="D169" s="84"/>
      <c r="E169" s="84"/>
      <c r="F169" s="84">
        <v>2880</v>
      </c>
      <c r="G169" s="84"/>
    </row>
    <row r="170" spans="1:7" s="73" customFormat="1" ht="14.25" customHeight="1">
      <c r="A170" s="84" t="s">
        <v>273</v>
      </c>
      <c r="B170" s="84" t="s">
        <v>3454</v>
      </c>
      <c r="C170" s="84"/>
      <c r="D170" s="84"/>
      <c r="E170" s="84"/>
      <c r="F170" s="84">
        <v>2880</v>
      </c>
      <c r="G170" s="84"/>
    </row>
    <row r="171" spans="1:7" s="73" customFormat="1" ht="14.25" customHeight="1">
      <c r="A171" s="84" t="s">
        <v>273</v>
      </c>
      <c r="B171" s="84" t="s">
        <v>3455</v>
      </c>
      <c r="C171" s="84"/>
      <c r="D171" s="84"/>
      <c r="E171" s="84"/>
      <c r="F171" s="84">
        <v>2880</v>
      </c>
      <c r="G171" s="84"/>
    </row>
    <row r="172" spans="1:7" s="73" customFormat="1" ht="14.25" customHeight="1">
      <c r="A172" s="84" t="s">
        <v>273</v>
      </c>
      <c r="B172" s="84" t="s">
        <v>3456</v>
      </c>
      <c r="C172" s="84"/>
      <c r="D172" s="84"/>
      <c r="E172" s="84"/>
      <c r="F172" s="84">
        <v>2880</v>
      </c>
      <c r="G172" s="84"/>
    </row>
    <row r="173" spans="1:7" s="73" customFormat="1" ht="14.25" customHeight="1">
      <c r="A173" s="84" t="s">
        <v>273</v>
      </c>
      <c r="B173" s="84" t="s">
        <v>3457</v>
      </c>
      <c r="C173" s="84"/>
      <c r="D173" s="84"/>
      <c r="E173" s="84"/>
      <c r="F173" s="84">
        <v>2150</v>
      </c>
      <c r="G173" s="84"/>
    </row>
    <row r="174" spans="1:7" s="73" customFormat="1" ht="14.25" customHeight="1">
      <c r="A174" s="84" t="s">
        <v>273</v>
      </c>
      <c r="B174" s="84" t="s">
        <v>3458</v>
      </c>
      <c r="C174" s="84"/>
      <c r="D174" s="84"/>
      <c r="E174" s="84"/>
      <c r="F174" s="84">
        <v>2030</v>
      </c>
      <c r="G174" s="84"/>
    </row>
    <row r="175" spans="1:7" s="73" customFormat="1" ht="14.25" customHeight="1">
      <c r="A175" s="84" t="s">
        <v>273</v>
      </c>
      <c r="B175" s="84" t="s">
        <v>3459</v>
      </c>
      <c r="C175" s="84"/>
      <c r="D175" s="84"/>
      <c r="E175" s="84"/>
      <c r="F175" s="84">
        <v>2780</v>
      </c>
      <c r="G175" s="84"/>
    </row>
    <row r="176" spans="1:7" s="73" customFormat="1" ht="14.25" customHeight="1">
      <c r="A176" s="84" t="s">
        <v>273</v>
      </c>
      <c r="B176" s="84" t="s">
        <v>3460</v>
      </c>
      <c r="C176" s="84"/>
      <c r="D176" s="84"/>
      <c r="E176" s="84"/>
      <c r="F176" s="84">
        <v>2780</v>
      </c>
      <c r="G176" s="84"/>
    </row>
    <row r="177" spans="1:7" s="73" customFormat="1" ht="14.25" customHeight="1">
      <c r="A177" s="84" t="s">
        <v>273</v>
      </c>
      <c r="B177" s="84" t="s">
        <v>3461</v>
      </c>
      <c r="C177" s="84"/>
      <c r="D177" s="84"/>
      <c r="E177" s="84"/>
      <c r="F177" s="84">
        <v>2780</v>
      </c>
      <c r="G177" s="84"/>
    </row>
    <row r="178" spans="1:7" s="73" customFormat="1" ht="14.25" customHeight="1">
      <c r="A178" s="84" t="s">
        <v>273</v>
      </c>
      <c r="B178" s="84" t="s">
        <v>3462</v>
      </c>
      <c r="C178" s="84"/>
      <c r="D178" s="84"/>
      <c r="E178" s="84"/>
      <c r="F178" s="84">
        <v>2060</v>
      </c>
      <c r="G178" s="84"/>
    </row>
    <row r="179" spans="1:7" s="73" customFormat="1" ht="14.25" customHeight="1">
      <c r="A179" s="84" t="s">
        <v>273</v>
      </c>
      <c r="B179" s="84" t="s">
        <v>3463</v>
      </c>
      <c r="C179" s="84"/>
      <c r="D179" s="84"/>
      <c r="E179" s="84"/>
      <c r="F179" s="84">
        <v>2120</v>
      </c>
      <c r="G179" s="84"/>
    </row>
    <row r="180" spans="1:7" s="73" customFormat="1" ht="14.25" customHeight="1">
      <c r="A180" s="84" t="s">
        <v>273</v>
      </c>
      <c r="B180" s="84" t="s">
        <v>3464</v>
      </c>
      <c r="C180" s="84"/>
      <c r="D180" s="84"/>
      <c r="E180" s="84"/>
      <c r="F180" s="84">
        <v>2340</v>
      </c>
      <c r="G180" s="84"/>
    </row>
    <row r="181" spans="1:7" s="73" customFormat="1" ht="14.25" customHeight="1">
      <c r="A181" s="84" t="s">
        <v>273</v>
      </c>
      <c r="B181" s="84" t="s">
        <v>3465</v>
      </c>
      <c r="C181" s="84"/>
      <c r="D181" s="84"/>
      <c r="E181" s="84"/>
      <c r="F181" s="84">
        <v>2340</v>
      </c>
      <c r="G181" s="84"/>
    </row>
    <row r="182" spans="1:7" s="73" customFormat="1" ht="14.25" customHeight="1">
      <c r="A182" s="84" t="s">
        <v>273</v>
      </c>
      <c r="B182" s="84" t="s">
        <v>3466</v>
      </c>
      <c r="C182" s="84"/>
      <c r="D182" s="84"/>
      <c r="E182" s="84"/>
      <c r="F182" s="84">
        <v>2340</v>
      </c>
      <c r="G182" s="84"/>
    </row>
    <row r="183" spans="1:7" s="73" customFormat="1" ht="14.25" customHeight="1">
      <c r="A183" s="84" t="s">
        <v>273</v>
      </c>
      <c r="B183" s="84" t="s">
        <v>3467</v>
      </c>
      <c r="C183" s="84"/>
      <c r="D183" s="84"/>
      <c r="E183" s="84"/>
      <c r="F183" s="84">
        <v>2340</v>
      </c>
      <c r="G183" s="84"/>
    </row>
    <row r="184" spans="1:7" s="73" customFormat="1" ht="14.25" customHeight="1">
      <c r="A184" s="84" t="s">
        <v>273</v>
      </c>
      <c r="B184" s="84" t="s">
        <v>3468</v>
      </c>
      <c r="C184" s="84"/>
      <c r="D184" s="84"/>
      <c r="E184" s="84"/>
      <c r="F184" s="84">
        <v>2340</v>
      </c>
      <c r="G184" s="84"/>
    </row>
    <row r="185" spans="1:7" s="73" customFormat="1" ht="14.25" customHeight="1">
      <c r="A185" s="84" t="s">
        <v>273</v>
      </c>
      <c r="B185" s="84" t="s">
        <v>3469</v>
      </c>
      <c r="C185" s="84"/>
      <c r="D185" s="84"/>
      <c r="E185" s="84"/>
      <c r="F185" s="84">
        <v>2530</v>
      </c>
      <c r="G185" s="84"/>
    </row>
    <row r="186" spans="1:7" s="73" customFormat="1" ht="14.25" customHeight="1">
      <c r="A186" s="84" t="s">
        <v>273</v>
      </c>
      <c r="B186" s="84" t="s">
        <v>3470</v>
      </c>
      <c r="C186" s="84"/>
      <c r="D186" s="84"/>
      <c r="E186" s="84"/>
      <c r="F186" s="84">
        <v>2550</v>
      </c>
      <c r="G186" s="84"/>
    </row>
    <row r="187" spans="1:7" s="73" customFormat="1" ht="14.25" customHeight="1">
      <c r="A187" s="84" t="s">
        <v>273</v>
      </c>
      <c r="B187" s="84" t="s">
        <v>3471</v>
      </c>
      <c r="C187" s="84"/>
      <c r="D187" s="84"/>
      <c r="E187" s="84"/>
      <c r="F187" s="84">
        <v>2070</v>
      </c>
      <c r="G187" s="84"/>
    </row>
    <row r="188" spans="1:7" s="73" customFormat="1" ht="14.25" customHeight="1">
      <c r="A188" s="84" t="s">
        <v>273</v>
      </c>
      <c r="B188" s="84" t="s">
        <v>3472</v>
      </c>
      <c r="C188" s="84"/>
      <c r="D188" s="84"/>
      <c r="E188" s="84"/>
      <c r="F188" s="84">
        <v>2340</v>
      </c>
      <c r="G188" s="84"/>
    </row>
    <row r="189" spans="1:7" s="73" customFormat="1" ht="14.25" customHeight="1">
      <c r="A189" s="86" t="s">
        <v>273</v>
      </c>
      <c r="B189" s="90" t="s">
        <v>3473</v>
      </c>
      <c r="C189" s="90"/>
      <c r="D189" s="90"/>
      <c r="E189" s="90"/>
      <c r="F189" s="90">
        <v>2050</v>
      </c>
      <c r="G189" s="90"/>
    </row>
    <row r="190" spans="1:7" s="73" customFormat="1" ht="14.25" customHeight="1">
      <c r="A190" s="82" t="s">
        <v>278</v>
      </c>
      <c r="B190" s="83" t="s">
        <v>3474</v>
      </c>
      <c r="C190" s="83">
        <v>8830</v>
      </c>
      <c r="D190" s="83">
        <v>8790</v>
      </c>
      <c r="E190" s="83">
        <v>11630</v>
      </c>
      <c r="F190" s="83">
        <v>1790</v>
      </c>
      <c r="G190" s="91">
        <v>5550</v>
      </c>
    </row>
    <row r="191" spans="1:7" s="73" customFormat="1" ht="14.25" customHeight="1">
      <c r="A191" s="84" t="s">
        <v>278</v>
      </c>
      <c r="B191" s="84" t="s">
        <v>3475</v>
      </c>
      <c r="C191" s="84">
        <v>9780</v>
      </c>
      <c r="D191" s="84">
        <v>9710</v>
      </c>
      <c r="E191" s="84">
        <v>12550</v>
      </c>
      <c r="F191" s="84">
        <v>1980</v>
      </c>
      <c r="G191" s="92">
        <v>6130</v>
      </c>
    </row>
    <row r="192" spans="1:7" s="73" customFormat="1" ht="14.25" customHeight="1">
      <c r="A192" s="84" t="s">
        <v>278</v>
      </c>
      <c r="B192" s="84" t="s">
        <v>3476</v>
      </c>
      <c r="C192" s="84">
        <v>8180</v>
      </c>
      <c r="D192" s="84">
        <v>8140</v>
      </c>
      <c r="E192" s="84">
        <v>10870</v>
      </c>
      <c r="F192" s="84">
        <v>1690</v>
      </c>
      <c r="G192" s="92">
        <v>5140</v>
      </c>
    </row>
    <row r="193" spans="1:7" s="73" customFormat="1" ht="14.25" customHeight="1">
      <c r="A193" s="84" t="s">
        <v>278</v>
      </c>
      <c r="B193" s="84" t="s">
        <v>3477</v>
      </c>
      <c r="C193" s="84">
        <v>8440</v>
      </c>
      <c r="D193" s="84">
        <v>8390</v>
      </c>
      <c r="E193" s="84">
        <v>11210</v>
      </c>
      <c r="F193" s="84">
        <v>1600</v>
      </c>
      <c r="G193" s="92">
        <v>5300</v>
      </c>
    </row>
    <row r="194" spans="1:7" s="73" customFormat="1" ht="14.25" customHeight="1">
      <c r="A194" s="84" t="s">
        <v>278</v>
      </c>
      <c r="B194" s="84" t="s">
        <v>3478</v>
      </c>
      <c r="C194" s="84">
        <v>8780</v>
      </c>
      <c r="D194" s="84">
        <v>8730</v>
      </c>
      <c r="E194" s="84">
        <v>11550</v>
      </c>
      <c r="F194" s="84">
        <v>1660</v>
      </c>
      <c r="G194" s="92">
        <v>5520</v>
      </c>
    </row>
    <row r="195" spans="1:7" s="73" customFormat="1" ht="14.25" customHeight="1">
      <c r="A195" s="84" t="s">
        <v>278</v>
      </c>
      <c r="B195" s="84" t="s">
        <v>3479</v>
      </c>
      <c r="C195" s="84">
        <v>8720</v>
      </c>
      <c r="D195" s="84">
        <v>8670</v>
      </c>
      <c r="E195" s="84">
        <v>11450</v>
      </c>
      <c r="F195" s="84">
        <v>1720</v>
      </c>
      <c r="G195" s="92">
        <v>5480</v>
      </c>
    </row>
    <row r="196" spans="1:7" s="73" customFormat="1" ht="14.25" customHeight="1">
      <c r="A196" s="84" t="s">
        <v>278</v>
      </c>
      <c r="B196" s="84" t="s">
        <v>3480</v>
      </c>
      <c r="C196" s="84">
        <v>8460</v>
      </c>
      <c r="D196" s="84">
        <v>8410</v>
      </c>
      <c r="E196" s="84">
        <v>11230</v>
      </c>
      <c r="F196" s="84">
        <v>1730</v>
      </c>
      <c r="G196" s="92">
        <v>5310</v>
      </c>
    </row>
    <row r="197" spans="1:7" s="73" customFormat="1" ht="14.25" customHeight="1">
      <c r="A197" s="84" t="s">
        <v>278</v>
      </c>
      <c r="B197" s="84" t="s">
        <v>3481</v>
      </c>
      <c r="C197" s="84">
        <v>8790</v>
      </c>
      <c r="D197" s="84">
        <v>8730</v>
      </c>
      <c r="E197" s="84">
        <v>11560</v>
      </c>
      <c r="F197" s="84">
        <v>1750</v>
      </c>
      <c r="G197" s="92">
        <v>5520</v>
      </c>
    </row>
    <row r="198" spans="1:7" s="73" customFormat="1" ht="14.25" customHeight="1">
      <c r="A198" s="84" t="s">
        <v>278</v>
      </c>
      <c r="B198" s="84" t="s">
        <v>3482</v>
      </c>
      <c r="C198" s="84">
        <v>8720</v>
      </c>
      <c r="D198" s="84">
        <v>8680</v>
      </c>
      <c r="E198" s="84">
        <v>11470</v>
      </c>
      <c r="F198" s="84"/>
      <c r="G198" s="92">
        <v>5480</v>
      </c>
    </row>
    <row r="199" spans="1:7" s="73" customFormat="1" ht="14.25" customHeight="1">
      <c r="A199" s="84" t="s">
        <v>278</v>
      </c>
      <c r="B199" s="84" t="s">
        <v>3483</v>
      </c>
      <c r="C199" s="84">
        <v>8690</v>
      </c>
      <c r="D199" s="84">
        <v>8630</v>
      </c>
      <c r="E199" s="84">
        <v>11350</v>
      </c>
      <c r="F199" s="84">
        <v>1600</v>
      </c>
      <c r="G199" s="92">
        <v>5450</v>
      </c>
    </row>
    <row r="200" spans="1:7" s="73" customFormat="1" ht="14.25" customHeight="1">
      <c r="A200" s="84" t="s">
        <v>278</v>
      </c>
      <c r="B200" s="84" t="s">
        <v>3484</v>
      </c>
      <c r="C200" s="84"/>
      <c r="D200" s="84"/>
      <c r="E200" s="84"/>
      <c r="F200" s="84">
        <v>1510</v>
      </c>
      <c r="G200" s="92"/>
    </row>
    <row r="201" spans="1:7" s="73" customFormat="1" ht="14.25" customHeight="1">
      <c r="A201" s="84" t="s">
        <v>278</v>
      </c>
      <c r="B201" s="84" t="s">
        <v>3485</v>
      </c>
      <c r="C201" s="84">
        <v>8440</v>
      </c>
      <c r="D201" s="84">
        <v>8390</v>
      </c>
      <c r="E201" s="84">
        <v>10930</v>
      </c>
      <c r="F201" s="84">
        <v>1500</v>
      </c>
      <c r="G201" s="92">
        <v>5300</v>
      </c>
    </row>
    <row r="202" spans="1:7" s="73" customFormat="1" ht="14.25" customHeight="1">
      <c r="A202" s="84" t="s">
        <v>278</v>
      </c>
      <c r="B202" s="84" t="s">
        <v>3486</v>
      </c>
      <c r="C202" s="84">
        <v>8530</v>
      </c>
      <c r="D202" s="84">
        <v>8490</v>
      </c>
      <c r="E202" s="84">
        <v>11160</v>
      </c>
      <c r="F202" s="84">
        <v>1580</v>
      </c>
      <c r="G202" s="92">
        <v>5360</v>
      </c>
    </row>
    <row r="203" spans="1:7" s="73" customFormat="1" ht="14.25" customHeight="1">
      <c r="A203" s="84" t="s">
        <v>278</v>
      </c>
      <c r="B203" s="84" t="s">
        <v>3487</v>
      </c>
      <c r="C203" s="84">
        <v>8130</v>
      </c>
      <c r="D203" s="84">
        <v>8070</v>
      </c>
      <c r="E203" s="84">
        <v>10820</v>
      </c>
      <c r="F203" s="84">
        <v>1690</v>
      </c>
      <c r="G203" s="92">
        <v>5100</v>
      </c>
    </row>
    <row r="204" spans="1:7" s="73" customFormat="1" ht="14.25" customHeight="1">
      <c r="A204" s="84" t="s">
        <v>278</v>
      </c>
      <c r="B204" s="84" t="s">
        <v>3488</v>
      </c>
      <c r="C204" s="84">
        <v>8350</v>
      </c>
      <c r="D204" s="84">
        <v>8290</v>
      </c>
      <c r="E204" s="84">
        <v>11080</v>
      </c>
      <c r="F204" s="84">
        <v>1450</v>
      </c>
      <c r="G204" s="92">
        <v>5240</v>
      </c>
    </row>
    <row r="205" spans="1:7" s="73" customFormat="1" ht="14.25" customHeight="1">
      <c r="A205" s="84" t="s">
        <v>278</v>
      </c>
      <c r="B205" s="84" t="s">
        <v>3489</v>
      </c>
      <c r="C205" s="84">
        <v>7190</v>
      </c>
      <c r="D205" s="84">
        <v>7130</v>
      </c>
      <c r="E205" s="84">
        <v>9490</v>
      </c>
      <c r="F205" s="84">
        <v>1470</v>
      </c>
      <c r="G205" s="92">
        <v>4510</v>
      </c>
    </row>
    <row r="206" spans="1:7" s="73" customFormat="1" ht="14.25" customHeight="1">
      <c r="A206" s="84" t="s">
        <v>278</v>
      </c>
      <c r="B206" s="84" t="s">
        <v>3490</v>
      </c>
      <c r="C206" s="84">
        <v>7000</v>
      </c>
      <c r="D206" s="84">
        <v>6950</v>
      </c>
      <c r="E206" s="84">
        <v>9170</v>
      </c>
      <c r="F206" s="84">
        <v>1400</v>
      </c>
      <c r="G206" s="92">
        <v>4380</v>
      </c>
    </row>
    <row r="207" spans="1:7" s="73" customFormat="1" ht="14.25" customHeight="1">
      <c r="A207" s="84" t="s">
        <v>278</v>
      </c>
      <c r="B207" s="84" t="s">
        <v>3491</v>
      </c>
      <c r="C207" s="84">
        <v>6950</v>
      </c>
      <c r="D207" s="84">
        <v>6900</v>
      </c>
      <c r="E207" s="84">
        <v>9110</v>
      </c>
      <c r="F207" s="84">
        <v>1790</v>
      </c>
      <c r="G207" s="92">
        <v>4360</v>
      </c>
    </row>
    <row r="208" spans="1:7" s="73" customFormat="1" ht="14.25" customHeight="1">
      <c r="A208" s="84" t="s">
        <v>278</v>
      </c>
      <c r="B208" s="84" t="s">
        <v>3492</v>
      </c>
      <c r="C208" s="84">
        <v>9470</v>
      </c>
      <c r="D208" s="84">
        <v>9410</v>
      </c>
      <c r="E208" s="84">
        <v>12330</v>
      </c>
      <c r="F208" s="84">
        <v>1770</v>
      </c>
      <c r="G208" s="92">
        <v>5940</v>
      </c>
    </row>
    <row r="209" spans="1:7" s="73" customFormat="1" ht="14.25" customHeight="1">
      <c r="A209" s="84" t="s">
        <v>278</v>
      </c>
      <c r="B209" s="84" t="s">
        <v>3493</v>
      </c>
      <c r="C209" s="84">
        <v>8740</v>
      </c>
      <c r="D209" s="84">
        <v>8700</v>
      </c>
      <c r="E209" s="84">
        <v>11500</v>
      </c>
      <c r="F209" s="84">
        <v>1730</v>
      </c>
      <c r="G209" s="92">
        <v>5490</v>
      </c>
    </row>
    <row r="210" spans="1:7" s="73" customFormat="1" ht="14.25" customHeight="1">
      <c r="A210" s="84" t="s">
        <v>278</v>
      </c>
      <c r="B210" s="84" t="s">
        <v>3494</v>
      </c>
      <c r="C210" s="84">
        <v>8710</v>
      </c>
      <c r="D210" s="84">
        <v>8660</v>
      </c>
      <c r="E210" s="84">
        <v>11440</v>
      </c>
      <c r="F210" s="84">
        <v>1740</v>
      </c>
      <c r="G210" s="92">
        <v>5470</v>
      </c>
    </row>
    <row r="211" spans="1:7" s="73" customFormat="1" ht="14.25" customHeight="1">
      <c r="A211" s="84" t="s">
        <v>278</v>
      </c>
      <c r="B211" s="84" t="s">
        <v>3495</v>
      </c>
      <c r="C211" s="84">
        <v>9480</v>
      </c>
      <c r="D211" s="84">
        <v>9430</v>
      </c>
      <c r="E211" s="84">
        <v>12360</v>
      </c>
      <c r="F211" s="84">
        <v>1820</v>
      </c>
      <c r="G211" s="92">
        <v>5950</v>
      </c>
    </row>
    <row r="212" spans="1:7" s="73" customFormat="1" ht="14.25" customHeight="1">
      <c r="A212" s="84" t="s">
        <v>278</v>
      </c>
      <c r="B212" s="84" t="s">
        <v>3496</v>
      </c>
      <c r="C212" s="84">
        <v>9070</v>
      </c>
      <c r="D212" s="84">
        <v>9020</v>
      </c>
      <c r="E212" s="84">
        <v>11720</v>
      </c>
      <c r="F212" s="84">
        <v>1850</v>
      </c>
      <c r="G212" s="92">
        <v>5700</v>
      </c>
    </row>
    <row r="213" spans="1:7" s="73" customFormat="1" ht="14.25" customHeight="1">
      <c r="A213" s="84" t="s">
        <v>278</v>
      </c>
      <c r="B213" s="84" t="s">
        <v>3497</v>
      </c>
      <c r="C213" s="84">
        <v>9030</v>
      </c>
      <c r="D213" s="84">
        <v>8980</v>
      </c>
      <c r="E213" s="84">
        <v>11670</v>
      </c>
      <c r="F213" s="84">
        <v>1690</v>
      </c>
      <c r="G213" s="92">
        <v>5670</v>
      </c>
    </row>
    <row r="214" spans="1:7" s="73" customFormat="1" ht="14.25" customHeight="1">
      <c r="A214" s="84" t="s">
        <v>278</v>
      </c>
      <c r="B214" s="84" t="s">
        <v>3498</v>
      </c>
      <c r="C214" s="84">
        <v>8090</v>
      </c>
      <c r="D214" s="84">
        <v>8030</v>
      </c>
      <c r="E214" s="84">
        <v>10780</v>
      </c>
      <c r="F214" s="84">
        <v>1570</v>
      </c>
      <c r="G214" s="92">
        <v>5070</v>
      </c>
    </row>
    <row r="215" spans="1:7" s="73" customFormat="1" ht="14.25" customHeight="1">
      <c r="A215" s="84" t="s">
        <v>278</v>
      </c>
      <c r="B215" s="84" t="s">
        <v>3499</v>
      </c>
      <c r="C215" s="84">
        <v>7950</v>
      </c>
      <c r="D215" s="84">
        <v>7900</v>
      </c>
      <c r="E215" s="84">
        <v>10560</v>
      </c>
      <c r="F215" s="84">
        <v>1630</v>
      </c>
      <c r="G215" s="92">
        <v>4990</v>
      </c>
    </row>
    <row r="216" spans="1:7" s="73" customFormat="1" ht="14.25" customHeight="1">
      <c r="A216" s="84" t="s">
        <v>278</v>
      </c>
      <c r="B216" s="84" t="s">
        <v>3500</v>
      </c>
      <c r="C216" s="84">
        <v>8490</v>
      </c>
      <c r="D216" s="84">
        <v>8440</v>
      </c>
      <c r="E216" s="84">
        <v>11260</v>
      </c>
      <c r="F216" s="84">
        <v>1690</v>
      </c>
      <c r="G216" s="92">
        <v>5330</v>
      </c>
    </row>
    <row r="217" spans="1:7" s="73" customFormat="1" ht="14.25" customHeight="1">
      <c r="A217" s="84" t="s">
        <v>278</v>
      </c>
      <c r="B217" s="84" t="s">
        <v>3501</v>
      </c>
      <c r="C217" s="84">
        <v>8200</v>
      </c>
      <c r="D217" s="84">
        <v>8150</v>
      </c>
      <c r="E217" s="84">
        <v>10910</v>
      </c>
      <c r="F217" s="84">
        <v>1670</v>
      </c>
      <c r="G217" s="92">
        <v>5150</v>
      </c>
    </row>
    <row r="218" spans="1:7" s="73" customFormat="1" ht="14.25" customHeight="1">
      <c r="A218" s="84" t="s">
        <v>278</v>
      </c>
      <c r="B218" s="84" t="s">
        <v>3502</v>
      </c>
      <c r="C218" s="84"/>
      <c r="D218" s="84"/>
      <c r="E218" s="84"/>
      <c r="F218" s="84">
        <v>2040</v>
      </c>
      <c r="G218" s="92"/>
    </row>
    <row r="219" spans="1:7" s="73" customFormat="1" ht="14.25" customHeight="1">
      <c r="A219" s="84" t="s">
        <v>278</v>
      </c>
      <c r="B219" s="84" t="s">
        <v>3503</v>
      </c>
      <c r="C219" s="84"/>
      <c r="D219" s="84"/>
      <c r="E219" s="84"/>
      <c r="F219" s="84">
        <v>2040</v>
      </c>
      <c r="G219" s="92"/>
    </row>
    <row r="220" spans="1:7" s="73" customFormat="1" ht="14.25" customHeight="1">
      <c r="A220" s="84" t="s">
        <v>278</v>
      </c>
      <c r="B220" s="84" t="s">
        <v>3504</v>
      </c>
      <c r="C220" s="84"/>
      <c r="D220" s="84"/>
      <c r="E220" s="84"/>
      <c r="F220" s="84">
        <v>2040</v>
      </c>
      <c r="G220" s="92"/>
    </row>
    <row r="221" spans="1:7" s="73" customFormat="1" ht="14.25" customHeight="1">
      <c r="A221" s="84" t="s">
        <v>278</v>
      </c>
      <c r="B221" s="84" t="s">
        <v>3505</v>
      </c>
      <c r="C221" s="84"/>
      <c r="D221" s="84"/>
      <c r="E221" s="84"/>
      <c r="F221" s="84">
        <v>2040</v>
      </c>
      <c r="G221" s="92"/>
    </row>
    <row r="222" spans="1:7" s="73" customFormat="1" ht="14.25" customHeight="1">
      <c r="A222" s="84" t="s">
        <v>278</v>
      </c>
      <c r="B222" s="84" t="s">
        <v>3506</v>
      </c>
      <c r="C222" s="84"/>
      <c r="D222" s="84"/>
      <c r="E222" s="84"/>
      <c r="F222" s="84">
        <v>2040</v>
      </c>
      <c r="G222" s="92"/>
    </row>
    <row r="223" spans="1:7" s="73" customFormat="1" ht="14.25" customHeight="1">
      <c r="A223" s="84" t="s">
        <v>278</v>
      </c>
      <c r="B223" s="84" t="s">
        <v>3507</v>
      </c>
      <c r="C223" s="84"/>
      <c r="D223" s="84"/>
      <c r="E223" s="84"/>
      <c r="F223" s="84">
        <v>1930</v>
      </c>
      <c r="G223" s="92"/>
    </row>
    <row r="224" spans="1:7" s="73" customFormat="1" ht="14.25" customHeight="1">
      <c r="A224" s="84" t="s">
        <v>278</v>
      </c>
      <c r="B224" s="84" t="s">
        <v>3508</v>
      </c>
      <c r="C224" s="84"/>
      <c r="D224" s="84"/>
      <c r="E224" s="84"/>
      <c r="F224" s="84">
        <v>1930</v>
      </c>
      <c r="G224" s="92"/>
    </row>
    <row r="225" spans="1:7" s="73" customFormat="1" ht="14.25" customHeight="1">
      <c r="A225" s="84" t="s">
        <v>278</v>
      </c>
      <c r="B225" s="84" t="s">
        <v>3509</v>
      </c>
      <c r="C225" s="84"/>
      <c r="D225" s="84"/>
      <c r="E225" s="84"/>
      <c r="F225" s="84">
        <v>1930</v>
      </c>
      <c r="G225" s="92"/>
    </row>
    <row r="226" spans="1:7" s="73" customFormat="1" ht="14.25" customHeight="1">
      <c r="A226" s="84" t="s">
        <v>278</v>
      </c>
      <c r="B226" s="84" t="s">
        <v>3510</v>
      </c>
      <c r="C226" s="84"/>
      <c r="D226" s="84"/>
      <c r="E226" s="84"/>
      <c r="F226" s="84">
        <v>1700</v>
      </c>
      <c r="G226" s="92"/>
    </row>
    <row r="227" spans="1:7" s="73" customFormat="1" ht="14.25" customHeight="1">
      <c r="A227" s="84" t="s">
        <v>278</v>
      </c>
      <c r="B227" s="84" t="s">
        <v>3798</v>
      </c>
      <c r="C227" s="84"/>
      <c r="D227" s="84"/>
      <c r="E227" s="84"/>
      <c r="F227" s="84">
        <v>1520</v>
      </c>
      <c r="G227" s="92"/>
    </row>
    <row r="228" spans="1:7" s="73" customFormat="1" ht="14.25" customHeight="1">
      <c r="A228" s="84" t="s">
        <v>278</v>
      </c>
      <c r="B228" s="84" t="s">
        <v>3799</v>
      </c>
      <c r="C228" s="84"/>
      <c r="D228" s="84"/>
      <c r="E228" s="84"/>
      <c r="F228" s="84">
        <v>1520</v>
      </c>
      <c r="G228" s="92"/>
    </row>
    <row r="229" spans="1:7" s="73" customFormat="1" ht="14.25" customHeight="1">
      <c r="A229" s="84" t="s">
        <v>278</v>
      </c>
      <c r="B229" s="84" t="s">
        <v>3800</v>
      </c>
      <c r="C229" s="84"/>
      <c r="D229" s="84"/>
      <c r="E229" s="84"/>
      <c r="F229" s="84">
        <v>1520</v>
      </c>
      <c r="G229" s="92"/>
    </row>
    <row r="230" spans="1:7" s="73" customFormat="1" ht="14.25" customHeight="1">
      <c r="A230" s="84" t="s">
        <v>278</v>
      </c>
      <c r="B230" s="84" t="s">
        <v>3514</v>
      </c>
      <c r="C230" s="84"/>
      <c r="D230" s="84"/>
      <c r="E230" s="84"/>
      <c r="F230" s="84">
        <v>1820</v>
      </c>
      <c r="G230" s="92"/>
    </row>
    <row r="231" spans="1:7" s="73" customFormat="1" ht="14.25" customHeight="1">
      <c r="A231" s="84" t="s">
        <v>278</v>
      </c>
      <c r="B231" s="84" t="s">
        <v>3515</v>
      </c>
      <c r="C231" s="84"/>
      <c r="D231" s="84"/>
      <c r="E231" s="84"/>
      <c r="F231" s="84">
        <v>1760</v>
      </c>
      <c r="G231" s="92"/>
    </row>
    <row r="232" spans="1:7" s="73" customFormat="1" ht="14.25" customHeight="1">
      <c r="A232" s="84" t="s">
        <v>278</v>
      </c>
      <c r="B232" s="84" t="s">
        <v>3801</v>
      </c>
      <c r="C232" s="84"/>
      <c r="D232" s="84"/>
      <c r="E232" s="84"/>
      <c r="F232" s="84">
        <v>1840</v>
      </c>
      <c r="G232" s="92"/>
    </row>
    <row r="233" spans="1:7" s="73" customFormat="1" ht="14.25" customHeight="1">
      <c r="A233" s="93" t="s">
        <v>278</v>
      </c>
      <c r="B233" s="88" t="s">
        <v>3517</v>
      </c>
      <c r="C233" s="88"/>
      <c r="D233" s="88"/>
      <c r="E233" s="88"/>
      <c r="F233" s="88">
        <v>1770</v>
      </c>
      <c r="G233" s="94"/>
    </row>
    <row r="234" spans="1:7" s="73" customFormat="1" ht="14.25" customHeight="1">
      <c r="A234" s="82" t="s">
        <v>284</v>
      </c>
      <c r="B234" s="83" t="s">
        <v>3518</v>
      </c>
      <c r="C234" s="84">
        <v>6980</v>
      </c>
      <c r="D234" s="84">
        <v>6970</v>
      </c>
      <c r="E234" s="84">
        <v>8720</v>
      </c>
      <c r="F234" s="84">
        <v>1350</v>
      </c>
      <c r="G234" s="84">
        <v>4280</v>
      </c>
    </row>
    <row r="235" spans="1:7" s="73" customFormat="1" ht="14.25" customHeight="1">
      <c r="A235" s="84" t="s">
        <v>284</v>
      </c>
      <c r="B235" s="84" t="s">
        <v>3519</v>
      </c>
      <c r="C235" s="84">
        <v>7620</v>
      </c>
      <c r="D235" s="84">
        <v>7580</v>
      </c>
      <c r="E235" s="84">
        <v>9360</v>
      </c>
      <c r="F235" s="84">
        <v>1490</v>
      </c>
      <c r="G235" s="84">
        <v>4650</v>
      </c>
    </row>
    <row r="236" spans="1:7" s="73" customFormat="1" ht="14.25" customHeight="1">
      <c r="A236" s="84" t="s">
        <v>284</v>
      </c>
      <c r="B236" s="84" t="s">
        <v>3520</v>
      </c>
      <c r="C236" s="84">
        <v>6650</v>
      </c>
      <c r="D236" s="84">
        <v>6630</v>
      </c>
      <c r="E236" s="84">
        <v>8330</v>
      </c>
      <c r="F236" s="84">
        <v>1250</v>
      </c>
      <c r="G236" s="84">
        <v>4070</v>
      </c>
    </row>
    <row r="237" spans="1:7" s="73" customFormat="1" ht="14.25" customHeight="1">
      <c r="A237" s="84" t="s">
        <v>284</v>
      </c>
      <c r="B237" s="84" t="s">
        <v>3521</v>
      </c>
      <c r="C237" s="84">
        <v>5850</v>
      </c>
      <c r="D237" s="84">
        <v>5820</v>
      </c>
      <c r="E237" s="84">
        <v>7260</v>
      </c>
      <c r="F237" s="84">
        <v>1140</v>
      </c>
      <c r="G237" s="84">
        <v>3570</v>
      </c>
    </row>
    <row r="238" spans="1:7" s="73" customFormat="1" ht="14.25" customHeight="1">
      <c r="A238" s="84" t="s">
        <v>284</v>
      </c>
      <c r="B238" s="84" t="s">
        <v>3522</v>
      </c>
      <c r="C238" s="84">
        <v>6920</v>
      </c>
      <c r="D238" s="84">
        <v>6890</v>
      </c>
      <c r="E238" s="84">
        <v>8640</v>
      </c>
      <c r="F238" s="84">
        <v>1310</v>
      </c>
      <c r="G238" s="84">
        <v>4230</v>
      </c>
    </row>
    <row r="239" spans="1:7" s="73" customFormat="1" ht="14.25" customHeight="1">
      <c r="A239" s="84" t="s">
        <v>284</v>
      </c>
      <c r="B239" s="84" t="s">
        <v>3523</v>
      </c>
      <c r="C239" s="84">
        <v>6780</v>
      </c>
      <c r="D239" s="84">
        <v>6750</v>
      </c>
      <c r="E239" s="84">
        <v>8440</v>
      </c>
      <c r="F239" s="84">
        <v>1160</v>
      </c>
      <c r="G239" s="84">
        <v>4140</v>
      </c>
    </row>
    <row r="240" spans="1:7" s="73" customFormat="1" ht="14.25" customHeight="1">
      <c r="A240" s="84" t="s">
        <v>284</v>
      </c>
      <c r="B240" s="84" t="s">
        <v>3524</v>
      </c>
      <c r="C240" s="84">
        <v>5420</v>
      </c>
      <c r="D240" s="84">
        <v>5380</v>
      </c>
      <c r="E240" s="84">
        <v>6640</v>
      </c>
      <c r="F240" s="84">
        <v>1020</v>
      </c>
      <c r="G240" s="84">
        <v>3300</v>
      </c>
    </row>
    <row r="241" spans="1:7" s="73" customFormat="1" ht="14.25" customHeight="1">
      <c r="A241" s="84" t="s">
        <v>284</v>
      </c>
      <c r="B241" s="84" t="s">
        <v>3525</v>
      </c>
      <c r="C241" s="84">
        <v>6660</v>
      </c>
      <c r="D241" s="84">
        <v>6640</v>
      </c>
      <c r="E241" s="84">
        <v>8340</v>
      </c>
      <c r="F241" s="84">
        <v>1130</v>
      </c>
      <c r="G241" s="84">
        <v>4080</v>
      </c>
    </row>
    <row r="242" spans="1:7" s="73" customFormat="1" ht="14.25" customHeight="1">
      <c r="A242" s="84" t="s">
        <v>284</v>
      </c>
      <c r="B242" s="84" t="s">
        <v>3526</v>
      </c>
      <c r="C242" s="84">
        <v>6580</v>
      </c>
      <c r="D242" s="84">
        <v>6550</v>
      </c>
      <c r="E242" s="84">
        <v>8090</v>
      </c>
      <c r="F242" s="84">
        <v>1240</v>
      </c>
      <c r="G242" s="84">
        <v>4020</v>
      </c>
    </row>
    <row r="243" spans="1:7" s="73" customFormat="1" ht="14.25" customHeight="1">
      <c r="A243" s="84" t="s">
        <v>284</v>
      </c>
      <c r="B243" s="84" t="s">
        <v>3527</v>
      </c>
      <c r="C243" s="84">
        <v>6000</v>
      </c>
      <c r="D243" s="84">
        <v>5970</v>
      </c>
      <c r="E243" s="84">
        <v>7370</v>
      </c>
      <c r="F243" s="84">
        <v>1070</v>
      </c>
      <c r="G243" s="84">
        <v>3670</v>
      </c>
    </row>
    <row r="244" spans="1:7" s="73" customFormat="1" ht="14.25" customHeight="1">
      <c r="A244" s="84" t="s">
        <v>284</v>
      </c>
      <c r="B244" s="84" t="s">
        <v>3528</v>
      </c>
      <c r="C244" s="84">
        <v>5840</v>
      </c>
      <c r="D244" s="84">
        <v>5810</v>
      </c>
      <c r="E244" s="84">
        <v>7240</v>
      </c>
      <c r="F244" s="84">
        <v>1100</v>
      </c>
      <c r="G244" s="84">
        <v>3560</v>
      </c>
    </row>
    <row r="245" spans="1:7" s="73" customFormat="1" ht="14.25" customHeight="1">
      <c r="A245" s="84" t="s">
        <v>284</v>
      </c>
      <c r="B245" s="84" t="s">
        <v>3529</v>
      </c>
      <c r="C245" s="84">
        <v>6040</v>
      </c>
      <c r="D245" s="84">
        <v>6000</v>
      </c>
      <c r="E245" s="84">
        <v>7420</v>
      </c>
      <c r="F245" s="84">
        <v>1140</v>
      </c>
      <c r="G245" s="84">
        <v>3690</v>
      </c>
    </row>
    <row r="246" spans="1:7" s="73" customFormat="1" ht="14.25" customHeight="1">
      <c r="A246" s="84" t="s">
        <v>284</v>
      </c>
      <c r="B246" s="84" t="s">
        <v>3530</v>
      </c>
      <c r="C246" s="84">
        <v>5890</v>
      </c>
      <c r="D246" s="84">
        <v>5860</v>
      </c>
      <c r="E246" s="84">
        <v>7300</v>
      </c>
      <c r="F246" s="84">
        <v>1110</v>
      </c>
      <c r="G246" s="84">
        <v>3590</v>
      </c>
    </row>
    <row r="247" spans="1:7" s="73" customFormat="1" ht="14.25" customHeight="1">
      <c r="A247" s="84" t="s">
        <v>284</v>
      </c>
      <c r="B247" s="84" t="s">
        <v>3531</v>
      </c>
      <c r="C247" s="84">
        <v>6480</v>
      </c>
      <c r="D247" s="84">
        <v>6450</v>
      </c>
      <c r="E247" s="84">
        <v>8010</v>
      </c>
      <c r="F247" s="84">
        <v>1170</v>
      </c>
      <c r="G247" s="84">
        <v>3960</v>
      </c>
    </row>
    <row r="248" spans="1:7" s="73" customFormat="1" ht="14.25" customHeight="1">
      <c r="A248" s="84" t="s">
        <v>284</v>
      </c>
      <c r="B248" s="84" t="s">
        <v>3532</v>
      </c>
      <c r="C248" s="84">
        <v>6860</v>
      </c>
      <c r="D248" s="84">
        <v>6840</v>
      </c>
      <c r="E248" s="84">
        <v>8520</v>
      </c>
      <c r="F248" s="84">
        <v>1240</v>
      </c>
      <c r="G248" s="84">
        <v>4200</v>
      </c>
    </row>
    <row r="249" spans="1:7" s="73" customFormat="1" ht="14.25" customHeight="1">
      <c r="A249" s="84" t="s">
        <v>284</v>
      </c>
      <c r="B249" s="84" t="s">
        <v>3533</v>
      </c>
      <c r="C249" s="84">
        <v>7180</v>
      </c>
      <c r="D249" s="84">
        <v>7140</v>
      </c>
      <c r="E249" s="84">
        <v>8900</v>
      </c>
      <c r="F249" s="84">
        <v>1350</v>
      </c>
      <c r="G249" s="84">
        <v>4380</v>
      </c>
    </row>
    <row r="250" spans="1:7" s="73" customFormat="1" ht="14.25" customHeight="1">
      <c r="A250" s="84" t="s">
        <v>284</v>
      </c>
      <c r="B250" s="84" t="s">
        <v>3534</v>
      </c>
      <c r="C250" s="84">
        <v>6880</v>
      </c>
      <c r="D250" s="84">
        <v>6860</v>
      </c>
      <c r="E250" s="84">
        <v>8550</v>
      </c>
      <c r="F250" s="84">
        <v>1220</v>
      </c>
      <c r="G250" s="84">
        <v>4210</v>
      </c>
    </row>
    <row r="251" spans="1:7" s="73" customFormat="1" ht="14.25" customHeight="1">
      <c r="A251" s="84" t="s">
        <v>284</v>
      </c>
      <c r="B251" s="84" t="s">
        <v>3535</v>
      </c>
      <c r="C251" s="84"/>
      <c r="D251" s="84"/>
      <c r="E251" s="84"/>
      <c r="F251" s="84">
        <v>1100</v>
      </c>
      <c r="G251" s="84"/>
    </row>
    <row r="252" spans="1:7" s="73" customFormat="1" ht="14.25" customHeight="1">
      <c r="A252" s="84" t="s">
        <v>284</v>
      </c>
      <c r="B252" s="84" t="s">
        <v>3536</v>
      </c>
      <c r="C252" s="84">
        <v>7240</v>
      </c>
      <c r="D252" s="84">
        <v>7200</v>
      </c>
      <c r="E252" s="84">
        <v>9040</v>
      </c>
      <c r="F252" s="84">
        <v>1380</v>
      </c>
      <c r="G252" s="84">
        <v>4420</v>
      </c>
    </row>
    <row r="253" spans="1:7" s="73" customFormat="1" ht="14.25" customHeight="1">
      <c r="A253" s="84" t="s">
        <v>284</v>
      </c>
      <c r="B253" s="84" t="s">
        <v>3537</v>
      </c>
      <c r="C253" s="84">
        <v>6670</v>
      </c>
      <c r="D253" s="84">
        <v>6650</v>
      </c>
      <c r="E253" s="84">
        <v>8350</v>
      </c>
      <c r="F253" s="84">
        <v>1260</v>
      </c>
      <c r="G253" s="84">
        <v>4080</v>
      </c>
    </row>
    <row r="254" spans="1:7" s="73" customFormat="1" ht="14.25" customHeight="1">
      <c r="A254" s="84" t="s">
        <v>284</v>
      </c>
      <c r="B254" s="84" t="s">
        <v>3538</v>
      </c>
      <c r="C254" s="84">
        <v>7630</v>
      </c>
      <c r="D254" s="84">
        <v>7590</v>
      </c>
      <c r="E254" s="84">
        <v>9380</v>
      </c>
      <c r="F254" s="84">
        <v>1320</v>
      </c>
      <c r="G254" s="84">
        <v>4660</v>
      </c>
    </row>
    <row r="255" spans="1:7" s="73" customFormat="1" ht="14.25" customHeight="1">
      <c r="A255" s="84" t="s">
        <v>284</v>
      </c>
      <c r="B255" s="84" t="s">
        <v>3539</v>
      </c>
      <c r="C255" s="84">
        <v>6940</v>
      </c>
      <c r="D255" s="84">
        <v>6890</v>
      </c>
      <c r="E255" s="84">
        <v>8650</v>
      </c>
      <c r="F255" s="84">
        <v>1210</v>
      </c>
      <c r="G255" s="84">
        <v>4230</v>
      </c>
    </row>
    <row r="256" spans="1:7" s="73" customFormat="1" ht="14.25" customHeight="1">
      <c r="A256" s="84" t="s">
        <v>284</v>
      </c>
      <c r="B256" s="84" t="s">
        <v>3540</v>
      </c>
      <c r="C256" s="84">
        <v>7520</v>
      </c>
      <c r="D256" s="84">
        <v>7490</v>
      </c>
      <c r="E256" s="84">
        <v>9240</v>
      </c>
      <c r="F256" s="84">
        <v>1270</v>
      </c>
      <c r="G256" s="84">
        <v>4590</v>
      </c>
    </row>
    <row r="257" spans="1:7" s="73" customFormat="1" ht="14.25" customHeight="1">
      <c r="A257" s="84" t="s">
        <v>284</v>
      </c>
      <c r="B257" s="84" t="s">
        <v>3541</v>
      </c>
      <c r="C257" s="84">
        <v>6280</v>
      </c>
      <c r="D257" s="84">
        <v>6230</v>
      </c>
      <c r="E257" s="84">
        <v>7740</v>
      </c>
      <c r="F257" s="84">
        <v>1080</v>
      </c>
      <c r="G257" s="84">
        <v>3830</v>
      </c>
    </row>
    <row r="258" spans="1:7" s="73" customFormat="1" ht="14.25" customHeight="1">
      <c r="A258" s="84" t="s">
        <v>284</v>
      </c>
      <c r="B258" s="84" t="s">
        <v>3542</v>
      </c>
      <c r="C258" s="84">
        <v>6190</v>
      </c>
      <c r="D258" s="84">
        <v>6160</v>
      </c>
      <c r="E258" s="84">
        <v>7680</v>
      </c>
      <c r="F258" s="84">
        <v>1170</v>
      </c>
      <c r="G258" s="84">
        <v>3780</v>
      </c>
    </row>
    <row r="259" spans="1:7" s="73" customFormat="1" ht="14.25" customHeight="1">
      <c r="A259" s="84" t="s">
        <v>284</v>
      </c>
      <c r="B259" s="84" t="s">
        <v>3543</v>
      </c>
      <c r="C259" s="84">
        <v>7610</v>
      </c>
      <c r="D259" s="84">
        <v>7570</v>
      </c>
      <c r="E259" s="84">
        <v>9350</v>
      </c>
      <c r="F259" s="84">
        <v>1350</v>
      </c>
      <c r="G259" s="84">
        <v>4650</v>
      </c>
    </row>
    <row r="260" spans="1:7" s="73" customFormat="1" ht="14.25" customHeight="1">
      <c r="A260" s="84" t="s">
        <v>284</v>
      </c>
      <c r="B260" s="84" t="s">
        <v>3544</v>
      </c>
      <c r="C260" s="84">
        <v>6920</v>
      </c>
      <c r="D260" s="84">
        <v>6880</v>
      </c>
      <c r="E260" s="84">
        <v>8380</v>
      </c>
      <c r="F260" s="84">
        <v>1160</v>
      </c>
      <c r="G260" s="84">
        <v>4220</v>
      </c>
    </row>
    <row r="261" spans="1:7" s="73" customFormat="1" ht="14.25" customHeight="1">
      <c r="A261" s="84" t="s">
        <v>284</v>
      </c>
      <c r="B261" s="84" t="s">
        <v>3545</v>
      </c>
      <c r="C261" s="84">
        <v>6850</v>
      </c>
      <c r="D261" s="84">
        <v>6810</v>
      </c>
      <c r="E261" s="84">
        <v>8290</v>
      </c>
      <c r="F261" s="84">
        <v>1130</v>
      </c>
      <c r="G261" s="84">
        <v>4180</v>
      </c>
    </row>
    <row r="262" spans="1:7" s="73" customFormat="1" ht="14.25" customHeight="1">
      <c r="A262" s="84" t="s">
        <v>284</v>
      </c>
      <c r="B262" s="84" t="s">
        <v>3546</v>
      </c>
      <c r="C262" s="84">
        <v>5860</v>
      </c>
      <c r="D262" s="84">
        <v>5820</v>
      </c>
      <c r="E262" s="84">
        <v>7640</v>
      </c>
      <c r="F262" s="84">
        <v>1070</v>
      </c>
      <c r="G262" s="84">
        <v>3570</v>
      </c>
    </row>
    <row r="263" spans="1:7" s="73" customFormat="1" ht="14.25" customHeight="1">
      <c r="A263" s="84" t="s">
        <v>284</v>
      </c>
      <c r="B263" s="84" t="s">
        <v>3547</v>
      </c>
      <c r="C263" s="84">
        <v>5870</v>
      </c>
      <c r="D263" s="84">
        <v>5840</v>
      </c>
      <c r="E263" s="84">
        <v>7270</v>
      </c>
      <c r="F263" s="84">
        <v>1190</v>
      </c>
      <c r="G263" s="84">
        <v>3580</v>
      </c>
    </row>
    <row r="264" spans="1:7" s="73" customFormat="1" ht="14.25" customHeight="1">
      <c r="A264" s="84" t="s">
        <v>284</v>
      </c>
      <c r="B264" s="84" t="s">
        <v>3548</v>
      </c>
      <c r="C264" s="84">
        <v>6190</v>
      </c>
      <c r="D264" s="84">
        <v>6150</v>
      </c>
      <c r="E264" s="84">
        <v>7660</v>
      </c>
      <c r="F264" s="84">
        <v>1160</v>
      </c>
      <c r="G264" s="84">
        <v>3770</v>
      </c>
    </row>
    <row r="265" spans="1:7" s="73" customFormat="1" ht="14.25" customHeight="1">
      <c r="A265" s="84" t="s">
        <v>284</v>
      </c>
      <c r="B265" s="84" t="s">
        <v>3549</v>
      </c>
      <c r="C265" s="84"/>
      <c r="D265" s="84"/>
      <c r="E265" s="84"/>
      <c r="F265" s="84">
        <v>1500</v>
      </c>
      <c r="G265" s="84"/>
    </row>
    <row r="266" spans="1:7" s="73" customFormat="1" ht="14.25" customHeight="1">
      <c r="A266" s="84" t="s">
        <v>284</v>
      </c>
      <c r="B266" s="84" t="s">
        <v>3550</v>
      </c>
      <c r="C266" s="84"/>
      <c r="D266" s="84"/>
      <c r="E266" s="84"/>
      <c r="F266" s="84">
        <v>1500</v>
      </c>
      <c r="G266" s="84"/>
    </row>
    <row r="267" spans="1:7" s="73" customFormat="1" ht="14.25" customHeight="1">
      <c r="A267" s="84" t="s">
        <v>284</v>
      </c>
      <c r="B267" s="84" t="s">
        <v>3551</v>
      </c>
      <c r="C267" s="84"/>
      <c r="D267" s="84"/>
      <c r="E267" s="84"/>
      <c r="F267" s="84">
        <v>1500</v>
      </c>
      <c r="G267" s="84"/>
    </row>
    <row r="268" spans="1:7" s="73" customFormat="1" ht="14.25" customHeight="1">
      <c r="A268" s="84" t="s">
        <v>284</v>
      </c>
      <c r="B268" s="84" t="s">
        <v>3552</v>
      </c>
      <c r="C268" s="84"/>
      <c r="D268" s="84"/>
      <c r="E268" s="84"/>
      <c r="F268" s="84">
        <v>1290</v>
      </c>
      <c r="G268" s="84"/>
    </row>
    <row r="269" spans="1:7" s="73" customFormat="1" ht="14.25" customHeight="1">
      <c r="A269" s="84" t="s">
        <v>284</v>
      </c>
      <c r="B269" s="84" t="s">
        <v>3553</v>
      </c>
      <c r="C269" s="84"/>
      <c r="D269" s="84"/>
      <c r="E269" s="84"/>
      <c r="F269" s="84">
        <v>1150</v>
      </c>
      <c r="G269" s="84"/>
    </row>
    <row r="270" spans="1:7" s="73" customFormat="1" ht="14.25" customHeight="1">
      <c r="A270" s="84" t="s">
        <v>284</v>
      </c>
      <c r="B270" s="84" t="s">
        <v>3554</v>
      </c>
      <c r="C270" s="84"/>
      <c r="D270" s="84"/>
      <c r="E270" s="84"/>
      <c r="F270" s="84">
        <v>1380</v>
      </c>
      <c r="G270" s="84"/>
    </row>
    <row r="271" spans="1:7" s="73" customFormat="1" ht="14.25" customHeight="1">
      <c r="A271" s="84" t="s">
        <v>284</v>
      </c>
      <c r="B271" s="84" t="s">
        <v>3555</v>
      </c>
      <c r="C271" s="84"/>
      <c r="D271" s="84"/>
      <c r="E271" s="84"/>
      <c r="F271" s="84">
        <v>1460</v>
      </c>
      <c r="G271" s="84"/>
    </row>
    <row r="272" spans="1:7" s="73" customFormat="1" ht="14.25" customHeight="1">
      <c r="A272" s="84" t="s">
        <v>284</v>
      </c>
      <c r="B272" s="84" t="s">
        <v>3556</v>
      </c>
      <c r="C272" s="84"/>
      <c r="D272" s="84"/>
      <c r="E272" s="84"/>
      <c r="F272" s="84">
        <v>1460</v>
      </c>
      <c r="G272" s="84"/>
    </row>
    <row r="273" spans="1:7" s="73" customFormat="1" ht="14.25" customHeight="1">
      <c r="A273" s="84" t="s">
        <v>284</v>
      </c>
      <c r="B273" s="84" t="s">
        <v>3557</v>
      </c>
      <c r="C273" s="84"/>
      <c r="D273" s="84"/>
      <c r="E273" s="84"/>
      <c r="F273" s="84">
        <v>1490</v>
      </c>
      <c r="G273" s="84"/>
    </row>
    <row r="274" spans="1:7" s="73" customFormat="1" ht="14.25" customHeight="1">
      <c r="A274" s="84" t="s">
        <v>284</v>
      </c>
      <c r="B274" s="84" t="s">
        <v>3558</v>
      </c>
      <c r="C274" s="84"/>
      <c r="D274" s="84"/>
      <c r="E274" s="84"/>
      <c r="F274" s="84">
        <v>1490</v>
      </c>
      <c r="G274" s="84"/>
    </row>
    <row r="275" spans="1:7" s="73" customFormat="1" ht="14.25" customHeight="1">
      <c r="A275" s="84" t="s">
        <v>284</v>
      </c>
      <c r="B275" s="84" t="s">
        <v>3559</v>
      </c>
      <c r="C275" s="84"/>
      <c r="D275" s="84"/>
      <c r="E275" s="84"/>
      <c r="F275" s="84">
        <v>1220</v>
      </c>
      <c r="G275" s="84"/>
    </row>
    <row r="276" spans="1:7" s="73" customFormat="1" ht="14.25" customHeight="1">
      <c r="A276" s="86" t="s">
        <v>284</v>
      </c>
      <c r="B276" s="89" t="s">
        <v>3560</v>
      </c>
      <c r="C276" s="90"/>
      <c r="D276" s="90"/>
      <c r="E276" s="90"/>
      <c r="F276" s="90">
        <v>1380</v>
      </c>
      <c r="G276" s="90"/>
    </row>
    <row r="277" spans="1:7" s="73" customFormat="1" ht="14.25" customHeight="1">
      <c r="A277" s="82" t="s">
        <v>288</v>
      </c>
      <c r="B277" s="83" t="s">
        <v>3561</v>
      </c>
      <c r="C277" s="83">
        <v>5790</v>
      </c>
      <c r="D277" s="83">
        <v>5740</v>
      </c>
      <c r="E277" s="83">
        <v>6730</v>
      </c>
      <c r="F277" s="83">
        <v>1110</v>
      </c>
      <c r="G277" s="91">
        <v>3460</v>
      </c>
    </row>
    <row r="278" spans="1:7" s="73" customFormat="1" ht="14.25" customHeight="1">
      <c r="A278" s="84" t="s">
        <v>288</v>
      </c>
      <c r="B278" s="84" t="s">
        <v>3562</v>
      </c>
      <c r="C278" s="84">
        <v>5740</v>
      </c>
      <c r="D278" s="84">
        <v>5670</v>
      </c>
      <c r="E278" s="84">
        <v>6680</v>
      </c>
      <c r="F278" s="84">
        <v>1070</v>
      </c>
      <c r="G278" s="92">
        <v>3420</v>
      </c>
    </row>
    <row r="279" spans="1:7" s="73" customFormat="1" ht="14.25" customHeight="1">
      <c r="A279" s="84" t="s">
        <v>288</v>
      </c>
      <c r="B279" s="84" t="s">
        <v>3563</v>
      </c>
      <c r="C279" s="84">
        <v>4760</v>
      </c>
      <c r="D279" s="84">
        <v>4720</v>
      </c>
      <c r="E279" s="84">
        <v>5540</v>
      </c>
      <c r="F279" s="84">
        <v>810</v>
      </c>
      <c r="G279" s="92">
        <v>2850</v>
      </c>
    </row>
    <row r="280" spans="1:7" s="73" customFormat="1" ht="14.25" customHeight="1">
      <c r="A280" s="84" t="s">
        <v>288</v>
      </c>
      <c r="B280" s="84" t="s">
        <v>3564</v>
      </c>
      <c r="C280" s="84">
        <v>4010</v>
      </c>
      <c r="D280" s="84">
        <v>3950</v>
      </c>
      <c r="E280" s="84">
        <v>4710</v>
      </c>
      <c r="F280" s="84">
        <v>800</v>
      </c>
      <c r="G280" s="92">
        <v>2390</v>
      </c>
    </row>
    <row r="281" spans="1:7" s="73" customFormat="1" ht="14.25" customHeight="1">
      <c r="A281" s="84" t="s">
        <v>288</v>
      </c>
      <c r="B281" s="84" t="s">
        <v>3565</v>
      </c>
      <c r="C281" s="84">
        <v>4480</v>
      </c>
      <c r="D281" s="84">
        <v>4420</v>
      </c>
      <c r="E281" s="84">
        <v>5230</v>
      </c>
      <c r="F281" s="84">
        <v>870</v>
      </c>
      <c r="G281" s="92">
        <v>2660</v>
      </c>
    </row>
    <row r="282" spans="1:7" s="73" customFormat="1" ht="14.25" customHeight="1">
      <c r="A282" s="84" t="s">
        <v>288</v>
      </c>
      <c r="B282" s="84" t="s">
        <v>3566</v>
      </c>
      <c r="C282" s="84">
        <v>5360</v>
      </c>
      <c r="D282" s="84">
        <v>5300</v>
      </c>
      <c r="E282" s="84">
        <v>6190</v>
      </c>
      <c r="F282" s="84">
        <v>950</v>
      </c>
      <c r="G282" s="92">
        <v>3190</v>
      </c>
    </row>
    <row r="283" spans="1:7" s="73" customFormat="1" ht="14.25" customHeight="1">
      <c r="A283" s="84" t="s">
        <v>288</v>
      </c>
      <c r="B283" s="84" t="s">
        <v>3567</v>
      </c>
      <c r="C283" s="84">
        <v>4950</v>
      </c>
      <c r="D283" s="84">
        <v>4900</v>
      </c>
      <c r="E283" s="84">
        <v>5720</v>
      </c>
      <c r="F283" s="84">
        <v>920</v>
      </c>
      <c r="G283" s="92">
        <v>2950</v>
      </c>
    </row>
    <row r="284" spans="1:7" s="73" customFormat="1" ht="14.25" customHeight="1">
      <c r="A284" s="84" t="s">
        <v>288</v>
      </c>
      <c r="B284" s="84" t="s">
        <v>3568</v>
      </c>
      <c r="C284" s="84">
        <v>5610</v>
      </c>
      <c r="D284" s="84">
        <v>5560</v>
      </c>
      <c r="E284" s="84">
        <v>6520</v>
      </c>
      <c r="F284" s="84">
        <v>1030</v>
      </c>
      <c r="G284" s="92">
        <v>3360</v>
      </c>
    </row>
    <row r="285" spans="1:7" s="73" customFormat="1" ht="14.25" customHeight="1">
      <c r="A285" s="84" t="s">
        <v>288</v>
      </c>
      <c r="B285" s="84" t="s">
        <v>3569</v>
      </c>
      <c r="C285" s="84">
        <v>5340</v>
      </c>
      <c r="D285" s="84">
        <v>5290</v>
      </c>
      <c r="E285" s="84">
        <v>6170</v>
      </c>
      <c r="F285" s="84">
        <v>1080</v>
      </c>
      <c r="G285" s="92">
        <v>3180</v>
      </c>
    </row>
    <row r="286" spans="1:7" s="73" customFormat="1" ht="14.25" customHeight="1">
      <c r="A286" s="84" t="s">
        <v>288</v>
      </c>
      <c r="B286" s="84" t="s">
        <v>3570</v>
      </c>
      <c r="C286" s="84">
        <v>4890</v>
      </c>
      <c r="D286" s="84">
        <v>4840</v>
      </c>
      <c r="E286" s="84">
        <v>5640</v>
      </c>
      <c r="F286" s="84">
        <v>960</v>
      </c>
      <c r="G286" s="92">
        <v>2910</v>
      </c>
    </row>
    <row r="287" spans="1:7" s="73" customFormat="1" ht="14.25" customHeight="1">
      <c r="A287" s="84" t="s">
        <v>288</v>
      </c>
      <c r="B287" s="84" t="s">
        <v>3571</v>
      </c>
      <c r="C287" s="84">
        <v>4960</v>
      </c>
      <c r="D287" s="84">
        <v>4920</v>
      </c>
      <c r="E287" s="84">
        <v>5730</v>
      </c>
      <c r="F287" s="84">
        <v>930</v>
      </c>
      <c r="G287" s="92">
        <v>2960</v>
      </c>
    </row>
    <row r="288" spans="1:7" s="73" customFormat="1" ht="14.25" customHeight="1">
      <c r="A288" s="84" t="s">
        <v>288</v>
      </c>
      <c r="B288" s="84" t="s">
        <v>3572</v>
      </c>
      <c r="C288" s="84">
        <v>4350</v>
      </c>
      <c r="D288" s="84">
        <v>4300</v>
      </c>
      <c r="E288" s="84">
        <v>4900</v>
      </c>
      <c r="F288" s="84">
        <v>820</v>
      </c>
      <c r="G288" s="92">
        <v>2590</v>
      </c>
    </row>
    <row r="289" spans="1:7" s="73" customFormat="1" ht="14.25" customHeight="1">
      <c r="A289" s="84" t="s">
        <v>288</v>
      </c>
      <c r="B289" s="84" t="s">
        <v>3573</v>
      </c>
      <c r="C289" s="84">
        <v>5230</v>
      </c>
      <c r="D289" s="84">
        <v>5170</v>
      </c>
      <c r="E289" s="84">
        <v>6060</v>
      </c>
      <c r="F289" s="84">
        <v>900</v>
      </c>
      <c r="G289" s="92">
        <v>3120</v>
      </c>
    </row>
    <row r="290" spans="1:7" s="73" customFormat="1" ht="14.25" customHeight="1">
      <c r="A290" s="84" t="s">
        <v>288</v>
      </c>
      <c r="B290" s="84" t="s">
        <v>3574</v>
      </c>
      <c r="C290" s="84">
        <v>5550</v>
      </c>
      <c r="D290" s="84">
        <v>5500</v>
      </c>
      <c r="E290" s="84">
        <v>6440</v>
      </c>
      <c r="F290" s="84">
        <v>960</v>
      </c>
      <c r="G290" s="92">
        <v>3320</v>
      </c>
    </row>
    <row r="291" spans="1:7" s="73" customFormat="1" ht="14.25" customHeight="1">
      <c r="A291" s="84" t="s">
        <v>288</v>
      </c>
      <c r="B291" s="84" t="s">
        <v>3575</v>
      </c>
      <c r="C291" s="84">
        <v>5440</v>
      </c>
      <c r="D291" s="84">
        <v>5400</v>
      </c>
      <c r="E291" s="84">
        <v>6320</v>
      </c>
      <c r="F291" s="84">
        <v>930</v>
      </c>
      <c r="G291" s="92">
        <v>3250</v>
      </c>
    </row>
    <row r="292" spans="1:7" s="73" customFormat="1" ht="14.25" customHeight="1">
      <c r="A292" s="84" t="s">
        <v>288</v>
      </c>
      <c r="B292" s="84" t="s">
        <v>3576</v>
      </c>
      <c r="C292" s="84">
        <v>5400</v>
      </c>
      <c r="D292" s="84">
        <v>5360</v>
      </c>
      <c r="E292" s="84">
        <v>6270</v>
      </c>
      <c r="F292" s="84">
        <v>1040</v>
      </c>
      <c r="G292" s="92">
        <v>3230</v>
      </c>
    </row>
    <row r="293" spans="1:7" s="73" customFormat="1" ht="14.25" customHeight="1">
      <c r="A293" s="84" t="s">
        <v>288</v>
      </c>
      <c r="B293" s="84" t="s">
        <v>3577</v>
      </c>
      <c r="C293" s="84">
        <v>5320</v>
      </c>
      <c r="D293" s="84">
        <v>5270</v>
      </c>
      <c r="E293" s="84">
        <v>6160</v>
      </c>
      <c r="F293" s="84">
        <v>990</v>
      </c>
      <c r="G293" s="92">
        <v>3170</v>
      </c>
    </row>
    <row r="294" spans="1:7" s="73" customFormat="1" ht="14.25" customHeight="1">
      <c r="A294" s="84" t="s">
        <v>288</v>
      </c>
      <c r="B294" s="84" t="s">
        <v>3578</v>
      </c>
      <c r="C294" s="84">
        <v>5260</v>
      </c>
      <c r="D294" s="84">
        <v>5210</v>
      </c>
      <c r="E294" s="84">
        <v>6100</v>
      </c>
      <c r="F294" s="84">
        <v>950</v>
      </c>
      <c r="G294" s="92">
        <v>3150</v>
      </c>
    </row>
    <row r="295" spans="1:7" s="73" customFormat="1" ht="14.25" customHeight="1">
      <c r="A295" s="84" t="s">
        <v>288</v>
      </c>
      <c r="B295" s="84" t="s">
        <v>3579</v>
      </c>
      <c r="C295" s="84">
        <v>5610</v>
      </c>
      <c r="D295" s="84">
        <v>5570</v>
      </c>
      <c r="E295" s="84">
        <v>6530</v>
      </c>
      <c r="F295" s="84">
        <v>960</v>
      </c>
      <c r="G295" s="92">
        <v>3360</v>
      </c>
    </row>
    <row r="296" spans="1:7" s="73" customFormat="1" ht="14.25" customHeight="1">
      <c r="A296" s="84" t="s">
        <v>288</v>
      </c>
      <c r="B296" s="84" t="s">
        <v>3580</v>
      </c>
      <c r="C296" s="84">
        <v>5540</v>
      </c>
      <c r="D296" s="84">
        <v>5490</v>
      </c>
      <c r="E296" s="84">
        <v>6430</v>
      </c>
      <c r="F296" s="84">
        <v>980</v>
      </c>
      <c r="G296" s="92">
        <v>3310</v>
      </c>
    </row>
    <row r="297" spans="1:7" s="73" customFormat="1" ht="14.25" customHeight="1">
      <c r="A297" s="84" t="s">
        <v>288</v>
      </c>
      <c r="B297" s="84" t="s">
        <v>3581</v>
      </c>
      <c r="C297" s="84">
        <v>5480</v>
      </c>
      <c r="D297" s="84">
        <v>5420</v>
      </c>
      <c r="E297" s="84">
        <v>6370</v>
      </c>
      <c r="F297" s="84">
        <v>990</v>
      </c>
      <c r="G297" s="92">
        <v>3270</v>
      </c>
    </row>
    <row r="298" spans="1:7" s="73" customFormat="1" ht="14.25" customHeight="1">
      <c r="A298" s="84" t="s">
        <v>288</v>
      </c>
      <c r="B298" s="84" t="s">
        <v>3582</v>
      </c>
      <c r="C298" s="84">
        <v>5090</v>
      </c>
      <c r="D298" s="84">
        <v>5050</v>
      </c>
      <c r="E298" s="84">
        <v>5910</v>
      </c>
      <c r="F298" s="84">
        <v>900</v>
      </c>
      <c r="G298" s="92">
        <v>3040</v>
      </c>
    </row>
    <row r="299" spans="1:7" s="73" customFormat="1" ht="14.25" customHeight="1">
      <c r="A299" s="84" t="s">
        <v>288</v>
      </c>
      <c r="B299" s="98" t="s">
        <v>3583</v>
      </c>
      <c r="C299" s="84">
        <v>5430</v>
      </c>
      <c r="D299" s="84">
        <v>5380</v>
      </c>
      <c r="E299" s="84">
        <v>6280</v>
      </c>
      <c r="F299" s="84">
        <v>1000</v>
      </c>
      <c r="G299" s="92">
        <v>3240</v>
      </c>
    </row>
    <row r="300" spans="1:7" s="73" customFormat="1" ht="14.25" customHeight="1">
      <c r="A300" s="84" t="s">
        <v>288</v>
      </c>
      <c r="B300" s="98" t="s">
        <v>3584</v>
      </c>
      <c r="C300" s="84">
        <v>4740</v>
      </c>
      <c r="D300" s="84">
        <v>4680</v>
      </c>
      <c r="E300" s="84">
        <v>5450</v>
      </c>
      <c r="F300" s="84">
        <v>900</v>
      </c>
      <c r="G300" s="92">
        <v>2830</v>
      </c>
    </row>
    <row r="301" spans="1:7" s="73" customFormat="1" ht="14.25" customHeight="1">
      <c r="A301" s="84" t="s">
        <v>288</v>
      </c>
      <c r="B301" s="98" t="s">
        <v>3585</v>
      </c>
      <c r="C301" s="84">
        <v>4870</v>
      </c>
      <c r="D301" s="84">
        <v>4810</v>
      </c>
      <c r="E301" s="84">
        <v>5560</v>
      </c>
      <c r="F301" s="84">
        <v>990</v>
      </c>
      <c r="G301" s="92">
        <v>2910</v>
      </c>
    </row>
    <row r="302" spans="1:7" s="73" customFormat="1" ht="14.25" customHeight="1">
      <c r="A302" s="84" t="s">
        <v>288</v>
      </c>
      <c r="B302" s="84" t="s">
        <v>3586</v>
      </c>
      <c r="C302" s="84">
        <v>5520</v>
      </c>
      <c r="D302" s="84">
        <v>5470</v>
      </c>
      <c r="E302" s="84">
        <v>6410</v>
      </c>
      <c r="F302" s="84">
        <v>950</v>
      </c>
      <c r="G302" s="92">
        <v>3300</v>
      </c>
    </row>
    <row r="303" spans="1:7" s="73" customFormat="1" ht="14.25" customHeight="1">
      <c r="A303" s="84" t="s">
        <v>288</v>
      </c>
      <c r="B303" s="84" t="s">
        <v>3587</v>
      </c>
      <c r="C303" s="84">
        <v>5630</v>
      </c>
      <c r="D303" s="84">
        <v>5590</v>
      </c>
      <c r="E303" s="84">
        <v>6550</v>
      </c>
      <c r="F303" s="84">
        <v>1010</v>
      </c>
      <c r="G303" s="92">
        <v>3370</v>
      </c>
    </row>
    <row r="304" spans="1:7" s="73" customFormat="1" ht="14.25" customHeight="1">
      <c r="A304" s="84" t="s">
        <v>288</v>
      </c>
      <c r="B304" s="84" t="s">
        <v>3588</v>
      </c>
      <c r="C304" s="84">
        <v>5680</v>
      </c>
      <c r="D304" s="84">
        <v>5620</v>
      </c>
      <c r="E304" s="84">
        <v>6620</v>
      </c>
      <c r="F304" s="84">
        <v>1050</v>
      </c>
      <c r="G304" s="92">
        <v>3390</v>
      </c>
    </row>
    <row r="305" spans="1:7" s="73" customFormat="1" ht="14.25" customHeight="1">
      <c r="A305" s="84" t="s">
        <v>288</v>
      </c>
      <c r="B305" s="84" t="s">
        <v>3589</v>
      </c>
      <c r="C305" s="84">
        <v>5590</v>
      </c>
      <c r="D305" s="84">
        <v>5530</v>
      </c>
      <c r="E305" s="84">
        <v>6460</v>
      </c>
      <c r="F305" s="84">
        <v>900</v>
      </c>
      <c r="G305" s="92">
        <v>3340</v>
      </c>
    </row>
    <row r="306" spans="1:7" s="73" customFormat="1" ht="14.25" customHeight="1">
      <c r="A306" s="84" t="s">
        <v>288</v>
      </c>
      <c r="B306" s="84" t="s">
        <v>3590</v>
      </c>
      <c r="C306" s="84">
        <v>5560</v>
      </c>
      <c r="D306" s="84">
        <v>5510</v>
      </c>
      <c r="E306" s="84">
        <v>6440</v>
      </c>
      <c r="F306" s="84">
        <v>900</v>
      </c>
      <c r="G306" s="92">
        <v>3320</v>
      </c>
    </row>
    <row r="307" spans="1:7" s="73" customFormat="1" ht="14.25" customHeight="1">
      <c r="A307" s="84" t="s">
        <v>288</v>
      </c>
      <c r="B307" s="84" t="s">
        <v>3591</v>
      </c>
      <c r="C307" s="84">
        <v>5650</v>
      </c>
      <c r="D307" s="84">
        <v>5600</v>
      </c>
      <c r="E307" s="84">
        <v>6590</v>
      </c>
      <c r="F307" s="84">
        <v>930</v>
      </c>
      <c r="G307" s="92">
        <v>3380</v>
      </c>
    </row>
    <row r="308" spans="1:7" s="73" customFormat="1" ht="14.25" customHeight="1">
      <c r="A308" s="84" t="s">
        <v>288</v>
      </c>
      <c r="B308" s="84" t="s">
        <v>3592</v>
      </c>
      <c r="C308" s="84">
        <v>5620</v>
      </c>
      <c r="D308" s="84">
        <v>5580</v>
      </c>
      <c r="E308" s="84">
        <v>6540</v>
      </c>
      <c r="F308" s="84">
        <v>910</v>
      </c>
      <c r="G308" s="92">
        <v>3370</v>
      </c>
    </row>
    <row r="309" spans="1:7" s="73" customFormat="1" ht="14.25" customHeight="1">
      <c r="A309" s="84" t="s">
        <v>288</v>
      </c>
      <c r="B309" s="84" t="s">
        <v>3593</v>
      </c>
      <c r="C309" s="84">
        <v>5060</v>
      </c>
      <c r="D309" s="84">
        <v>5020</v>
      </c>
      <c r="E309" s="84">
        <v>6370</v>
      </c>
      <c r="F309" s="84">
        <v>800</v>
      </c>
      <c r="G309" s="92">
        <v>3020</v>
      </c>
    </row>
    <row r="310" spans="1:7" s="73" customFormat="1" ht="14.25" customHeight="1">
      <c r="A310" s="84" t="s">
        <v>288</v>
      </c>
      <c r="B310" s="84" t="s">
        <v>3594</v>
      </c>
      <c r="C310" s="84">
        <v>5150</v>
      </c>
      <c r="D310" s="84">
        <v>5110</v>
      </c>
      <c r="E310" s="84">
        <v>6500</v>
      </c>
      <c r="F310" s="84">
        <v>880</v>
      </c>
      <c r="G310" s="92">
        <v>3080</v>
      </c>
    </row>
    <row r="311" spans="1:7" s="73" customFormat="1" ht="14.25" customHeight="1">
      <c r="A311" s="84" t="s">
        <v>288</v>
      </c>
      <c r="B311" s="84" t="s">
        <v>3595</v>
      </c>
      <c r="C311" s="84">
        <v>4750</v>
      </c>
      <c r="D311" s="84">
        <v>4710</v>
      </c>
      <c r="E311" s="84">
        <v>5510</v>
      </c>
      <c r="F311" s="84">
        <v>880</v>
      </c>
      <c r="G311" s="92">
        <v>2840</v>
      </c>
    </row>
    <row r="312" spans="1:7" s="73" customFormat="1" ht="14.25" customHeight="1">
      <c r="A312" s="84" t="s">
        <v>288</v>
      </c>
      <c r="B312" s="84" t="s">
        <v>3596</v>
      </c>
      <c r="C312" s="84">
        <v>4690</v>
      </c>
      <c r="D312" s="84">
        <v>4640</v>
      </c>
      <c r="E312" s="84">
        <v>5420</v>
      </c>
      <c r="F312" s="84">
        <v>800</v>
      </c>
      <c r="G312" s="92">
        <v>2800</v>
      </c>
    </row>
    <row r="313" spans="1:7" s="73" customFormat="1" ht="14.25" customHeight="1">
      <c r="A313" s="84" t="s">
        <v>288</v>
      </c>
      <c r="B313" s="84" t="s">
        <v>3597</v>
      </c>
      <c r="C313" s="84">
        <v>4810</v>
      </c>
      <c r="D313" s="84">
        <v>4760</v>
      </c>
      <c r="E313" s="84">
        <v>5550</v>
      </c>
      <c r="F313" s="84">
        <v>920</v>
      </c>
      <c r="G313" s="92">
        <v>2870</v>
      </c>
    </row>
    <row r="314" spans="1:7" s="73" customFormat="1" ht="14.25" customHeight="1">
      <c r="A314" s="84" t="s">
        <v>288</v>
      </c>
      <c r="B314" s="84" t="s">
        <v>3598</v>
      </c>
      <c r="C314" s="84"/>
      <c r="D314" s="84"/>
      <c r="E314" s="84"/>
      <c r="F314" s="84">
        <v>1020</v>
      </c>
      <c r="G314" s="92"/>
    </row>
    <row r="315" spans="1:7" s="73" customFormat="1" ht="14.25" customHeight="1">
      <c r="A315" s="84" t="s">
        <v>288</v>
      </c>
      <c r="B315" s="84" t="s">
        <v>3599</v>
      </c>
      <c r="C315" s="84"/>
      <c r="D315" s="84"/>
      <c r="E315" s="84"/>
      <c r="F315" s="84">
        <v>1050</v>
      </c>
      <c r="G315" s="92"/>
    </row>
    <row r="316" spans="1:7" s="73" customFormat="1" ht="14.25" customHeight="1">
      <c r="A316" s="84" t="s">
        <v>288</v>
      </c>
      <c r="B316" s="84" t="s">
        <v>3600</v>
      </c>
      <c r="C316" s="84"/>
      <c r="D316" s="84"/>
      <c r="E316" s="84"/>
      <c r="F316" s="84">
        <v>900</v>
      </c>
      <c r="G316" s="92"/>
    </row>
    <row r="317" spans="1:7" s="73" customFormat="1" ht="14.25" customHeight="1">
      <c r="A317" s="84" t="s">
        <v>288</v>
      </c>
      <c r="B317" s="84" t="s">
        <v>3601</v>
      </c>
      <c r="C317" s="84"/>
      <c r="D317" s="84"/>
      <c r="E317" s="84"/>
      <c r="F317" s="84">
        <v>920</v>
      </c>
      <c r="G317" s="92"/>
    </row>
    <row r="318" spans="1:7" s="73" customFormat="1" ht="14.25" customHeight="1">
      <c r="A318" s="84" t="s">
        <v>288</v>
      </c>
      <c r="B318" s="84" t="s">
        <v>3602</v>
      </c>
      <c r="C318" s="84"/>
      <c r="D318" s="84"/>
      <c r="E318" s="84"/>
      <c r="F318" s="84">
        <v>1080</v>
      </c>
      <c r="G318" s="92"/>
    </row>
    <row r="319" spans="1:7" s="73" customFormat="1" ht="14.25" customHeight="1">
      <c r="A319" s="84" t="s">
        <v>288</v>
      </c>
      <c r="B319" s="84" t="s">
        <v>3603</v>
      </c>
      <c r="C319" s="84"/>
      <c r="D319" s="84"/>
      <c r="E319" s="84"/>
      <c r="F319" s="84">
        <v>1020</v>
      </c>
      <c r="G319" s="92"/>
    </row>
    <row r="320" spans="1:7" s="73" customFormat="1" ht="14.25" customHeight="1">
      <c r="A320" s="84" t="s">
        <v>288</v>
      </c>
      <c r="B320" s="84" t="s">
        <v>3604</v>
      </c>
      <c r="C320" s="84"/>
      <c r="D320" s="84"/>
      <c r="E320" s="84"/>
      <c r="F320" s="84">
        <v>1050</v>
      </c>
      <c r="G320" s="92"/>
    </row>
    <row r="321" spans="1:7" s="73" customFormat="1" ht="14.25" customHeight="1">
      <c r="A321" s="84" t="s">
        <v>288</v>
      </c>
      <c r="B321" s="84" t="s">
        <v>3605</v>
      </c>
      <c r="C321" s="84"/>
      <c r="D321" s="84"/>
      <c r="E321" s="84"/>
      <c r="F321" s="84">
        <v>960</v>
      </c>
      <c r="G321" s="92"/>
    </row>
    <row r="322" spans="1:7" s="73" customFormat="1" ht="14.25" customHeight="1">
      <c r="A322" s="84" t="s">
        <v>288</v>
      </c>
      <c r="B322" s="84" t="s">
        <v>3606</v>
      </c>
      <c r="C322" s="84"/>
      <c r="D322" s="84"/>
      <c r="E322" s="84"/>
      <c r="F322" s="84">
        <v>960</v>
      </c>
      <c r="G322" s="92"/>
    </row>
    <row r="323" spans="1:7" s="73" customFormat="1" ht="14.25" customHeight="1">
      <c r="A323" s="84" t="s">
        <v>288</v>
      </c>
      <c r="B323" s="84" t="s">
        <v>3607</v>
      </c>
      <c r="C323" s="84"/>
      <c r="D323" s="84"/>
      <c r="E323" s="84"/>
      <c r="F323" s="84">
        <v>880</v>
      </c>
      <c r="G323" s="92"/>
    </row>
    <row r="324" spans="1:7" s="73" customFormat="1" ht="14.25" customHeight="1">
      <c r="A324" s="84" t="s">
        <v>288</v>
      </c>
      <c r="B324" s="84" t="s">
        <v>3608</v>
      </c>
      <c r="C324" s="84"/>
      <c r="D324" s="84"/>
      <c r="E324" s="84"/>
      <c r="F324" s="84">
        <v>930</v>
      </c>
      <c r="G324" s="92"/>
    </row>
    <row r="325" spans="1:7" s="73" customFormat="1" ht="14.25" customHeight="1">
      <c r="A325" s="84" t="s">
        <v>288</v>
      </c>
      <c r="B325" s="85" t="s">
        <v>3609</v>
      </c>
      <c r="C325" s="84"/>
      <c r="D325" s="84"/>
      <c r="E325" s="84"/>
      <c r="F325" s="84">
        <v>900</v>
      </c>
      <c r="G325" s="92"/>
    </row>
    <row r="326" spans="1:7" s="73" customFormat="1" ht="14.25" customHeight="1">
      <c r="A326" s="93" t="s">
        <v>288</v>
      </c>
      <c r="B326" s="88" t="s">
        <v>3610</v>
      </c>
      <c r="C326" s="88"/>
      <c r="D326" s="88"/>
      <c r="E326" s="88"/>
      <c r="F326" s="88">
        <v>790</v>
      </c>
      <c r="G326" s="94"/>
    </row>
    <row r="327" spans="1:7" s="73" customFormat="1" ht="14.25" customHeight="1">
      <c r="A327" s="82" t="s">
        <v>292</v>
      </c>
      <c r="B327" s="83" t="s">
        <v>3611</v>
      </c>
      <c r="C327" s="84">
        <v>3750</v>
      </c>
      <c r="D327" s="84">
        <v>3710</v>
      </c>
      <c r="E327" s="84">
        <v>4080</v>
      </c>
      <c r="F327" s="84">
        <v>860</v>
      </c>
      <c r="G327" s="84">
        <v>2210</v>
      </c>
    </row>
    <row r="328" spans="1:7" s="73" customFormat="1" ht="14.25" customHeight="1">
      <c r="A328" s="84" t="s">
        <v>292</v>
      </c>
      <c r="B328" s="84" t="s">
        <v>3612</v>
      </c>
      <c r="C328" s="84">
        <v>3330</v>
      </c>
      <c r="D328" s="84">
        <v>3290</v>
      </c>
      <c r="E328" s="84">
        <v>3610</v>
      </c>
      <c r="F328" s="84">
        <v>850</v>
      </c>
      <c r="G328" s="84">
        <v>1960</v>
      </c>
    </row>
    <row r="329" spans="1:7" s="73" customFormat="1" ht="14.25" customHeight="1">
      <c r="A329" s="84" t="s">
        <v>292</v>
      </c>
      <c r="B329" s="84" t="s">
        <v>3613</v>
      </c>
      <c r="C329" s="84">
        <v>2730</v>
      </c>
      <c r="D329" s="84">
        <v>2690</v>
      </c>
      <c r="E329" s="84">
        <v>3100</v>
      </c>
      <c r="F329" s="84">
        <v>660</v>
      </c>
      <c r="G329" s="84">
        <v>1610</v>
      </c>
    </row>
    <row r="330" spans="1:7" s="73" customFormat="1" ht="14.25" customHeight="1">
      <c r="A330" s="84" t="s">
        <v>292</v>
      </c>
      <c r="B330" s="84" t="s">
        <v>3614</v>
      </c>
      <c r="C330" s="84">
        <v>3270</v>
      </c>
      <c r="D330" s="84">
        <v>3240</v>
      </c>
      <c r="E330" s="84">
        <v>3560</v>
      </c>
      <c r="F330" s="84">
        <v>680</v>
      </c>
      <c r="G330" s="84">
        <v>1940</v>
      </c>
    </row>
    <row r="331" spans="1:7" s="73" customFormat="1" ht="14.25" customHeight="1">
      <c r="A331" s="84" t="s">
        <v>292</v>
      </c>
      <c r="B331" s="84" t="s">
        <v>3615</v>
      </c>
      <c r="C331" s="84">
        <v>3770</v>
      </c>
      <c r="D331" s="84">
        <v>3740</v>
      </c>
      <c r="E331" s="84">
        <v>4110</v>
      </c>
      <c r="F331" s="84">
        <v>730</v>
      </c>
      <c r="G331" s="84">
        <v>2230</v>
      </c>
    </row>
    <row r="332" spans="1:7" s="73" customFormat="1" ht="14.25" customHeight="1">
      <c r="A332" s="84" t="s">
        <v>292</v>
      </c>
      <c r="B332" s="84" t="s">
        <v>3616</v>
      </c>
      <c r="C332" s="84">
        <v>3520</v>
      </c>
      <c r="D332" s="84">
        <v>3480</v>
      </c>
      <c r="E332" s="84">
        <v>3830</v>
      </c>
      <c r="F332" s="84">
        <v>720</v>
      </c>
      <c r="G332" s="84">
        <v>2090</v>
      </c>
    </row>
    <row r="333" spans="1:7" s="73" customFormat="1" ht="14.25" customHeight="1">
      <c r="A333" s="84" t="s">
        <v>292</v>
      </c>
      <c r="B333" s="84" t="s">
        <v>3617</v>
      </c>
      <c r="C333" s="84">
        <v>3840</v>
      </c>
      <c r="D333" s="84">
        <v>3800</v>
      </c>
      <c r="E333" s="84">
        <v>4200</v>
      </c>
      <c r="F333" s="84">
        <v>760</v>
      </c>
      <c r="G333" s="84">
        <v>2270</v>
      </c>
    </row>
    <row r="334" spans="1:7" s="73" customFormat="1" ht="14.25" customHeight="1">
      <c r="A334" s="84" t="s">
        <v>292</v>
      </c>
      <c r="B334" s="84" t="s">
        <v>3618</v>
      </c>
      <c r="C334" s="84">
        <v>3960</v>
      </c>
      <c r="D334" s="84">
        <v>3910</v>
      </c>
      <c r="E334" s="84">
        <v>4340</v>
      </c>
      <c r="F334" s="84">
        <v>780</v>
      </c>
      <c r="G334" s="84">
        <v>2340</v>
      </c>
    </row>
    <row r="335" spans="1:7" s="73" customFormat="1" ht="14.25" customHeight="1">
      <c r="A335" s="84" t="s">
        <v>292</v>
      </c>
      <c r="B335" s="84" t="s">
        <v>3619</v>
      </c>
      <c r="C335" s="84">
        <v>3710</v>
      </c>
      <c r="D335" s="84">
        <v>3670</v>
      </c>
      <c r="E335" s="84">
        <v>4030</v>
      </c>
      <c r="F335" s="84">
        <v>750</v>
      </c>
      <c r="G335" s="84">
        <v>2200</v>
      </c>
    </row>
    <row r="336" spans="1:7" s="73" customFormat="1" ht="14.25" customHeight="1">
      <c r="A336" s="84" t="s">
        <v>292</v>
      </c>
      <c r="B336" s="84" t="s">
        <v>3620</v>
      </c>
      <c r="C336" s="84">
        <v>3570</v>
      </c>
      <c r="D336" s="84">
        <v>3530</v>
      </c>
      <c r="E336" s="84">
        <v>3880</v>
      </c>
      <c r="F336" s="84">
        <v>770</v>
      </c>
      <c r="G336" s="84">
        <v>2110</v>
      </c>
    </row>
    <row r="337" spans="1:10" s="73" customFormat="1" ht="14.25" customHeight="1">
      <c r="A337" s="84" t="s">
        <v>292</v>
      </c>
      <c r="B337" s="84" t="s">
        <v>3621</v>
      </c>
      <c r="C337" s="84">
        <v>3780</v>
      </c>
      <c r="D337" s="84">
        <v>3750</v>
      </c>
      <c r="E337" s="84">
        <v>4130</v>
      </c>
      <c r="F337" s="84">
        <v>750</v>
      </c>
      <c r="G337" s="84">
        <v>2240</v>
      </c>
    </row>
    <row r="338" spans="1:10" s="73" customFormat="1" ht="14.25" customHeight="1">
      <c r="A338" s="84" t="s">
        <v>292</v>
      </c>
      <c r="B338" s="84" t="s">
        <v>3622</v>
      </c>
      <c r="C338" s="84">
        <v>3600</v>
      </c>
      <c r="D338" s="84">
        <v>3570</v>
      </c>
      <c r="E338" s="84">
        <v>3920</v>
      </c>
      <c r="F338" s="84">
        <v>790</v>
      </c>
      <c r="G338" s="84">
        <v>2140</v>
      </c>
    </row>
    <row r="339" spans="1:10" s="73" customFormat="1" ht="14.25" customHeight="1">
      <c r="A339" s="84" t="s">
        <v>292</v>
      </c>
      <c r="B339" s="84" t="s">
        <v>3623</v>
      </c>
      <c r="C339" s="84">
        <v>3540</v>
      </c>
      <c r="D339" s="84">
        <v>3500</v>
      </c>
      <c r="E339" s="84">
        <v>3850</v>
      </c>
      <c r="F339" s="84">
        <v>780</v>
      </c>
      <c r="G339" s="84">
        <v>2100</v>
      </c>
    </row>
    <row r="340" spans="1:10" s="73" customFormat="1" ht="14.25" customHeight="1">
      <c r="A340" s="84" t="s">
        <v>292</v>
      </c>
      <c r="B340" s="84" t="s">
        <v>3624</v>
      </c>
      <c r="C340" s="84">
        <v>3850</v>
      </c>
      <c r="D340" s="84">
        <v>3810</v>
      </c>
      <c r="E340" s="84">
        <v>4210</v>
      </c>
      <c r="F340" s="84">
        <v>750</v>
      </c>
      <c r="G340" s="84">
        <v>2280</v>
      </c>
    </row>
    <row r="341" spans="1:10" s="73" customFormat="1" ht="14.25" customHeight="1">
      <c r="A341" s="84" t="s">
        <v>292</v>
      </c>
      <c r="B341" s="84" t="s">
        <v>3625</v>
      </c>
      <c r="C341" s="84">
        <v>3780</v>
      </c>
      <c r="D341" s="84">
        <v>3750</v>
      </c>
      <c r="E341" s="84">
        <v>4140</v>
      </c>
      <c r="F341" s="84">
        <v>720</v>
      </c>
      <c r="G341" s="84">
        <v>2240</v>
      </c>
    </row>
    <row r="342" spans="1:10" s="73" customFormat="1" ht="14.25" customHeight="1">
      <c r="A342" s="84" t="s">
        <v>292</v>
      </c>
      <c r="B342" s="84" t="s">
        <v>3626</v>
      </c>
      <c r="C342" s="84">
        <v>3670</v>
      </c>
      <c r="D342" s="84">
        <v>3620</v>
      </c>
      <c r="E342" s="84">
        <v>3990</v>
      </c>
      <c r="F342" s="84">
        <v>760</v>
      </c>
      <c r="G342" s="84">
        <v>2170</v>
      </c>
    </row>
    <row r="343" spans="1:10" s="73" customFormat="1" ht="14.25" customHeight="1">
      <c r="A343" s="84" t="s">
        <v>292</v>
      </c>
      <c r="B343" s="84" t="s">
        <v>3627</v>
      </c>
      <c r="C343" s="84">
        <v>3760</v>
      </c>
      <c r="D343" s="84">
        <v>3720</v>
      </c>
      <c r="E343" s="84">
        <v>4090</v>
      </c>
      <c r="F343" s="84">
        <v>780</v>
      </c>
      <c r="G343" s="84">
        <v>2220</v>
      </c>
    </row>
    <row r="344" spans="1:10" s="73" customFormat="1" ht="14.25" customHeight="1">
      <c r="A344" s="84" t="s">
        <v>292</v>
      </c>
      <c r="B344" s="84" t="s">
        <v>3628</v>
      </c>
      <c r="C344" s="84">
        <v>3680</v>
      </c>
      <c r="D344" s="84">
        <v>3640</v>
      </c>
      <c r="E344" s="84">
        <v>4010</v>
      </c>
      <c r="F344" s="84">
        <v>750</v>
      </c>
      <c r="G344" s="84">
        <v>2180</v>
      </c>
    </row>
    <row r="345" spans="1:10">
      <c r="A345" s="84" t="s">
        <v>292</v>
      </c>
      <c r="B345" s="84" t="s">
        <v>3629</v>
      </c>
      <c r="C345" s="84">
        <v>3190</v>
      </c>
      <c r="D345" s="84">
        <v>3140</v>
      </c>
      <c r="E345" s="84">
        <v>3450</v>
      </c>
      <c r="F345" s="84">
        <v>720</v>
      </c>
      <c r="G345" s="84">
        <v>1880</v>
      </c>
      <c r="J345" s="73"/>
    </row>
    <row r="346" spans="1:10">
      <c r="A346" s="84" t="s">
        <v>292</v>
      </c>
      <c r="B346" s="84" t="s">
        <v>3630</v>
      </c>
      <c r="C346" s="84">
        <v>3630</v>
      </c>
      <c r="D346" s="84">
        <v>3590</v>
      </c>
      <c r="E346" s="84">
        <v>3940</v>
      </c>
      <c r="F346" s="84">
        <v>730</v>
      </c>
      <c r="G346" s="84">
        <v>2150</v>
      </c>
      <c r="J346" s="73"/>
    </row>
    <row r="347" spans="1:10">
      <c r="A347" s="84" t="s">
        <v>292</v>
      </c>
      <c r="B347" s="84" t="s">
        <v>3631</v>
      </c>
      <c r="C347" s="84">
        <v>3860</v>
      </c>
      <c r="D347" s="84">
        <v>3820</v>
      </c>
      <c r="E347" s="84">
        <v>4220</v>
      </c>
      <c r="F347" s="84">
        <v>750</v>
      </c>
      <c r="G347" s="84">
        <v>2280</v>
      </c>
      <c r="J347" s="73"/>
    </row>
    <row r="348" spans="1:10">
      <c r="A348" s="84" t="s">
        <v>292</v>
      </c>
      <c r="B348" s="84" t="s">
        <v>3632</v>
      </c>
      <c r="C348" s="84">
        <v>4000</v>
      </c>
      <c r="D348" s="84">
        <v>3950</v>
      </c>
      <c r="E348" s="84">
        <v>4430</v>
      </c>
      <c r="F348" s="84">
        <v>760</v>
      </c>
      <c r="G348" s="84">
        <v>2360</v>
      </c>
      <c r="J348" s="73"/>
    </row>
    <row r="349" spans="1:10">
      <c r="A349" s="84" t="s">
        <v>292</v>
      </c>
      <c r="B349" s="84" t="s">
        <v>3633</v>
      </c>
      <c r="C349" s="84">
        <v>3820</v>
      </c>
      <c r="D349" s="84">
        <v>3780</v>
      </c>
      <c r="E349" s="84">
        <v>4170</v>
      </c>
      <c r="F349" s="84">
        <v>710</v>
      </c>
      <c r="G349" s="84">
        <v>2260</v>
      </c>
      <c r="J349" s="73"/>
    </row>
    <row r="350" spans="1:10">
      <c r="A350" s="84" t="s">
        <v>292</v>
      </c>
      <c r="B350" s="84" t="s">
        <v>3634</v>
      </c>
      <c r="C350" s="84">
        <v>3760</v>
      </c>
      <c r="D350" s="84">
        <v>3730</v>
      </c>
      <c r="E350" s="84">
        <v>4100</v>
      </c>
      <c r="F350" s="84">
        <v>800</v>
      </c>
      <c r="G350" s="84">
        <v>2230</v>
      </c>
      <c r="J350" s="73"/>
    </row>
    <row r="351" spans="1:10">
      <c r="A351" s="84" t="s">
        <v>292</v>
      </c>
      <c r="B351" s="84" t="s">
        <v>3635</v>
      </c>
      <c r="C351" s="84">
        <v>3610</v>
      </c>
      <c r="D351" s="84">
        <v>3580</v>
      </c>
      <c r="E351" s="84">
        <v>3930</v>
      </c>
      <c r="F351" s="84">
        <v>700</v>
      </c>
      <c r="G351" s="84">
        <v>2140</v>
      </c>
      <c r="J351" s="73"/>
    </row>
    <row r="352" spans="1:10">
      <c r="A352" s="84" t="s">
        <v>292</v>
      </c>
      <c r="B352" s="84" t="s">
        <v>3636</v>
      </c>
      <c r="C352" s="84">
        <v>3670</v>
      </c>
      <c r="D352" s="84">
        <v>3630</v>
      </c>
      <c r="E352" s="84">
        <v>4000</v>
      </c>
      <c r="F352" s="84">
        <v>750</v>
      </c>
      <c r="G352" s="84">
        <v>2180</v>
      </c>
    </row>
    <row r="353" spans="1:7" s="74" customFormat="1">
      <c r="A353" s="84" t="s">
        <v>292</v>
      </c>
      <c r="B353" s="84" t="s">
        <v>3637</v>
      </c>
      <c r="C353" s="84">
        <v>3190</v>
      </c>
      <c r="D353" s="84">
        <v>3150</v>
      </c>
      <c r="E353" s="84">
        <v>3640</v>
      </c>
      <c r="F353" s="84">
        <v>630</v>
      </c>
      <c r="G353" s="84">
        <v>1890</v>
      </c>
    </row>
    <row r="354" spans="1:7" s="74" customFormat="1">
      <c r="A354" s="84" t="s">
        <v>292</v>
      </c>
      <c r="B354" s="84" t="s">
        <v>3638</v>
      </c>
      <c r="C354" s="84">
        <v>3450</v>
      </c>
      <c r="D354" s="84">
        <v>3420</v>
      </c>
      <c r="E354" s="84">
        <v>3960</v>
      </c>
      <c r="F354" s="84">
        <v>660</v>
      </c>
      <c r="G354" s="84">
        <v>2050</v>
      </c>
    </row>
    <row r="355" spans="1:7" s="74" customFormat="1">
      <c r="A355" s="84" t="s">
        <v>292</v>
      </c>
      <c r="B355" s="84" t="s">
        <v>3639</v>
      </c>
      <c r="C355" s="84">
        <v>3650</v>
      </c>
      <c r="D355" s="84">
        <v>3610</v>
      </c>
      <c r="E355" s="84">
        <v>4200</v>
      </c>
      <c r="F355" s="84">
        <v>640</v>
      </c>
      <c r="G355" s="84">
        <v>2160</v>
      </c>
    </row>
    <row r="356" spans="1:7" s="74" customFormat="1">
      <c r="A356" s="84" t="s">
        <v>292</v>
      </c>
      <c r="B356" s="84" t="s">
        <v>3640</v>
      </c>
      <c r="C356" s="84">
        <v>3260</v>
      </c>
      <c r="D356" s="84">
        <v>3230</v>
      </c>
      <c r="E356" s="84">
        <v>3740</v>
      </c>
      <c r="F356" s="84">
        <v>600</v>
      </c>
      <c r="G356" s="84">
        <v>1930</v>
      </c>
    </row>
    <row r="357" spans="1:7" s="74" customFormat="1">
      <c r="A357" s="86" t="s">
        <v>292</v>
      </c>
      <c r="B357" s="90" t="s">
        <v>3641</v>
      </c>
      <c r="C357" s="90">
        <v>3690</v>
      </c>
      <c r="D357" s="90">
        <v>3650</v>
      </c>
      <c r="E357" s="90">
        <v>4020</v>
      </c>
      <c r="F357" s="90">
        <v>700</v>
      </c>
      <c r="G357" s="90">
        <v>2190</v>
      </c>
    </row>
    <row r="358" spans="1:7" s="74" customFormat="1">
      <c r="A358" s="82" t="s">
        <v>296</v>
      </c>
      <c r="B358" s="83" t="s">
        <v>3642</v>
      </c>
      <c r="C358" s="83">
        <v>2080</v>
      </c>
      <c r="D358" s="83">
        <v>2040</v>
      </c>
      <c r="E358" s="83">
        <v>2010</v>
      </c>
      <c r="F358" s="83">
        <v>530</v>
      </c>
      <c r="G358" s="91">
        <v>1230</v>
      </c>
    </row>
    <row r="359" spans="1:7" s="74" customFormat="1">
      <c r="A359" s="84" t="s">
        <v>296</v>
      </c>
      <c r="B359" s="84" t="s">
        <v>3643</v>
      </c>
      <c r="C359" s="84">
        <v>1850</v>
      </c>
      <c r="D359" s="84">
        <v>1820</v>
      </c>
      <c r="E359" s="84">
        <v>1780</v>
      </c>
      <c r="F359" s="84">
        <v>520</v>
      </c>
      <c r="G359" s="92">
        <v>1100</v>
      </c>
    </row>
    <row r="360" spans="1:7" s="74" customFormat="1">
      <c r="A360" s="84" t="s">
        <v>296</v>
      </c>
      <c r="B360" s="84" t="s">
        <v>3644</v>
      </c>
      <c r="C360" s="84">
        <v>2020</v>
      </c>
      <c r="D360" s="84">
        <v>1990</v>
      </c>
      <c r="E360" s="84">
        <v>1950</v>
      </c>
      <c r="F360" s="84">
        <v>500</v>
      </c>
      <c r="G360" s="92">
        <v>1200</v>
      </c>
    </row>
    <row r="361" spans="1:7" s="74" customFormat="1">
      <c r="A361" s="84" t="s">
        <v>296</v>
      </c>
      <c r="B361" s="84" t="s">
        <v>3645</v>
      </c>
      <c r="C361" s="84">
        <v>2260</v>
      </c>
      <c r="D361" s="84">
        <v>2220</v>
      </c>
      <c r="E361" s="84">
        <v>2180</v>
      </c>
      <c r="F361" s="84">
        <v>580</v>
      </c>
      <c r="G361" s="92">
        <v>1340</v>
      </c>
    </row>
    <row r="362" spans="1:7" s="74" customFormat="1">
      <c r="A362" s="84" t="s">
        <v>296</v>
      </c>
      <c r="B362" s="84" t="s">
        <v>3646</v>
      </c>
      <c r="C362" s="84">
        <v>2650</v>
      </c>
      <c r="D362" s="84">
        <v>2610</v>
      </c>
      <c r="E362" s="84">
        <v>2570</v>
      </c>
      <c r="F362" s="84">
        <v>630</v>
      </c>
      <c r="G362" s="92">
        <v>1570</v>
      </c>
    </row>
    <row r="363" spans="1:7" s="74" customFormat="1">
      <c r="A363" s="84" t="s">
        <v>296</v>
      </c>
      <c r="B363" s="84" t="s">
        <v>3647</v>
      </c>
      <c r="C363" s="84">
        <v>2390</v>
      </c>
      <c r="D363" s="84">
        <v>2360</v>
      </c>
      <c r="E363" s="84">
        <v>2320</v>
      </c>
      <c r="F363" s="84">
        <v>600</v>
      </c>
      <c r="G363" s="92">
        <v>1420</v>
      </c>
    </row>
    <row r="364" spans="1:7" s="74" customFormat="1">
      <c r="A364" s="84" t="s">
        <v>296</v>
      </c>
      <c r="B364" s="84" t="s">
        <v>3648</v>
      </c>
      <c r="C364" s="84">
        <v>2050</v>
      </c>
      <c r="D364" s="84">
        <v>2030</v>
      </c>
      <c r="E364" s="84">
        <v>1990</v>
      </c>
      <c r="F364" s="84">
        <v>550</v>
      </c>
      <c r="G364" s="92">
        <v>1220</v>
      </c>
    </row>
    <row r="365" spans="1:7" s="74" customFormat="1">
      <c r="A365" s="84" t="s">
        <v>296</v>
      </c>
      <c r="B365" s="84" t="s">
        <v>3649</v>
      </c>
      <c r="C365" s="84">
        <v>2140</v>
      </c>
      <c r="D365" s="84">
        <v>2100</v>
      </c>
      <c r="E365" s="84">
        <v>2060</v>
      </c>
      <c r="F365" s="84">
        <v>540</v>
      </c>
      <c r="G365" s="92">
        <v>1270</v>
      </c>
    </row>
    <row r="366" spans="1:7" s="74" customFormat="1">
      <c r="A366" s="84" t="s">
        <v>296</v>
      </c>
      <c r="B366" s="84" t="s">
        <v>3650</v>
      </c>
      <c r="C366" s="84">
        <v>2410</v>
      </c>
      <c r="D366" s="84">
        <v>2370</v>
      </c>
      <c r="E366" s="84">
        <v>2330</v>
      </c>
      <c r="F366" s="84">
        <v>570</v>
      </c>
      <c r="G366" s="92">
        <v>1440</v>
      </c>
    </row>
    <row r="367" spans="1:7" s="74" customFormat="1">
      <c r="A367" s="84" t="s">
        <v>296</v>
      </c>
      <c r="B367" s="84" t="s">
        <v>3651</v>
      </c>
      <c r="C367" s="84">
        <v>2300</v>
      </c>
      <c r="D367" s="84">
        <v>2260</v>
      </c>
      <c r="E367" s="84">
        <v>2220</v>
      </c>
      <c r="F367" s="84">
        <v>560</v>
      </c>
      <c r="G367" s="92">
        <v>1370</v>
      </c>
    </row>
    <row r="368" spans="1:7" s="74" customFormat="1">
      <c r="A368" s="84" t="s">
        <v>296</v>
      </c>
      <c r="B368" s="84" t="s">
        <v>3652</v>
      </c>
      <c r="C368" s="84">
        <v>2430</v>
      </c>
      <c r="D368" s="84">
        <v>2390</v>
      </c>
      <c r="E368" s="84">
        <v>2350</v>
      </c>
      <c r="F368" s="84">
        <v>570</v>
      </c>
      <c r="G368" s="92">
        <v>1450</v>
      </c>
    </row>
    <row r="369" spans="1:7" s="74" customFormat="1">
      <c r="A369" s="84" t="s">
        <v>296</v>
      </c>
      <c r="B369" s="84" t="s">
        <v>3653</v>
      </c>
      <c r="C369" s="84">
        <v>2320</v>
      </c>
      <c r="D369" s="84">
        <v>2290</v>
      </c>
      <c r="E369" s="84">
        <v>2250</v>
      </c>
      <c r="F369" s="84">
        <v>550</v>
      </c>
      <c r="G369" s="92">
        <v>1380</v>
      </c>
    </row>
    <row r="370" spans="1:7" s="74" customFormat="1">
      <c r="A370" s="84" t="s">
        <v>296</v>
      </c>
      <c r="B370" s="84" t="s">
        <v>3654</v>
      </c>
      <c r="C370" s="84">
        <v>2190</v>
      </c>
      <c r="D370" s="84">
        <v>2170</v>
      </c>
      <c r="E370" s="84">
        <v>2130</v>
      </c>
      <c r="F370" s="84">
        <v>530</v>
      </c>
      <c r="G370" s="92">
        <v>1310</v>
      </c>
    </row>
    <row r="371" spans="1:7" s="74" customFormat="1">
      <c r="A371" s="84" t="s">
        <v>296</v>
      </c>
      <c r="B371" s="84" t="s">
        <v>3655</v>
      </c>
      <c r="C371" s="84">
        <v>2460</v>
      </c>
      <c r="D371" s="84">
        <v>2420</v>
      </c>
      <c r="E371" s="84">
        <v>2370</v>
      </c>
      <c r="F371" s="84">
        <v>560</v>
      </c>
      <c r="G371" s="92">
        <v>1470</v>
      </c>
    </row>
    <row r="372" spans="1:7" s="74" customFormat="1">
      <c r="A372" s="84" t="s">
        <v>296</v>
      </c>
      <c r="B372" s="84" t="s">
        <v>3656</v>
      </c>
      <c r="C372" s="84">
        <v>2250</v>
      </c>
      <c r="D372" s="84">
        <v>2210</v>
      </c>
      <c r="E372" s="84">
        <v>2180</v>
      </c>
      <c r="F372" s="84">
        <v>550</v>
      </c>
      <c r="G372" s="92">
        <v>1340</v>
      </c>
    </row>
    <row r="373" spans="1:7" s="74" customFormat="1">
      <c r="A373" s="84" t="s">
        <v>296</v>
      </c>
      <c r="B373" s="84" t="s">
        <v>3657</v>
      </c>
      <c r="C373" s="84">
        <v>2210</v>
      </c>
      <c r="D373" s="84">
        <v>2190</v>
      </c>
      <c r="E373" s="84">
        <v>2150</v>
      </c>
      <c r="F373" s="84">
        <v>530</v>
      </c>
      <c r="G373" s="92">
        <v>1320</v>
      </c>
    </row>
    <row r="374" spans="1:7" s="74" customFormat="1">
      <c r="A374" s="84" t="s">
        <v>296</v>
      </c>
      <c r="B374" s="84" t="s">
        <v>3658</v>
      </c>
      <c r="C374" s="84">
        <v>2320</v>
      </c>
      <c r="D374" s="84">
        <v>2280</v>
      </c>
      <c r="E374" s="84">
        <v>2230</v>
      </c>
      <c r="F374" s="84">
        <v>580</v>
      </c>
      <c r="G374" s="92">
        <v>1380</v>
      </c>
    </row>
    <row r="375" spans="1:7" s="74" customFormat="1">
      <c r="A375" s="84" t="s">
        <v>296</v>
      </c>
      <c r="B375" s="84" t="s">
        <v>3659</v>
      </c>
      <c r="C375" s="84">
        <v>2090</v>
      </c>
      <c r="D375" s="84">
        <v>2050</v>
      </c>
      <c r="E375" s="84">
        <v>2020</v>
      </c>
      <c r="F375" s="84">
        <v>520</v>
      </c>
      <c r="G375" s="92">
        <v>1240</v>
      </c>
    </row>
    <row r="376" spans="1:7" s="74" customFormat="1">
      <c r="A376" s="84" t="s">
        <v>296</v>
      </c>
      <c r="B376" s="84" t="s">
        <v>3660</v>
      </c>
      <c r="C376" s="84">
        <v>2010</v>
      </c>
      <c r="D376" s="84">
        <v>1980</v>
      </c>
      <c r="E376" s="84">
        <v>1940</v>
      </c>
      <c r="F376" s="84">
        <v>540</v>
      </c>
      <c r="G376" s="92">
        <v>1190</v>
      </c>
    </row>
    <row r="377" spans="1:7" s="74" customFormat="1">
      <c r="A377" s="86" t="s">
        <v>296</v>
      </c>
      <c r="B377" s="90" t="s">
        <v>3661</v>
      </c>
      <c r="C377" s="90">
        <v>1930</v>
      </c>
      <c r="D377" s="90">
        <v>1890</v>
      </c>
      <c r="E377" s="90">
        <v>1860</v>
      </c>
      <c r="F377" s="90">
        <v>530</v>
      </c>
      <c r="G377" s="99">
        <v>1150</v>
      </c>
    </row>
    <row r="378" spans="1:7" s="74" customFormat="1">
      <c r="A378" s="100" t="s">
        <v>300</v>
      </c>
      <c r="B378" s="83" t="s">
        <v>3662</v>
      </c>
      <c r="C378" s="83">
        <v>1520</v>
      </c>
      <c r="D378" s="83">
        <v>1490</v>
      </c>
      <c r="E378" s="83">
        <v>1460</v>
      </c>
      <c r="F378" s="83">
        <v>460</v>
      </c>
      <c r="G378" s="91">
        <v>940</v>
      </c>
    </row>
    <row r="379" spans="1:7" s="74" customFormat="1">
      <c r="A379" s="101" t="s">
        <v>300</v>
      </c>
      <c r="B379" s="84" t="s">
        <v>3663</v>
      </c>
      <c r="C379" s="84">
        <v>1500</v>
      </c>
      <c r="D379" s="84">
        <v>1470</v>
      </c>
      <c r="E379" s="84">
        <v>1430</v>
      </c>
      <c r="F379" s="84">
        <v>460</v>
      </c>
      <c r="G379" s="92">
        <v>920</v>
      </c>
    </row>
    <row r="380" spans="1:7" s="74" customFormat="1">
      <c r="A380" s="101" t="s">
        <v>300</v>
      </c>
      <c r="B380" s="84" t="s">
        <v>3664</v>
      </c>
      <c r="C380" s="84">
        <v>1620</v>
      </c>
      <c r="D380" s="84">
        <v>1590</v>
      </c>
      <c r="E380" s="84">
        <v>1560</v>
      </c>
      <c r="F380" s="84">
        <v>480</v>
      </c>
      <c r="G380" s="92">
        <v>1000</v>
      </c>
    </row>
    <row r="381" spans="1:7" s="74" customFormat="1">
      <c r="A381" s="101" t="s">
        <v>300</v>
      </c>
      <c r="B381" s="84" t="s">
        <v>3665</v>
      </c>
      <c r="C381" s="84">
        <v>1460</v>
      </c>
      <c r="D381" s="84">
        <v>1430</v>
      </c>
      <c r="E381" s="84">
        <v>1390</v>
      </c>
      <c r="F381" s="84">
        <v>450</v>
      </c>
      <c r="G381" s="92">
        <v>900</v>
      </c>
    </row>
    <row r="382" spans="1:7" s="74" customFormat="1">
      <c r="A382" s="101" t="s">
        <v>300</v>
      </c>
      <c r="B382" s="84" t="s">
        <v>3666</v>
      </c>
      <c r="C382" s="84">
        <v>1310</v>
      </c>
      <c r="D382" s="84">
        <v>1280</v>
      </c>
      <c r="E382" s="84">
        <v>1250</v>
      </c>
      <c r="F382" s="84">
        <v>440</v>
      </c>
      <c r="G382" s="92">
        <v>800</v>
      </c>
    </row>
    <row r="383" spans="1:7" s="74" customFormat="1">
      <c r="A383" s="101" t="s">
        <v>300</v>
      </c>
      <c r="B383" s="84" t="s">
        <v>3667</v>
      </c>
      <c r="C383" s="84">
        <v>1260</v>
      </c>
      <c r="D383" s="84">
        <v>1230</v>
      </c>
      <c r="E383" s="84">
        <v>1200</v>
      </c>
      <c r="F383" s="84">
        <v>420</v>
      </c>
      <c r="G383" s="92">
        <v>770</v>
      </c>
    </row>
    <row r="384" spans="1:7" s="74" customFormat="1">
      <c r="A384" s="102" t="s">
        <v>300</v>
      </c>
      <c r="B384" s="88" t="s">
        <v>3668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45798</v>
      </c>
      <c r="D1" s="7" t="s">
        <v>3802</v>
      </c>
      <c r="E1" s="9">
        <f>'数据-取费表'!B22</f>
        <v>3.5</v>
      </c>
      <c r="F1" s="7" t="s">
        <v>3803</v>
      </c>
      <c r="G1" s="10">
        <f ca="1">INDIRECT("d"&amp;$K$1)/100</f>
        <v>0.03</v>
      </c>
      <c r="H1" s="7" t="s">
        <v>3804</v>
      </c>
      <c r="I1" s="10">
        <f ca="1">F4/100</f>
        <v>1.4999999999999999E-2</v>
      </c>
      <c r="J1" s="58">
        <f>IF(C1&gt;C13,0,MATCH(C1,C$13:C$115,-1))+IF(SUMIF(C13:C115,C1,D13:D115)=0,13,12)</f>
        <v>13</v>
      </c>
      <c r="K1" s="58">
        <f>MATCH(E1,C3:C7,1)+IF(SUMIF(C3:C7,E1,D3:D7)=0,2,1)</f>
        <v>6</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3803</v>
      </c>
      <c r="E2" s="11"/>
      <c r="F2" s="11" t="s">
        <v>3805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3806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3807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3808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3809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3810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3811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3812</v>
      </c>
      <c r="C10" s="35"/>
      <c r="D10" s="35"/>
      <c r="E10" s="35"/>
      <c r="F10" s="35"/>
      <c r="G10" s="35"/>
      <c r="H10" s="35"/>
      <c r="I10" s="3"/>
      <c r="J10" s="3"/>
      <c r="K10" s="35"/>
      <c r="L10" s="36" t="s">
        <v>3813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3814</v>
      </c>
      <c r="C11" s="39" t="s">
        <v>3815</v>
      </c>
      <c r="D11" s="40" t="s">
        <v>3816</v>
      </c>
      <c r="E11" s="41"/>
      <c r="F11" s="40" t="s">
        <v>3817</v>
      </c>
      <c r="G11" s="42"/>
      <c r="H11" s="41"/>
      <c r="I11" s="40" t="s">
        <v>3818</v>
      </c>
      <c r="J11" s="41"/>
      <c r="K11" s="37"/>
      <c r="L11" s="38" t="s">
        <v>3814</v>
      </c>
      <c r="M11" s="39" t="s">
        <v>3815</v>
      </c>
      <c r="N11" s="38" t="s">
        <v>3819</v>
      </c>
      <c r="O11" s="40" t="s">
        <v>3820</v>
      </c>
      <c r="P11" s="42"/>
      <c r="Q11" s="42"/>
      <c r="R11" s="42"/>
      <c r="S11" s="42"/>
      <c r="T11" s="41"/>
      <c r="U11" s="40" t="s">
        <v>3821</v>
      </c>
      <c r="V11" s="42"/>
      <c r="W11" s="41"/>
      <c r="X11" s="38" t="s">
        <v>3822</v>
      </c>
      <c r="Y11" s="38" t="s">
        <v>3823</v>
      </c>
      <c r="Z11" s="38" t="s">
        <v>3824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3825</v>
      </c>
      <c r="E12" s="45" t="s">
        <v>3807</v>
      </c>
      <c r="F12" s="45" t="s">
        <v>3808</v>
      </c>
      <c r="G12" s="45" t="s">
        <v>3809</v>
      </c>
      <c r="H12" s="45" t="s">
        <v>3810</v>
      </c>
      <c r="I12" s="59" t="s">
        <v>3826</v>
      </c>
      <c r="J12" s="59" t="s">
        <v>3826</v>
      </c>
      <c r="K12" s="37"/>
      <c r="L12" s="43"/>
      <c r="M12" s="44"/>
      <c r="N12" s="43"/>
      <c r="O12" s="59" t="s">
        <v>3827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3828</v>
      </c>
      <c r="C13" s="48">
        <v>45797</v>
      </c>
      <c r="D13" s="49">
        <v>3</v>
      </c>
      <c r="E13" s="49">
        <v>3</v>
      </c>
      <c r="F13" s="49">
        <f t="shared" ref="F13:F18" si="0">D13</f>
        <v>3</v>
      </c>
      <c r="G13" s="49">
        <f t="shared" ref="G13:G18" si="1">D13</f>
        <v>3</v>
      </c>
      <c r="H13" s="49">
        <v>3.5</v>
      </c>
      <c r="I13" s="49"/>
      <c r="J13" s="49"/>
      <c r="K13" s="46"/>
      <c r="L13" s="47" t="s">
        <v>3828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3829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3830</v>
      </c>
      <c r="Y42" s="51" t="s">
        <v>3830</v>
      </c>
      <c r="Z42" s="51" t="s">
        <v>3830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3830</v>
      </c>
      <c r="Y43" s="51" t="s">
        <v>3830</v>
      </c>
      <c r="Z43" s="51" t="s">
        <v>3830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3830</v>
      </c>
      <c r="Y44" s="51" t="s">
        <v>3830</v>
      </c>
      <c r="Z44" s="51" t="s">
        <v>3830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3830</v>
      </c>
      <c r="Y45" s="51" t="s">
        <v>3830</v>
      </c>
      <c r="Z45" s="51" t="s">
        <v>3830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3830</v>
      </c>
      <c r="Y46" s="51" t="s">
        <v>3830</v>
      </c>
      <c r="Z46" s="51" t="s">
        <v>3830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3830</v>
      </c>
      <c r="Y47" s="51" t="s">
        <v>3830</v>
      </c>
      <c r="Z47" s="51" t="s">
        <v>3830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3830</v>
      </c>
      <c r="Y48" s="51" t="s">
        <v>3830</v>
      </c>
      <c r="Z48" s="51" t="s">
        <v>3830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3830</v>
      </c>
      <c r="Y49" s="51" t="s">
        <v>3830</v>
      </c>
      <c r="Z49" s="51" t="s">
        <v>3830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3830</v>
      </c>
      <c r="Y50" s="51" t="s">
        <v>3830</v>
      </c>
      <c r="Z50" s="51" t="s">
        <v>3830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3830</v>
      </c>
      <c r="V51" s="51" t="s">
        <v>3830</v>
      </c>
      <c r="W51" s="51" t="s">
        <v>3830</v>
      </c>
      <c r="X51" s="51" t="s">
        <v>3830</v>
      </c>
      <c r="Y51" s="51" t="s">
        <v>3830</v>
      </c>
      <c r="Z51" s="51" t="s">
        <v>3830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3830</v>
      </c>
      <c r="J70" s="51" t="s">
        <v>3830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300" t="str">
        <f>IF(项目基本情况!B9="房地产市场价值","估价结果一览表","结果表-2")</f>
        <v>结果表-2</v>
      </c>
      <c r="B1" s="3300"/>
      <c r="C1" s="3300"/>
      <c r="D1" s="3300"/>
      <c r="E1" s="3300"/>
      <c r="F1" s="3300"/>
      <c r="G1" s="3300"/>
      <c r="H1" s="3300"/>
      <c r="I1" s="3300"/>
    </row>
    <row r="2" spans="1:9" ht="30" customHeight="1">
      <c r="A2" s="3301" t="s">
        <v>107</v>
      </c>
      <c r="B2" s="3301" t="s">
        <v>108</v>
      </c>
      <c r="C2" s="3301" t="s">
        <v>109</v>
      </c>
      <c r="D2" s="3301" t="str">
        <f>结果表!D116</f>
        <v>出让国有建设用地使用权价值</v>
      </c>
      <c r="E2" s="3301"/>
      <c r="F2" s="3301" t="str">
        <f>结果表!F116</f>
        <v>在建建筑物价值</v>
      </c>
      <c r="G2" s="3301"/>
      <c r="H2" s="3301" t="str">
        <f>IF(项目基本情况!B9="房地产市场价值","房地产市场价值","房地产价值")</f>
        <v>房地产价值</v>
      </c>
      <c r="I2" s="3301"/>
    </row>
    <row r="3" spans="1:9" ht="15">
      <c r="A3" s="3302"/>
      <c r="B3" s="3302"/>
      <c r="C3" s="3302"/>
      <c r="D3" s="3230" t="s">
        <v>110</v>
      </c>
      <c r="E3" s="3230" t="s">
        <v>111</v>
      </c>
      <c r="F3" s="3230" t="s">
        <v>110</v>
      </c>
      <c r="G3" s="3230" t="s">
        <v>111</v>
      </c>
      <c r="H3" s="3230" t="s">
        <v>110</v>
      </c>
      <c r="I3" s="3230" t="s">
        <v>111</v>
      </c>
    </row>
    <row r="4" spans="1:9" ht="15">
      <c r="A4" s="3231" t="str">
        <f>项目基本情况!S2</f>
        <v>北京市房地产</v>
      </c>
      <c r="B4" s="3230">
        <f>项目基本情况!C17</f>
        <v>596993.59</v>
      </c>
      <c r="C4" s="3230">
        <f>项目基本情况!C18</f>
        <v>175003.3</v>
      </c>
      <c r="D4" s="3230">
        <f ca="1">结果表!D118</f>
        <v>274634</v>
      </c>
      <c r="E4" s="3230">
        <f ca="1">结果表!E118</f>
        <v>4601</v>
      </c>
      <c r="F4" s="3230">
        <f ca="1">结果表!F118</f>
        <v>837245</v>
      </c>
      <c r="G4" s="3230">
        <f ca="1">结果表!G118</f>
        <v>14024</v>
      </c>
      <c r="H4" s="3230">
        <f ca="1">结果表!H118</f>
        <v>1111879</v>
      </c>
      <c r="I4" s="3230">
        <f ca="1">结果表!I118</f>
        <v>18625</v>
      </c>
    </row>
    <row r="5" spans="1:9" ht="30" customHeight="1">
      <c r="A5" s="3302" t="s">
        <v>112</v>
      </c>
      <c r="B5" s="3302"/>
      <c r="C5" s="3302"/>
      <c r="D5" s="3302" t="str">
        <f ca="1">结果表!D119</f>
        <v>贰拾柒亿肆仟陆佰叁拾肆万元整</v>
      </c>
      <c r="E5" s="3302"/>
      <c r="F5" s="3302" t="str">
        <f ca="1">结果表!F119</f>
        <v>捌拾叁亿柒仟贰佰肆拾伍万元整</v>
      </c>
      <c r="G5" s="3302"/>
      <c r="H5" s="3302" t="str">
        <f ca="1">结果表!H119</f>
        <v>壹佰壹拾壹亿壹仟捌佰柒拾玖万元整</v>
      </c>
      <c r="I5" s="3302"/>
    </row>
    <row r="6" spans="1:9" ht="15.75">
      <c r="A6" s="3303" t="str">
        <f>结果表!A120</f>
        <v>估价师知悉的法定优先受偿款</v>
      </c>
      <c r="B6" s="3303"/>
      <c r="C6" s="3303"/>
      <c r="D6" s="3303">
        <f>结果表!D120</f>
        <v>0</v>
      </c>
      <c r="E6" s="3303"/>
      <c r="F6" s="3303"/>
      <c r="G6" s="3303"/>
      <c r="H6" s="3303"/>
      <c r="I6" s="3303"/>
    </row>
    <row r="7" spans="1:9" ht="15">
      <c r="A7" s="3302" t="s">
        <v>112</v>
      </c>
      <c r="B7" s="3302"/>
      <c r="C7" s="3302"/>
      <c r="D7" s="3304" t="str">
        <f>结果表!D121</f>
        <v>零元整</v>
      </c>
      <c r="E7" s="3305"/>
      <c r="F7" s="3305"/>
      <c r="G7" s="3305"/>
      <c r="H7" s="3305"/>
      <c r="I7" s="3306"/>
    </row>
    <row r="8" spans="1:9" ht="15.75">
      <c r="A8" s="3303" t="str">
        <f>结果表!A122</f>
        <v>房地产抵押价值</v>
      </c>
      <c r="B8" s="3303"/>
      <c r="C8" s="3303"/>
      <c r="D8" s="3303">
        <f ca="1">结果表!D122</f>
        <v>1111879</v>
      </c>
      <c r="E8" s="3303"/>
      <c r="F8" s="3303"/>
      <c r="G8" s="3303"/>
      <c r="H8" s="3303"/>
      <c r="I8" s="3303"/>
    </row>
    <row r="9" spans="1:9" ht="15">
      <c r="A9" s="3302" t="s">
        <v>112</v>
      </c>
      <c r="B9" s="3302"/>
      <c r="C9" s="3302"/>
      <c r="D9" s="3302" t="str">
        <f ca="1">结果表!D123</f>
        <v>壹佰壹拾壹亿壹仟捌佰柒拾玖万元整</v>
      </c>
      <c r="E9" s="3302"/>
      <c r="F9" s="3302"/>
      <c r="G9" s="3302"/>
      <c r="H9" s="3302"/>
      <c r="I9" s="3302"/>
    </row>
    <row r="10" spans="1:9" ht="15.75">
      <c r="A10" s="3303" t="str">
        <f>结果表!A124</f>
        <v/>
      </c>
      <c r="B10" s="3303"/>
      <c r="C10" s="3303"/>
      <c r="D10" s="3303" t="str">
        <f>结果表!D124</f>
        <v>——</v>
      </c>
      <c r="E10" s="3303"/>
      <c r="F10" s="3303"/>
      <c r="G10" s="3303"/>
      <c r="H10" s="3303"/>
      <c r="I10" s="3303"/>
    </row>
    <row r="11" spans="1:9" ht="15">
      <c r="A11" s="3302" t="s">
        <v>112</v>
      </c>
      <c r="B11" s="3302"/>
      <c r="C11" s="3302"/>
      <c r="D11" s="3302" t="e">
        <f>结果表!D125</f>
        <v>#VALUE!</v>
      </c>
      <c r="E11" s="3302"/>
      <c r="F11" s="3302"/>
      <c r="G11" s="3302"/>
      <c r="H11" s="3302"/>
      <c r="I11" s="3302"/>
    </row>
    <row r="12" spans="1:9" ht="15.75">
      <c r="A12" s="3303" t="str">
        <f>结果表!A126</f>
        <v/>
      </c>
      <c r="B12" s="3303"/>
      <c r="C12" s="3303"/>
      <c r="D12" s="3303" t="str">
        <f>结果表!D126</f>
        <v>——</v>
      </c>
      <c r="E12" s="3303"/>
      <c r="F12" s="3303"/>
      <c r="G12" s="3303"/>
      <c r="H12" s="3303"/>
      <c r="I12" s="3303"/>
    </row>
    <row r="13" spans="1:9" ht="15">
      <c r="A13" s="3307" t="s">
        <v>112</v>
      </c>
      <c r="B13" s="3307"/>
      <c r="C13" s="3307"/>
      <c r="D13" s="3307" t="e">
        <f>结果表!D127</f>
        <v>#VALUE!</v>
      </c>
      <c r="E13" s="3307"/>
      <c r="F13" s="3307"/>
      <c r="G13" s="3307"/>
      <c r="H13" s="3307"/>
      <c r="I13" s="3307"/>
    </row>
    <row r="14" spans="1:9">
      <c r="A14" s="3308" t="s">
        <v>113</v>
      </c>
      <c r="B14" s="3308"/>
      <c r="C14" s="3308"/>
      <c r="D14" s="3308"/>
      <c r="E14" s="3308"/>
      <c r="F14" s="3308"/>
      <c r="G14" s="3308"/>
      <c r="H14" s="3308"/>
      <c r="I14" s="3308"/>
    </row>
    <row r="16" spans="1:9" ht="18.75">
      <c r="A16" s="3232"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309" t="s">
        <v>114</v>
      </c>
      <c r="B1" s="3309"/>
      <c r="C1" s="3309"/>
      <c r="D1" s="3309"/>
    </row>
    <row r="2" spans="1:4" ht="18">
      <c r="A2" s="3310" t="s">
        <v>115</v>
      </c>
      <c r="B2" s="3310"/>
      <c r="C2" s="3310"/>
      <c r="D2" s="3310"/>
    </row>
    <row r="3" spans="1:4" ht="18.75">
      <c r="A3" s="3220" t="s">
        <v>116</v>
      </c>
      <c r="B3" s="3220" t="s">
        <v>117</v>
      </c>
      <c r="C3" s="3220" t="s">
        <v>118</v>
      </c>
      <c r="D3" s="3220" t="s">
        <v>119</v>
      </c>
    </row>
    <row r="4" spans="1:4" ht="56.25" customHeight="1">
      <c r="A4" s="3221">
        <f>项目基本情况!B4</f>
        <v>0</v>
      </c>
      <c r="B4" s="3222">
        <f>项目基本情况!C4</f>
        <v>0</v>
      </c>
      <c r="C4" s="3223"/>
      <c r="D4" s="3224" t="s">
        <v>120</v>
      </c>
    </row>
    <row r="5" spans="1:4" ht="56.25" customHeight="1">
      <c r="A5" s="3221">
        <f>项目基本情况!D4</f>
        <v>0</v>
      </c>
      <c r="B5" s="3222">
        <f>项目基本情况!E4</f>
        <v>0</v>
      </c>
      <c r="C5" s="3225"/>
      <c r="D5" s="3224" t="s">
        <v>120</v>
      </c>
    </row>
    <row r="6" spans="1:4" ht="18">
      <c r="A6" s="3310" t="s">
        <v>121</v>
      </c>
      <c r="B6" s="3310"/>
      <c r="C6" s="3310"/>
      <c r="D6" s="3310"/>
    </row>
    <row r="7" spans="1:4" ht="18.75">
      <c r="A7" s="3220" t="s">
        <v>116</v>
      </c>
      <c r="B7" s="3222" t="s">
        <v>122</v>
      </c>
      <c r="C7" s="3220" t="s">
        <v>118</v>
      </c>
      <c r="D7" s="3220" t="s">
        <v>119</v>
      </c>
    </row>
    <row r="8" spans="1:4" ht="56.25" customHeight="1">
      <c r="A8" s="3226" t="s">
        <v>123</v>
      </c>
      <c r="B8" s="3226" t="s">
        <v>124</v>
      </c>
      <c r="C8" s="3223"/>
      <c r="D8" s="3224" t="s">
        <v>120</v>
      </c>
    </row>
    <row r="10" spans="1:4" ht="18.75">
      <c r="A10" s="3219" t="s">
        <v>125</v>
      </c>
    </row>
    <row r="11" spans="1:4" ht="30" customHeight="1">
      <c r="A11" s="3311" t="s">
        <v>126</v>
      </c>
      <c r="B11" s="3312"/>
      <c r="C11" s="3312"/>
      <c r="D11" s="3312"/>
    </row>
    <row r="12" spans="1:4" ht="15.75">
      <c r="A12" s="33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3"/>
      <c r="C12" s="3313"/>
      <c r="D12" s="3313"/>
    </row>
    <row r="13" spans="1:4" ht="30" customHeight="1">
      <c r="A13" s="33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3"/>
      <c r="C13" s="3313"/>
      <c r="D13" s="3313"/>
    </row>
    <row r="14" spans="1:4" ht="15.75" customHeight="1">
      <c r="A14" s="3312" t="str">
        <f>IF(项目基本情况!B8="抵押","4.本次评估估价师所知悉的法定优先受偿款情况说明如下：","——")</f>
        <v>4.本次评估估价师所知悉的法定优先受偿款情况说明如下：</v>
      </c>
      <c r="B14" s="3313"/>
      <c r="C14" s="3313"/>
      <c r="D14" s="3313"/>
    </row>
    <row r="15" spans="1:4" ht="42" customHeight="1">
      <c r="A15" s="33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2"/>
      <c r="C15" s="3312"/>
      <c r="D15" s="3312"/>
    </row>
    <row r="16" spans="1:4" ht="30" customHeight="1">
      <c r="A16" s="3314" t="s">
        <v>127</v>
      </c>
      <c r="B16" s="3314"/>
      <c r="C16" s="3314"/>
      <c r="D16" s="3314"/>
    </row>
    <row r="17" spans="1:4" ht="144" customHeight="1">
      <c r="A17" s="3314" t="s">
        <v>128</v>
      </c>
      <c r="B17" s="3314"/>
      <c r="C17" s="3314"/>
      <c r="D17" s="3314"/>
    </row>
    <row r="18" spans="1:4" ht="15.75" customHeight="1">
      <c r="A18" s="3312" t="str">
        <f>IF(项目基本情况!B8="抵押",结果表!K120,"——")</f>
        <v>故，本次评估不存在估价师知悉的法定优先受偿款</v>
      </c>
      <c r="B18" s="3312"/>
      <c r="C18" s="3312"/>
      <c r="D18" s="3312"/>
    </row>
    <row r="19" spans="1:4" ht="46.5" customHeight="1">
      <c r="A19" s="33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2"/>
      <c r="C19" s="3312"/>
      <c r="D19" s="3312"/>
    </row>
    <row r="20" spans="1:4" ht="57.75" customHeight="1">
      <c r="A20" s="33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2"/>
      <c r="C20" s="3312"/>
      <c r="D20" s="3312"/>
    </row>
    <row r="21" spans="1:4" ht="57.75" customHeight="1">
      <c r="A21" s="33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6"/>
      <c r="C21" s="3316"/>
      <c r="D21" s="3316"/>
    </row>
    <row r="22" spans="1:4" ht="18.75" customHeight="1">
      <c r="A22" s="3317" t="s">
        <v>129</v>
      </c>
      <c r="B22" s="3317"/>
      <c r="C22" s="3317"/>
      <c r="D22" s="3317"/>
    </row>
    <row r="23" spans="1:4">
      <c r="A23" s="3227"/>
      <c r="B23" s="1141"/>
      <c r="C23" s="1141"/>
      <c r="D23" s="1141"/>
    </row>
    <row r="24" spans="1:4">
      <c r="A24" s="3227"/>
      <c r="B24" s="1141"/>
      <c r="C24" s="1141"/>
      <c r="D24" s="1141"/>
    </row>
    <row r="25" spans="1:4" ht="18.75">
      <c r="A25" s="3228" t="s">
        <v>130</v>
      </c>
    </row>
    <row r="26" spans="1:4" ht="18">
      <c r="A26" s="3229"/>
    </row>
    <row r="27" spans="1:4" ht="18.75">
      <c r="A27" s="3229" t="s">
        <v>131</v>
      </c>
    </row>
    <row r="30" spans="1:4" ht="18.75">
      <c r="D30" s="3228" t="s">
        <v>132</v>
      </c>
    </row>
    <row r="31" spans="1:4" ht="13.5" customHeight="1">
      <c r="C31" s="3315">
        <v>42551</v>
      </c>
      <c r="D31" s="33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16" customWidth="1"/>
    <col min="3" max="10" width="12.5" style="3216" customWidth="1"/>
    <col min="11" max="16384" width="9" style="3216"/>
  </cols>
  <sheetData>
    <row r="1" spans="1:1" ht="18.75">
      <c r="A1" s="3217" t="s">
        <v>133</v>
      </c>
    </row>
    <row r="2" spans="1:1" ht="18.75">
      <c r="A2" s="3218"/>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99" customWidth="1"/>
    <col min="2" max="16384" width="14.5" style="262"/>
  </cols>
  <sheetData>
    <row r="1" spans="1:7" s="3198" customFormat="1" ht="18.75">
      <c r="A1" s="3200" t="s">
        <v>134</v>
      </c>
    </row>
    <row r="3" spans="1:7">
      <c r="A3" s="3201" t="s">
        <v>135</v>
      </c>
      <c r="B3" s="262" t="s">
        <v>136</v>
      </c>
      <c r="G3" s="3202"/>
    </row>
    <row r="4" spans="1:7">
      <c r="G4" s="3202"/>
    </row>
    <row r="5" spans="1:7">
      <c r="A5" s="3203" t="s">
        <v>137</v>
      </c>
      <c r="B5" s="262" t="s">
        <v>138</v>
      </c>
      <c r="G5" s="3202"/>
    </row>
    <row r="6" spans="1:7">
      <c r="G6" s="3202"/>
    </row>
    <row r="7" spans="1:7">
      <c r="A7" s="3204" t="s">
        <v>139</v>
      </c>
      <c r="B7" s="262" t="s">
        <v>140</v>
      </c>
      <c r="G7" s="3202"/>
    </row>
    <row r="8" spans="1:7">
      <c r="G8" s="3202"/>
    </row>
    <row r="9" spans="1:7">
      <c r="A9" s="3205" t="s">
        <v>141</v>
      </c>
      <c r="B9" s="262" t="s">
        <v>142</v>
      </c>
    </row>
    <row r="11" spans="1:7">
      <c r="A11" s="3206" t="s">
        <v>143</v>
      </c>
      <c r="B11" s="3207" t="s">
        <v>144</v>
      </c>
    </row>
    <row r="13" spans="1:7">
      <c r="A13" s="3208" t="s">
        <v>145</v>
      </c>
    </row>
    <row r="15" spans="1:7" ht="13.5">
      <c r="A15" s="3320" t="s">
        <v>146</v>
      </c>
      <c r="B15" s="3325" t="s">
        <v>147</v>
      </c>
      <c r="C15" s="3319"/>
    </row>
    <row r="16" spans="1:7" ht="13.5">
      <c r="A16" s="3321"/>
      <c r="B16" s="3325" t="s">
        <v>148</v>
      </c>
      <c r="C16" s="3319"/>
    </row>
    <row r="17" spans="1:3" ht="13.5">
      <c r="A17" s="3321"/>
      <c r="B17" s="3324" t="s">
        <v>149</v>
      </c>
      <c r="C17" s="3209" t="s">
        <v>146</v>
      </c>
    </row>
    <row r="18" spans="1:3" ht="13.5">
      <c r="A18" s="3321"/>
      <c r="B18" s="3324"/>
      <c r="C18" s="3209" t="s">
        <v>150</v>
      </c>
    </row>
    <row r="19" spans="1:3" ht="13.5">
      <c r="A19" s="3321"/>
      <c r="B19" s="3324"/>
      <c r="C19" s="3209" t="s">
        <v>151</v>
      </c>
    </row>
    <row r="20" spans="1:3" ht="13.5">
      <c r="A20" s="3322"/>
      <c r="B20" s="3318" t="s">
        <v>152</v>
      </c>
      <c r="C20" s="3319"/>
    </row>
    <row r="21" spans="1:3" ht="13.5">
      <c r="A21" s="3210" t="s">
        <v>153</v>
      </c>
      <c r="B21" s="3211"/>
      <c r="C21" s="3212"/>
    </row>
    <row r="22" spans="1:3" ht="13.5">
      <c r="A22" s="3323" t="s">
        <v>154</v>
      </c>
      <c r="B22" s="3318" t="s">
        <v>155</v>
      </c>
      <c r="C22" s="3319"/>
    </row>
    <row r="23" spans="1:3" ht="13.5">
      <c r="A23" s="3323"/>
      <c r="B23" s="3318" t="s">
        <v>156</v>
      </c>
      <c r="C23" s="3319"/>
    </row>
    <row r="24" spans="1:3" ht="13.5">
      <c r="A24" s="3323"/>
      <c r="B24" s="3318" t="s">
        <v>157</v>
      </c>
      <c r="C24" s="3319"/>
    </row>
    <row r="25" spans="1:3" ht="13.5">
      <c r="A25" s="3323"/>
      <c r="B25" s="3324" t="s">
        <v>158</v>
      </c>
      <c r="C25" s="3209" t="s">
        <v>159</v>
      </c>
    </row>
    <row r="26" spans="1:3" ht="13.5">
      <c r="A26" s="3323"/>
      <c r="B26" s="3324"/>
      <c r="C26" s="3209" t="s">
        <v>160</v>
      </c>
    </row>
    <row r="27" spans="1:3" ht="13.5">
      <c r="A27" s="3323"/>
      <c r="B27" s="3324"/>
      <c r="C27" s="3209" t="s">
        <v>161</v>
      </c>
    </row>
    <row r="28" spans="1:3" ht="13.5">
      <c r="A28" s="3323"/>
      <c r="B28" s="3324"/>
      <c r="C28" s="3209" t="s">
        <v>162</v>
      </c>
    </row>
    <row r="29" spans="1:3" ht="13.5">
      <c r="A29" s="3323"/>
      <c r="B29" s="3324"/>
      <c r="C29" s="3209" t="s">
        <v>163</v>
      </c>
    </row>
    <row r="30" spans="1:3" ht="13.5">
      <c r="A30" s="3323"/>
      <c r="B30" s="3324"/>
      <c r="C30" s="3209" t="s">
        <v>164</v>
      </c>
    </row>
    <row r="31" spans="1:3" ht="13.5">
      <c r="A31" s="3323"/>
      <c r="B31" s="3324"/>
      <c r="C31" s="3209" t="s">
        <v>165</v>
      </c>
    </row>
    <row r="32" spans="1:3" ht="13.5">
      <c r="A32" s="3323"/>
      <c r="B32" s="3324"/>
      <c r="C32" s="3209" t="s">
        <v>166</v>
      </c>
    </row>
    <row r="33" spans="1:3" ht="13.5">
      <c r="A33" s="3323"/>
      <c r="B33" s="3324"/>
      <c r="C33" s="3209" t="s">
        <v>167</v>
      </c>
    </row>
    <row r="34" spans="1:3">
      <c r="A34" s="3213" t="s">
        <v>168</v>
      </c>
    </row>
    <row r="37" spans="1:3">
      <c r="A37" s="3213" t="s">
        <v>169</v>
      </c>
    </row>
    <row r="38" spans="1:3" ht="13.5">
      <c r="A38" s="3214" t="s">
        <v>170</v>
      </c>
    </row>
    <row r="39" spans="1:3" ht="13.5">
      <c r="A39" s="3214" t="s">
        <v>171</v>
      </c>
    </row>
    <row r="40" spans="1:3" ht="13.5">
      <c r="A40" s="3214" t="s">
        <v>172</v>
      </c>
    </row>
    <row r="41" spans="1:3" ht="13.5">
      <c r="A41" s="3215" t="s">
        <v>173</v>
      </c>
    </row>
    <row r="42" spans="1:3" ht="13.5">
      <c r="A42" s="321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71" customWidth="1"/>
    <col min="2" max="2" width="38.625" style="3171" customWidth="1"/>
    <col min="3" max="3" width="26" style="3171" customWidth="1"/>
    <col min="4" max="4" width="35" style="3171" hidden="1" customWidth="1"/>
    <col min="5" max="5" width="30.125" style="3171" customWidth="1"/>
    <col min="6" max="6" width="35.5" style="3171" customWidth="1"/>
    <col min="7" max="7" width="31" style="3171" customWidth="1"/>
    <col min="8" max="8" width="37.5" style="3171" hidden="1" customWidth="1"/>
    <col min="9" max="16384" width="22.625" style="3171"/>
  </cols>
  <sheetData>
    <row r="1" spans="1:8" ht="24" customHeight="1">
      <c r="A1" s="3172"/>
      <c r="B1" s="3172"/>
      <c r="C1" s="3172"/>
      <c r="D1" s="3172"/>
      <c r="E1" s="3172"/>
      <c r="F1" s="3172"/>
      <c r="G1" s="3172"/>
      <c r="H1" s="3172"/>
    </row>
    <row r="2" spans="1:8" ht="24" customHeight="1">
      <c r="A2" s="3173" t="s">
        <v>175</v>
      </c>
      <c r="B2" s="3174">
        <f ca="1">TODAY()</f>
        <v>45805</v>
      </c>
      <c r="C2" s="3175" t="s">
        <v>176</v>
      </c>
      <c r="D2" s="3175"/>
      <c r="E2" s="3175"/>
      <c r="F2" s="3172"/>
      <c r="G2" s="3172"/>
      <c r="H2" s="3172"/>
    </row>
    <row r="3" spans="1:8" ht="24" customHeight="1">
      <c r="A3" s="3176" t="s">
        <v>177</v>
      </c>
      <c r="B3" s="3177" t="s">
        <v>178</v>
      </c>
      <c r="C3" s="3177" t="s">
        <v>179</v>
      </c>
      <c r="D3" s="3178" t="s">
        <v>180</v>
      </c>
      <c r="E3" s="3179" t="s">
        <v>181</v>
      </c>
      <c r="F3" s="3177" t="s">
        <v>182</v>
      </c>
      <c r="G3" s="3177" t="s">
        <v>179</v>
      </c>
      <c r="H3" s="3178" t="s">
        <v>183</v>
      </c>
    </row>
    <row r="4" spans="1:8" ht="24" customHeight="1">
      <c r="A4" s="3177" t="s">
        <v>184</v>
      </c>
      <c r="B4" s="3177">
        <f ca="1">IF(C4&lt;B2,"已过期",1119970066)</f>
        <v>1119970066</v>
      </c>
      <c r="C4" s="3180">
        <v>45937</v>
      </c>
      <c r="D4" s="3181" t="str">
        <f ca="1">A4&amp;"（注册号："&amp;B4&amp;"）"</f>
        <v>梁津（注册号：1119970066）</v>
      </c>
      <c r="E4" s="3182" t="s">
        <v>184</v>
      </c>
      <c r="F4" s="3177">
        <f ca="1">IF(G4&lt;B2,"已过期",96010014)</f>
        <v>96010014</v>
      </c>
      <c r="G4" s="3183">
        <v>47118</v>
      </c>
      <c r="H4" s="3184" t="str">
        <f ca="1">E4&amp;"（注册号："&amp;F4&amp;"）"</f>
        <v>梁津（注册号：96010014）</v>
      </c>
    </row>
    <row r="5" spans="1:8" ht="24" customHeight="1">
      <c r="A5" s="3177" t="s">
        <v>185</v>
      </c>
      <c r="B5" s="3177">
        <f ca="1">IF(C5&lt;B2,"已过期",1119970111)</f>
        <v>1119970111</v>
      </c>
      <c r="C5" s="3180">
        <v>45937</v>
      </c>
      <c r="D5" s="3181" t="str">
        <f t="shared" ref="D5:D16" ca="1" si="0">A5&amp;"（注册号："&amp;B5&amp;"）"</f>
        <v>叶凌（注册号：1119970111）</v>
      </c>
      <c r="E5" s="3182" t="s">
        <v>185</v>
      </c>
      <c r="F5" s="3177">
        <f ca="1">IF(G5&lt;B2,"已过期",94010078)</f>
        <v>94010078</v>
      </c>
      <c r="G5" s="3183">
        <v>46387</v>
      </c>
      <c r="H5" s="3184" t="str">
        <f t="shared" ref="H5:H16" ca="1" si="1">E5&amp;"（注册号："&amp;F5&amp;"）"</f>
        <v>叶凌（注册号：94010078）</v>
      </c>
    </row>
    <row r="6" spans="1:8" ht="24" customHeight="1">
      <c r="A6" s="3177" t="s">
        <v>186</v>
      </c>
      <c r="B6" s="3177" t="str">
        <f ca="1">IF(C6&lt;B2,"已过期",1120050019)</f>
        <v>已过期</v>
      </c>
      <c r="C6" s="3180">
        <v>45410</v>
      </c>
      <c r="D6" s="3181" t="str">
        <f t="shared" ca="1" si="0"/>
        <v>王鹏（注册号：已过期）</v>
      </c>
      <c r="E6" s="3182" t="s">
        <v>186</v>
      </c>
      <c r="F6" s="3177">
        <f ca="1">IF(G6&lt;B2,"已过期",2002110030)</f>
        <v>2002110030</v>
      </c>
      <c r="G6" s="3183">
        <v>46387</v>
      </c>
      <c r="H6" s="3184" t="str">
        <f t="shared" ca="1" si="1"/>
        <v>王鹏（注册号：2002110030）</v>
      </c>
    </row>
    <row r="7" spans="1:8" ht="24" customHeight="1">
      <c r="A7" s="3177" t="s">
        <v>187</v>
      </c>
      <c r="B7" s="3177">
        <f ca="1">IF(C7&lt;B2,"已过期",1120000080)</f>
        <v>1120000080</v>
      </c>
      <c r="C7" s="3180">
        <v>45937</v>
      </c>
      <c r="D7" s="3181" t="str">
        <f t="shared" ca="1" si="0"/>
        <v>欧红伟（注册号：1120000080）</v>
      </c>
      <c r="E7" s="3182" t="s">
        <v>187</v>
      </c>
      <c r="F7" s="3177">
        <f ca="1">IF(G7&lt;B2,"已过期",2000110082)</f>
        <v>2000110082</v>
      </c>
      <c r="G7" s="3183">
        <v>46387</v>
      </c>
      <c r="H7" s="3184" t="str">
        <f t="shared" ca="1" si="1"/>
        <v>欧红伟（注册号：2000110082）</v>
      </c>
    </row>
    <row r="8" spans="1:8" ht="24" customHeight="1">
      <c r="A8" s="3177" t="s">
        <v>188</v>
      </c>
      <c r="B8" s="3177">
        <f ca="1">IF(C8&lt;B2,"已过期",1419970001)</f>
        <v>1419970001</v>
      </c>
      <c r="C8" s="3180">
        <v>45937</v>
      </c>
      <c r="D8" s="3181" t="str">
        <f t="shared" ca="1" si="0"/>
        <v>吴薇（注册号：1419970001）</v>
      </c>
      <c r="E8" s="3182" t="s">
        <v>188</v>
      </c>
      <c r="F8" s="3177">
        <f ca="1">IF(G8&lt;B2,"已过期",2002110125)</f>
        <v>2002110125</v>
      </c>
      <c r="G8" s="3183">
        <v>47118</v>
      </c>
      <c r="H8" s="3184" t="str">
        <f t="shared" ca="1" si="1"/>
        <v>吴薇（注册号：2002110125）</v>
      </c>
    </row>
    <row r="9" spans="1:8" ht="24" customHeight="1">
      <c r="A9" s="3177" t="s">
        <v>189</v>
      </c>
      <c r="B9" s="3177" t="str">
        <f ca="1">IF(C9&lt;B2,"已过期",1120060040)</f>
        <v>已过期</v>
      </c>
      <c r="C9" s="3185">
        <v>45592</v>
      </c>
      <c r="D9" s="3181" t="str">
        <f t="shared" ca="1" si="0"/>
        <v>陈颖（注册号：已过期）</v>
      </c>
      <c r="E9" s="3182" t="s">
        <v>189</v>
      </c>
      <c r="F9" s="3177">
        <f ca="1">IF(G9&lt;B2,"已过期",2004110096)</f>
        <v>2004110096</v>
      </c>
      <c r="G9" s="3183">
        <v>47118</v>
      </c>
      <c r="H9" s="3184" t="str">
        <f t="shared" ca="1" si="1"/>
        <v>陈颖（注册号：2004110096）</v>
      </c>
    </row>
    <row r="10" spans="1:8" ht="24" customHeight="1">
      <c r="A10" s="3177" t="s">
        <v>190</v>
      </c>
      <c r="B10" s="3177" t="str">
        <f ca="1">IF(C10&lt;B2,"已过期",1120100036)</f>
        <v>已过期</v>
      </c>
      <c r="C10" s="3185">
        <v>45752</v>
      </c>
      <c r="D10" s="3181" t="str">
        <f t="shared" ca="1" si="0"/>
        <v>崔锴（注册号：已过期）</v>
      </c>
      <c r="E10" s="3182" t="s">
        <v>190</v>
      </c>
      <c r="F10" s="3177">
        <f ca="1">IF(G10&lt;B2,"已过期",2010110070)</f>
        <v>2010110070</v>
      </c>
      <c r="G10" s="3183">
        <v>47907</v>
      </c>
      <c r="H10" s="3184" t="str">
        <f t="shared" ca="1" si="1"/>
        <v>崔锴（注册号：2010110070）</v>
      </c>
    </row>
    <row r="11" spans="1:8" ht="24" customHeight="1">
      <c r="A11" s="3177" t="s">
        <v>191</v>
      </c>
      <c r="B11" s="3177">
        <f ca="1">IF(C11&lt;B2,"已过期",1120070131)</f>
        <v>1120070131</v>
      </c>
      <c r="C11" s="3180">
        <v>45937</v>
      </c>
      <c r="D11" s="3181" t="str">
        <f t="shared" ca="1" si="0"/>
        <v>郑燚（注册号：1120070131）</v>
      </c>
      <c r="E11" s="3182" t="s">
        <v>191</v>
      </c>
      <c r="F11" s="3177">
        <f ca="1">IF(G11&lt;B2,"已过期",2014110011)</f>
        <v>2014110011</v>
      </c>
      <c r="G11" s="3183">
        <v>49302</v>
      </c>
      <c r="H11" s="3184" t="str">
        <f t="shared" ca="1" si="1"/>
        <v>郑燚（注册号：2014110011）</v>
      </c>
    </row>
    <row r="12" spans="1:8" ht="24" customHeight="1">
      <c r="A12" s="3177" t="s">
        <v>192</v>
      </c>
      <c r="B12" s="3177">
        <f ca="1">IF(C12&lt;B2,"已过期",1120040230)</f>
        <v>1120040230</v>
      </c>
      <c r="C12" s="3185">
        <v>45937</v>
      </c>
      <c r="D12" s="3181" t="str">
        <f t="shared" ca="1" si="0"/>
        <v>苏海（注册号：1120040230）</v>
      </c>
      <c r="E12" s="3182" t="s">
        <v>192</v>
      </c>
      <c r="F12" s="3177">
        <f ca="1">IF(G12&lt;B2,"已过期",98030020)</f>
        <v>98030020</v>
      </c>
      <c r="G12" s="3183">
        <v>47118</v>
      </c>
      <c r="H12" s="3184" t="str">
        <f t="shared" ca="1" si="1"/>
        <v>苏海（注册号：98030020）</v>
      </c>
    </row>
    <row r="13" spans="1:8" ht="24" customHeight="1">
      <c r="A13" s="3177" t="s">
        <v>193</v>
      </c>
      <c r="B13" s="3177" t="str">
        <f ca="1">IF(C13&lt;B2,"已过期",1120020033)</f>
        <v>已过期</v>
      </c>
      <c r="C13" s="3180">
        <v>45375</v>
      </c>
      <c r="D13" s="3181" t="str">
        <f t="shared" ca="1" si="0"/>
        <v>刘敬东（注册号：已过期）</v>
      </c>
      <c r="E13" s="3182" t="s">
        <v>193</v>
      </c>
      <c r="F13" s="3177">
        <f ca="1">IF(G13&lt;B2,"已过期",2000110137)</f>
        <v>2000110137</v>
      </c>
      <c r="G13" s="3183">
        <v>46387</v>
      </c>
      <c r="H13" s="3184" t="str">
        <f t="shared" ca="1" si="1"/>
        <v>刘敬东（注册号：2000110137）</v>
      </c>
    </row>
    <row r="14" spans="1:8" ht="24" customHeight="1">
      <c r="A14" s="3177" t="s">
        <v>194</v>
      </c>
      <c r="B14" s="3177" t="str">
        <f ca="1">IF(C14&lt;B2,"已过期",1119980106)</f>
        <v>已过期</v>
      </c>
      <c r="C14" s="3185">
        <v>44969</v>
      </c>
      <c r="D14" s="3181" t="str">
        <f t="shared" ca="1" si="0"/>
        <v>刘俊财（注册号：已过期）</v>
      </c>
      <c r="E14" s="3182" t="s">
        <v>194</v>
      </c>
      <c r="F14" s="3177">
        <f ca="1">IF(G14&lt;B2,"已过期",96010063)</f>
        <v>96010063</v>
      </c>
      <c r="G14" s="3183">
        <v>47483</v>
      </c>
      <c r="H14" s="3184" t="str">
        <f t="shared" ca="1" si="1"/>
        <v>刘俊财（注册号：96010063）</v>
      </c>
    </row>
    <row r="15" spans="1:8" ht="24" customHeight="1">
      <c r="A15" s="3177" t="s">
        <v>195</v>
      </c>
      <c r="B15" s="3177">
        <v>1120210056</v>
      </c>
      <c r="C15" s="3185">
        <v>45410</v>
      </c>
      <c r="D15" s="3181" t="str">
        <f t="shared" si="0"/>
        <v>宁小鳗（注册号：1120210056）</v>
      </c>
      <c r="E15" s="3182" t="s">
        <v>196</v>
      </c>
      <c r="F15" s="3177">
        <f ca="1">IF(G15&lt;B2,"已过期",2011110090)</f>
        <v>2011110090</v>
      </c>
      <c r="G15" s="3183">
        <v>48302</v>
      </c>
      <c r="H15" s="3184" t="str">
        <f t="shared" ca="1" si="1"/>
        <v>赵雯（注册号：2011110090）</v>
      </c>
    </row>
    <row r="16" spans="1:8" ht="24" customHeight="1">
      <c r="A16" s="3177"/>
      <c r="B16" s="3177"/>
      <c r="C16" s="3177"/>
      <c r="D16" s="3181" t="str">
        <f t="shared" si="0"/>
        <v>（注册号：）</v>
      </c>
      <c r="E16" s="3182"/>
      <c r="F16" s="3177"/>
      <c r="G16" s="3177"/>
      <c r="H16" s="3186" t="str">
        <f t="shared" si="1"/>
        <v>（注册号：）</v>
      </c>
    </row>
    <row r="17" spans="1:8" ht="24" customHeight="1">
      <c r="A17" s="3326" t="s">
        <v>197</v>
      </c>
      <c r="B17" s="3326"/>
      <c r="C17" s="3326"/>
      <c r="D17" s="3326"/>
      <c r="E17" s="3326"/>
      <c r="F17" s="3326"/>
      <c r="G17" s="3326"/>
      <c r="H17" s="3326"/>
    </row>
    <row r="18" spans="1:8" ht="24" customHeight="1">
      <c r="A18" s="3327" t="s">
        <v>198</v>
      </c>
      <c r="B18" s="3327"/>
      <c r="C18" s="3327"/>
      <c r="D18" s="3178"/>
      <c r="E18" s="3328" t="s">
        <v>199</v>
      </c>
      <c r="F18" s="3327"/>
      <c r="G18" s="3327"/>
    </row>
    <row r="19" spans="1:8" s="3170" customFormat="1" ht="24" customHeight="1">
      <c r="A19" s="3187" t="s">
        <v>200</v>
      </c>
      <c r="B19" s="3177" t="s">
        <v>201</v>
      </c>
      <c r="C19" s="3177" t="s">
        <v>179</v>
      </c>
      <c r="D19" s="3178"/>
      <c r="E19" s="3182" t="s">
        <v>200</v>
      </c>
      <c r="F19" s="3177" t="s">
        <v>201</v>
      </c>
      <c r="G19" s="3177" t="s">
        <v>179</v>
      </c>
    </row>
    <row r="20" spans="1:8" s="3170" customFormat="1" ht="24" customHeight="1">
      <c r="A20" s="3188" t="s">
        <v>202</v>
      </c>
      <c r="B20" s="3188" t="s">
        <v>203</v>
      </c>
      <c r="C20" s="3183">
        <v>45898</v>
      </c>
      <c r="D20" s="3189"/>
      <c r="E20" s="3190" t="s">
        <v>204</v>
      </c>
      <c r="F20" s="3191" t="s">
        <v>205</v>
      </c>
      <c r="G20" s="3192">
        <v>44926</v>
      </c>
    </row>
    <row r="21" spans="1:8" s="3170" customFormat="1" ht="24" customHeight="1">
      <c r="A21" s="3188"/>
      <c r="B21" s="3188"/>
      <c r="C21" s="3193"/>
      <c r="D21" s="3194"/>
      <c r="E21" s="3190"/>
      <c r="F21" s="3191"/>
      <c r="G21" s="3192"/>
    </row>
    <row r="22" spans="1:8" ht="24" customHeight="1">
      <c r="C22" s="3195"/>
      <c r="D22" s="3195"/>
      <c r="E22" s="3196"/>
      <c r="G22" s="3197"/>
    </row>
  </sheetData>
  <sheetProtection password="CEE9" sheet="1" objects="1" scenarios="1"/>
  <mergeCells count="3">
    <mergeCell ref="A17:H17"/>
    <mergeCell ref="A18:C18"/>
    <mergeCell ref="E18:G18"/>
  </mergeCells>
  <phoneticPr fontId="237"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1.一铺一价计算</vt:lpstr>
      <vt:lpstr>Sheet3</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2025-05-28T03:12:08Z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F4149FF312374BF9A8A308627F325449_12</vt:lpwstr>
  </property>
  <property fmtid="{D5CDD505-2E9C-101B-9397-08002B2CF9AE}" pid="3" name="KSOProductBuildVer">
    <vt:lpwstr>2052-12.1.0.21171</vt:lpwstr>
  </property>
</Properties>
</file>